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 firstSheet="22" activeTab="22"/>
  </bookViews>
  <sheets>
    <sheet name="Медикаменты Январь" sheetId="1" r:id="rId1"/>
    <sheet name="Перевязочные Январь" sheetId="2" r:id="rId2"/>
    <sheet name="Медикаменты Январь_2" sheetId="3" r:id="rId3"/>
    <sheet name="Перевязочные Январь_2" sheetId="4" r:id="rId4"/>
    <sheet name="Медикаменты Февраль" sheetId="5" r:id="rId5"/>
    <sheet name="Перевязочные Февраль" sheetId="6" r:id="rId6"/>
    <sheet name="Медикаменты Март" sheetId="7" r:id="rId7"/>
    <sheet name="Перевязочные Март" sheetId="8" r:id="rId8"/>
    <sheet name="Медикаменты Апрель" sheetId="9" r:id="rId9"/>
    <sheet name="Перевязочные Апрель" sheetId="10" r:id="rId10"/>
    <sheet name="Медикаменты Май" sheetId="11" r:id="rId11"/>
    <sheet name="Перевязочные Май" sheetId="12" r:id="rId12"/>
    <sheet name="Медикаменты Июнь" sheetId="13" r:id="rId13"/>
    <sheet name="Перевязочные Июнь" sheetId="14" r:id="rId14"/>
    <sheet name="Медикаменты Июль" sheetId="15" r:id="rId15"/>
    <sheet name="Перевязочные Июль" sheetId="16" r:id="rId16"/>
    <sheet name="Медикаменты Август" sheetId="17" r:id="rId17"/>
    <sheet name="Перевязочные Август" sheetId="18" r:id="rId18"/>
    <sheet name="Медикаменты Сентябрь" sheetId="19" r:id="rId19"/>
    <sheet name="Перевязочные Сентябрь" sheetId="20" r:id="rId20"/>
    <sheet name="Медикаменты Октябрь" sheetId="21" r:id="rId21"/>
    <sheet name="Перевязочные Октябрь" sheetId="22" r:id="rId22"/>
    <sheet name="Медикаменты Ноябрь" sheetId="23" r:id="rId23"/>
    <sheet name="Перевязочные Ноябрь" sheetId="24" r:id="rId24"/>
    <sheet name="Медикаменты Декабрь" sheetId="25" r:id="rId25"/>
    <sheet name="Перевязочные Декабрь" sheetId="26" r:id="rId26"/>
  </sheets>
  <definedNames>
    <definedName name="_FilterDatabase_0" localSheetId="16">'Медикаменты Август'!$A$2:$Q$392</definedName>
    <definedName name="_FilterDatabase_0" localSheetId="8">'Медикаменты Апрель'!$A$2:$Q$367</definedName>
    <definedName name="_FilterDatabase_0" localSheetId="24">'Медикаменты Декабрь'!$A$2:$Q$401</definedName>
    <definedName name="_FilterDatabase_0" localSheetId="14">'Медикаменты Июль'!$A$2:$Q$388</definedName>
    <definedName name="_FilterDatabase_0" localSheetId="12">'Медикаменты Июнь'!$A$2:$Q$378</definedName>
    <definedName name="_FilterDatabase_0" localSheetId="10">'Медикаменты Май'!$A$2:$Q$375</definedName>
    <definedName name="_FilterDatabase_0" localSheetId="6">'Медикаменты Март'!$A$2:$Q$365</definedName>
    <definedName name="_FilterDatabase_0" localSheetId="22">'Медикаменты Ноябрь'!$A$2:$Q$401</definedName>
    <definedName name="_FilterDatabase_0" localSheetId="20">'Медикаменты Октябрь'!$A$2:$Q$400</definedName>
    <definedName name="_FilterDatabase_0" localSheetId="18">'Медикаменты Сентябрь'!$A$2:$Q$395</definedName>
    <definedName name="_FilterDatabase_0" localSheetId="4">'Медикаменты Февраль'!$A$2:$P$361</definedName>
    <definedName name="_FilterDatabase_0" localSheetId="0">'Медикаменты Январь'!$A$2:$P$361</definedName>
    <definedName name="_FilterDatabase_0" localSheetId="2">'Медикаменты Январь_2'!$A$2:$P$361</definedName>
    <definedName name="_FilterDatabase_1" localSheetId="16">'Медикаменты Август'!$A$2:$O$4</definedName>
    <definedName name="_FilterDatabase_10" localSheetId="4">'Медикаменты Февраль'!$A$2:$N$4</definedName>
    <definedName name="_FilterDatabase_11" localSheetId="0">'Медикаменты Январь'!$A$2:$N$4</definedName>
    <definedName name="_FilterDatabase_12" localSheetId="2">'Медикаменты Январь_2'!$A$2:$N$4</definedName>
    <definedName name="_FilterDatabase_2" localSheetId="8">'Медикаменты Апрель'!$A$2:$O$4</definedName>
    <definedName name="_FilterDatabase_3" localSheetId="14">'Медикаменты Июль'!$A$2:$O$4</definedName>
    <definedName name="_FilterDatabase_4" localSheetId="12">'Медикаменты Июнь'!$A$2:$O$4</definedName>
    <definedName name="_FilterDatabase_5" localSheetId="10">'Медикаменты Май'!$A$2:$O$4</definedName>
    <definedName name="_FilterDatabase_6" localSheetId="6">'Медикаменты Март'!$A$2:$O$4</definedName>
    <definedName name="_FilterDatabase_7" localSheetId="24">'Медикаменты Декабрь'!$A$2:$O$4</definedName>
    <definedName name="_FilterDatabase_7" localSheetId="22">'Медикаменты Ноябрь'!$A$2:$O$4</definedName>
    <definedName name="_FilterDatabase_8" localSheetId="20">'Медикаменты Октябрь'!$A$2:$O$4</definedName>
    <definedName name="_FilterDatabase_9" localSheetId="18">'Медикаменты Сентябрь'!$A$2:$O$4</definedName>
    <definedName name="_xlnm._FilterDatabase" localSheetId="16" hidden="1">'Медикаменты Август'!$A$2:$Q$393</definedName>
    <definedName name="_xlnm._FilterDatabase" localSheetId="8" hidden="1">'Медикаменты Апрель'!$A$2:$Q$368</definedName>
    <definedName name="_xlnm._FilterDatabase" localSheetId="24" hidden="1">'Медикаменты Декабрь'!$A$2:$Q$402</definedName>
    <definedName name="_xlnm._FilterDatabase" localSheetId="14" hidden="1">'Медикаменты Июль'!$A$2:$Q$389</definedName>
    <definedName name="_xlnm._FilterDatabase" localSheetId="12" hidden="1">'Медикаменты Июнь'!$A$2:$Q$379</definedName>
    <definedName name="_xlnm._FilterDatabase" localSheetId="10" hidden="1">'Медикаменты Май'!$A$2:$Q$376</definedName>
    <definedName name="_xlnm._FilterDatabase" localSheetId="6" hidden="1">'Медикаменты Март'!$A$2:$Q$366</definedName>
    <definedName name="_xlnm._FilterDatabase" localSheetId="22" hidden="1">'Медикаменты Ноябрь'!$A$2:$Q$402</definedName>
    <definedName name="_xlnm._FilterDatabase" localSheetId="20" hidden="1">'Медикаменты Октябрь'!$A$2:$Q$401</definedName>
    <definedName name="_xlnm._FilterDatabase" localSheetId="18" hidden="1">'Медикаменты Сентябрь'!$A$2:$Q$396</definedName>
    <definedName name="_xlnm._FilterDatabase" localSheetId="4" hidden="1">'Медикаменты Февраль'!$A$2:$P$362</definedName>
    <definedName name="_xlnm._FilterDatabase" localSheetId="0" hidden="1">'Медикаменты Январь'!$A$2:$P$362</definedName>
    <definedName name="_xlnm._FilterDatabase" localSheetId="2" hidden="1">'Медикаменты Январь_2'!$A$2:$P$362</definedName>
    <definedName name="_xlnm._FilterDatabase" localSheetId="17" hidden="1">'Перевязочные Август'!$A$2:$N$4</definedName>
    <definedName name="_xlnm._FilterDatabase" localSheetId="9" hidden="1">'Перевязочные Апрель'!$A$2:$N$4</definedName>
    <definedName name="_xlnm._FilterDatabase" localSheetId="25" hidden="1">'Перевязочные Декабрь'!$A$2:$N$4</definedName>
    <definedName name="_xlnm._FilterDatabase" localSheetId="15" hidden="1">'Перевязочные Июль'!$A$2:$N$4</definedName>
    <definedName name="_xlnm._FilterDatabase" localSheetId="13" hidden="1">'Перевязочные Июнь'!$A$2:$N$4</definedName>
    <definedName name="_xlnm._FilterDatabase" localSheetId="11" hidden="1">'Перевязочные Май'!$A$2:$N$4</definedName>
    <definedName name="_xlnm._FilterDatabase" localSheetId="7" hidden="1">'Перевязочные Март'!$A$2:$N$4</definedName>
    <definedName name="_xlnm._FilterDatabase" localSheetId="23" hidden="1">'Перевязочные Ноябрь'!$A$2:$N$4</definedName>
    <definedName name="_xlnm._FilterDatabase" localSheetId="21" hidden="1">'Перевязочные Октябрь'!$A$2:$N$4</definedName>
    <definedName name="_xlnm._FilterDatabase" localSheetId="19" hidden="1">'Перевязочные Сентябрь'!$A$2:$N$4</definedName>
    <definedName name="_xlnm._FilterDatabase" localSheetId="5" hidden="1">'Перевязочные Февраль'!$A$2:$N$4</definedName>
    <definedName name="_xlnm._FilterDatabase" localSheetId="1" hidden="1">'Перевязочные Январь'!$A$2:$N$4</definedName>
    <definedName name="_xlnm._FilterDatabase" localSheetId="3" hidden="1">'Перевязочные Январь_2'!$A$2:$N$4</definedName>
  </definedNames>
  <calcPr calcId="1257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9" i="23"/>
  <c r="K26" i="26"/>
  <c r="K25"/>
  <c r="K24"/>
  <c r="K23"/>
  <c r="K22"/>
  <c r="G21"/>
  <c r="F21"/>
  <c r="K21" s="1"/>
  <c r="K20"/>
  <c r="F19"/>
  <c r="K19" s="1"/>
  <c r="K18"/>
  <c r="K17"/>
  <c r="F16"/>
  <c r="K16" s="1"/>
  <c r="K15"/>
  <c r="K14"/>
  <c r="G13"/>
  <c r="K13" s="1"/>
  <c r="G12"/>
  <c r="K12" s="1"/>
  <c r="K11"/>
  <c r="K10"/>
  <c r="K9"/>
  <c r="K8"/>
  <c r="K7"/>
  <c r="K6"/>
  <c r="F5"/>
  <c r="K5" s="1"/>
  <c r="F402" i="25"/>
  <c r="K402" s="1"/>
  <c r="K401"/>
  <c r="K400"/>
  <c r="K399"/>
  <c r="K398"/>
  <c r="K397"/>
  <c r="H396"/>
  <c r="F396"/>
  <c r="K396" s="1"/>
  <c r="E396"/>
  <c r="K395"/>
  <c r="K394"/>
  <c r="H393"/>
  <c r="F393"/>
  <c r="K393" s="1"/>
  <c r="F392"/>
  <c r="K392" s="1"/>
  <c r="K391"/>
  <c r="K390"/>
  <c r="F390"/>
  <c r="K389"/>
  <c r="F389"/>
  <c r="K388"/>
  <c r="K387"/>
  <c r="K386"/>
  <c r="G386"/>
  <c r="K385"/>
  <c r="F385"/>
  <c r="K384"/>
  <c r="K383"/>
  <c r="K382"/>
  <c r="K381"/>
  <c r="K380"/>
  <c r="K379"/>
  <c r="K378"/>
  <c r="F378"/>
  <c r="K377"/>
  <c r="K376"/>
  <c r="K375"/>
  <c r="K374"/>
  <c r="K373"/>
  <c r="K372"/>
  <c r="K371"/>
  <c r="K370"/>
  <c r="K369"/>
  <c r="K368"/>
  <c r="K367"/>
  <c r="F366"/>
  <c r="K366" s="1"/>
  <c r="K365"/>
  <c r="K364"/>
  <c r="K363"/>
  <c r="K362"/>
  <c r="F362"/>
  <c r="K361"/>
  <c r="K360"/>
  <c r="K359"/>
  <c r="F359"/>
  <c r="K358"/>
  <c r="F358"/>
  <c r="H357"/>
  <c r="F357"/>
  <c r="K357" s="1"/>
  <c r="K356"/>
  <c r="H355"/>
  <c r="F355"/>
  <c r="K355" s="1"/>
  <c r="K354"/>
  <c r="K353"/>
  <c r="K352"/>
  <c r="K351"/>
  <c r="K350"/>
  <c r="K349"/>
  <c r="F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F330"/>
  <c r="K329"/>
  <c r="K328"/>
  <c r="K327"/>
  <c r="K326"/>
  <c r="K325"/>
  <c r="K324"/>
  <c r="K323"/>
  <c r="F323"/>
  <c r="K322"/>
  <c r="K321"/>
  <c r="K320"/>
  <c r="K319"/>
  <c r="K318"/>
  <c r="K317"/>
  <c r="K316"/>
  <c r="K315"/>
  <c r="K314"/>
  <c r="K313"/>
  <c r="K312"/>
  <c r="K311"/>
  <c r="K310"/>
  <c r="F310"/>
  <c r="K309"/>
  <c r="K308"/>
  <c r="K307"/>
  <c r="F306"/>
  <c r="K306" s="1"/>
  <c r="K305"/>
  <c r="K304"/>
  <c r="F303"/>
  <c r="K303" s="1"/>
  <c r="E303"/>
  <c r="K302"/>
  <c r="K301"/>
  <c r="K300"/>
  <c r="K299"/>
  <c r="K298"/>
  <c r="F297"/>
  <c r="K297" s="1"/>
  <c r="K296"/>
  <c r="K295"/>
  <c r="K294"/>
  <c r="K293"/>
  <c r="K292"/>
  <c r="K291"/>
  <c r="F290"/>
  <c r="K290" s="1"/>
  <c r="K289"/>
  <c r="F289"/>
  <c r="K288"/>
  <c r="K287"/>
  <c r="K286"/>
  <c r="K285"/>
  <c r="K284"/>
  <c r="K283"/>
  <c r="K282"/>
  <c r="F282"/>
  <c r="K281"/>
  <c r="G280"/>
  <c r="K280" s="1"/>
  <c r="K279"/>
  <c r="K278"/>
  <c r="K277"/>
  <c r="K276"/>
  <c r="K275"/>
  <c r="K274"/>
  <c r="K273"/>
  <c r="K272"/>
  <c r="F272"/>
  <c r="K271"/>
  <c r="K270"/>
  <c r="K269"/>
  <c r="K268"/>
  <c r="K267"/>
  <c r="F267"/>
  <c r="K266"/>
  <c r="K265"/>
  <c r="K264"/>
  <c r="F263"/>
  <c r="K263" s="1"/>
  <c r="F262"/>
  <c r="K262" s="1"/>
  <c r="K261"/>
  <c r="K260"/>
  <c r="K259"/>
  <c r="K258"/>
  <c r="K257"/>
  <c r="K256"/>
  <c r="K255"/>
  <c r="F254"/>
  <c r="K254" s="1"/>
  <c r="K253"/>
  <c r="F252"/>
  <c r="K252" s="1"/>
  <c r="K251"/>
  <c r="K250"/>
  <c r="K249"/>
  <c r="F248"/>
  <c r="K248" s="1"/>
  <c r="K247"/>
  <c r="K246"/>
  <c r="K245"/>
  <c r="K244"/>
  <c r="K243"/>
  <c r="K242"/>
  <c r="K241"/>
  <c r="F241"/>
  <c r="K240"/>
  <c r="F239"/>
  <c r="K239" s="1"/>
  <c r="K238"/>
  <c r="K237"/>
  <c r="K236"/>
  <c r="K235"/>
  <c r="K234"/>
  <c r="K233"/>
  <c r="G232"/>
  <c r="K232" s="1"/>
  <c r="K231"/>
  <c r="K230"/>
  <c r="K229"/>
  <c r="K228"/>
  <c r="K227"/>
  <c r="K226"/>
  <c r="K225"/>
  <c r="K224"/>
  <c r="K223"/>
  <c r="F223"/>
  <c r="K222"/>
  <c r="K221"/>
  <c r="K220"/>
  <c r="F219"/>
  <c r="K219" s="1"/>
  <c r="K218"/>
  <c r="K217"/>
  <c r="K216"/>
  <c r="K215"/>
  <c r="F215"/>
  <c r="K214"/>
  <c r="K213"/>
  <c r="K212"/>
  <c r="K211"/>
  <c r="K210"/>
  <c r="K209"/>
  <c r="K208"/>
  <c r="F208"/>
  <c r="K207"/>
  <c r="K206"/>
  <c r="K205"/>
  <c r="F204"/>
  <c r="K204" s="1"/>
  <c r="F203"/>
  <c r="K203" s="1"/>
  <c r="K202"/>
  <c r="K201"/>
  <c r="K200"/>
  <c r="K199"/>
  <c r="K198"/>
  <c r="K197"/>
  <c r="H196"/>
  <c r="G196"/>
  <c r="F196"/>
  <c r="K196" s="1"/>
  <c r="K195"/>
  <c r="F194"/>
  <c r="K194" s="1"/>
  <c r="K193"/>
  <c r="F193"/>
  <c r="K192"/>
  <c r="K191"/>
  <c r="F190"/>
  <c r="K190" s="1"/>
  <c r="K189"/>
  <c r="F188"/>
  <c r="K188" s="1"/>
  <c r="K187"/>
  <c r="K186"/>
  <c r="K185"/>
  <c r="K184"/>
  <c r="K183"/>
  <c r="K182"/>
  <c r="K181"/>
  <c r="F181"/>
  <c r="K180"/>
  <c r="F179"/>
  <c r="K179" s="1"/>
  <c r="K178"/>
  <c r="K177"/>
  <c r="K176"/>
  <c r="K175"/>
  <c r="K174"/>
  <c r="K173"/>
  <c r="K172"/>
  <c r="K171"/>
  <c r="K170"/>
  <c r="K169"/>
  <c r="F168"/>
  <c r="K168" s="1"/>
  <c r="K167"/>
  <c r="K166"/>
  <c r="F165"/>
  <c r="K165" s="1"/>
  <c r="K164"/>
  <c r="K163"/>
  <c r="F163"/>
  <c r="K162"/>
  <c r="H161"/>
  <c r="G161"/>
  <c r="F161"/>
  <c r="K161" s="1"/>
  <c r="K160"/>
  <c r="K159"/>
  <c r="K158"/>
  <c r="K157"/>
  <c r="K156"/>
  <c r="K155"/>
  <c r="K154"/>
  <c r="K153"/>
  <c r="K152"/>
  <c r="K151"/>
  <c r="F151"/>
  <c r="K150"/>
  <c r="K149"/>
  <c r="K148"/>
  <c r="F148"/>
  <c r="K147"/>
  <c r="K146"/>
  <c r="K145"/>
  <c r="F145"/>
  <c r="K144"/>
  <c r="K143"/>
  <c r="K142"/>
  <c r="K141"/>
  <c r="K140"/>
  <c r="K139"/>
  <c r="K138"/>
  <c r="K137"/>
  <c r="K136"/>
  <c r="K135"/>
  <c r="K134"/>
  <c r="F134"/>
  <c r="K133"/>
  <c r="K132"/>
  <c r="H131"/>
  <c r="G131"/>
  <c r="K131" s="1"/>
  <c r="F131"/>
  <c r="K130"/>
  <c r="K129"/>
  <c r="K128"/>
  <c r="K127"/>
  <c r="K126"/>
  <c r="K125"/>
  <c r="K124"/>
  <c r="F124"/>
  <c r="E124"/>
  <c r="H123"/>
  <c r="K123" s="1"/>
  <c r="K122"/>
  <c r="K121"/>
  <c r="F121"/>
  <c r="E121"/>
  <c r="F120"/>
  <c r="K120" s="1"/>
  <c r="K119"/>
  <c r="K118"/>
  <c r="K117"/>
  <c r="K116"/>
  <c r="K115"/>
  <c r="K114"/>
  <c r="K113"/>
  <c r="K112"/>
  <c r="F111"/>
  <c r="K111" s="1"/>
  <c r="K110"/>
  <c r="K109"/>
  <c r="K108"/>
  <c r="K107"/>
  <c r="K106"/>
  <c r="K105"/>
  <c r="K104"/>
  <c r="K103"/>
  <c r="K102"/>
  <c r="K101"/>
  <c r="K100"/>
  <c r="K99"/>
  <c r="K98"/>
  <c r="K97"/>
  <c r="K96"/>
  <c r="K95"/>
  <c r="F94"/>
  <c r="K94" s="1"/>
  <c r="K93"/>
  <c r="K92"/>
  <c r="K91"/>
  <c r="F90"/>
  <c r="K90" s="1"/>
  <c r="K89"/>
  <c r="K88"/>
  <c r="K87"/>
  <c r="K86"/>
  <c r="K85"/>
  <c r="K84"/>
  <c r="K83"/>
  <c r="K82"/>
  <c r="K81"/>
  <c r="K80"/>
  <c r="K79"/>
  <c r="F79"/>
  <c r="K78"/>
  <c r="K77"/>
  <c r="K76"/>
  <c r="K75"/>
  <c r="K74"/>
  <c r="G74"/>
  <c r="K73"/>
  <c r="F73"/>
  <c r="K72"/>
  <c r="K71"/>
  <c r="K70"/>
  <c r="F69"/>
  <c r="K69" s="1"/>
  <c r="K68"/>
  <c r="K67"/>
  <c r="F67"/>
  <c r="K66"/>
  <c r="K65"/>
  <c r="K64"/>
  <c r="K63"/>
  <c r="K62"/>
  <c r="K61"/>
  <c r="K60"/>
  <c r="K59"/>
  <c r="K58"/>
  <c r="K57"/>
  <c r="K56"/>
  <c r="F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F28"/>
  <c r="K28" s="1"/>
  <c r="K27"/>
  <c r="H26"/>
  <c r="G26"/>
  <c r="F26"/>
  <c r="K26" s="1"/>
  <c r="K25"/>
  <c r="H24"/>
  <c r="G24"/>
  <c r="F24"/>
  <c r="K24" s="1"/>
  <c r="K23"/>
  <c r="K22"/>
  <c r="K21"/>
  <c r="H20"/>
  <c r="G20"/>
  <c r="F20"/>
  <c r="K20" s="1"/>
  <c r="K19"/>
  <c r="K18"/>
  <c r="K17"/>
  <c r="K16"/>
  <c r="K15"/>
  <c r="K14"/>
  <c r="K13"/>
  <c r="K12"/>
  <c r="K11"/>
  <c r="F11"/>
  <c r="K10"/>
  <c r="H9"/>
  <c r="F9"/>
  <c r="K9" s="1"/>
  <c r="K8"/>
  <c r="F8"/>
  <c r="K7"/>
  <c r="G6"/>
  <c r="F6"/>
  <c r="K6" s="1"/>
  <c r="K5"/>
  <c r="K26" i="24"/>
  <c r="K25"/>
  <c r="K24"/>
  <c r="K23"/>
  <c r="K22"/>
  <c r="K21"/>
  <c r="F21"/>
  <c r="K20"/>
  <c r="K19"/>
  <c r="K18"/>
  <c r="K17"/>
  <c r="K16"/>
  <c r="K15"/>
  <c r="K14"/>
  <c r="K13"/>
  <c r="K12"/>
  <c r="H12"/>
  <c r="K11"/>
  <c r="K10"/>
  <c r="K9"/>
  <c r="K8"/>
  <c r="K7"/>
  <c r="K6"/>
  <c r="H5"/>
  <c r="F5"/>
  <c r="K5" s="1"/>
  <c r="K402" i="23"/>
  <c r="K401"/>
  <c r="K400"/>
  <c r="K399"/>
  <c r="K398"/>
  <c r="K397"/>
  <c r="H397"/>
  <c r="K396"/>
  <c r="F396"/>
  <c r="K395"/>
  <c r="K394"/>
  <c r="H393"/>
  <c r="F393"/>
  <c r="K393" s="1"/>
  <c r="H392"/>
  <c r="F392"/>
  <c r="K392" s="1"/>
  <c r="K391"/>
  <c r="F390"/>
  <c r="K390" s="1"/>
  <c r="F389"/>
  <c r="K389" s="1"/>
  <c r="K388"/>
  <c r="K387"/>
  <c r="K386"/>
  <c r="K385"/>
  <c r="F385"/>
  <c r="K384"/>
  <c r="F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F366"/>
  <c r="K365"/>
  <c r="K364"/>
  <c r="K363"/>
  <c r="F362"/>
  <c r="K362" s="1"/>
  <c r="K361"/>
  <c r="K360"/>
  <c r="F359"/>
  <c r="K359" s="1"/>
  <c r="K358"/>
  <c r="H357"/>
  <c r="F357"/>
  <c r="K357" s="1"/>
  <c r="K356"/>
  <c r="K355"/>
  <c r="F355"/>
  <c r="K354"/>
  <c r="K353"/>
  <c r="K352"/>
  <c r="K351"/>
  <c r="K350"/>
  <c r="F349"/>
  <c r="K349" s="1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F330"/>
  <c r="K330" s="1"/>
  <c r="K329"/>
  <c r="K328"/>
  <c r="K327"/>
  <c r="K326"/>
  <c r="K325"/>
  <c r="K324"/>
  <c r="I324"/>
  <c r="K323"/>
  <c r="F323"/>
  <c r="K322"/>
  <c r="F322"/>
  <c r="K321"/>
  <c r="K320"/>
  <c r="K319"/>
  <c r="K318"/>
  <c r="K317"/>
  <c r="K316"/>
  <c r="K315"/>
  <c r="K314"/>
  <c r="K313"/>
  <c r="K312"/>
  <c r="K311"/>
  <c r="F310"/>
  <c r="K310" s="1"/>
  <c r="K309"/>
  <c r="K308"/>
  <c r="K307"/>
  <c r="K306"/>
  <c r="F306"/>
  <c r="K305"/>
  <c r="K304"/>
  <c r="K303"/>
  <c r="K302"/>
  <c r="K301"/>
  <c r="K300"/>
  <c r="K299"/>
  <c r="F299"/>
  <c r="K298"/>
  <c r="F298"/>
  <c r="K297"/>
  <c r="F297"/>
  <c r="K296"/>
  <c r="K295"/>
  <c r="K294"/>
  <c r="K293"/>
  <c r="K292"/>
  <c r="K291"/>
  <c r="K290"/>
  <c r="F290"/>
  <c r="K289"/>
  <c r="F289"/>
  <c r="K288"/>
  <c r="K287"/>
  <c r="K286"/>
  <c r="K285"/>
  <c r="K284"/>
  <c r="F284"/>
  <c r="K283"/>
  <c r="H282"/>
  <c r="F282"/>
  <c r="K282" s="1"/>
  <c r="K281"/>
  <c r="K280"/>
  <c r="K279"/>
  <c r="K278"/>
  <c r="K277"/>
  <c r="K276"/>
  <c r="K275"/>
  <c r="K274"/>
  <c r="K273"/>
  <c r="K272"/>
  <c r="K271"/>
  <c r="K270"/>
  <c r="K269"/>
  <c r="K268"/>
  <c r="K267"/>
  <c r="F267"/>
  <c r="K266"/>
  <c r="F266"/>
  <c r="K265"/>
  <c r="K264"/>
  <c r="K263"/>
  <c r="F263"/>
  <c r="K262"/>
  <c r="F262"/>
  <c r="K261"/>
  <c r="K260"/>
  <c r="K259"/>
  <c r="K258"/>
  <c r="K257"/>
  <c r="F256"/>
  <c r="K256" s="1"/>
  <c r="K255"/>
  <c r="K254"/>
  <c r="K253"/>
  <c r="K252"/>
  <c r="I251"/>
  <c r="K251" s="1"/>
  <c r="K250"/>
  <c r="K249"/>
  <c r="F248"/>
  <c r="K248" s="1"/>
  <c r="K247"/>
  <c r="K246"/>
  <c r="K245"/>
  <c r="K244"/>
  <c r="K243"/>
  <c r="K242"/>
  <c r="H241"/>
  <c r="F241"/>
  <c r="K241" s="1"/>
  <c r="K240"/>
  <c r="F239"/>
  <c r="K239" s="1"/>
  <c r="K238"/>
  <c r="K237"/>
  <c r="K236"/>
  <c r="K235"/>
  <c r="F234"/>
  <c r="K234" s="1"/>
  <c r="K233"/>
  <c r="K232"/>
  <c r="K231"/>
  <c r="K230"/>
  <c r="K229"/>
  <c r="K228"/>
  <c r="K227"/>
  <c r="K226"/>
  <c r="K225"/>
  <c r="K224"/>
  <c r="F223"/>
  <c r="K223" s="1"/>
  <c r="K222"/>
  <c r="K221"/>
  <c r="F220"/>
  <c r="K220" s="1"/>
  <c r="H219"/>
  <c r="K219" s="1"/>
  <c r="K218"/>
  <c r="K217"/>
  <c r="K216"/>
  <c r="K215"/>
  <c r="K214"/>
  <c r="K213"/>
  <c r="K212"/>
  <c r="K211"/>
  <c r="K210"/>
  <c r="K209"/>
  <c r="K208"/>
  <c r="K207"/>
  <c r="K206"/>
  <c r="K205"/>
  <c r="F204"/>
  <c r="K204" s="1"/>
  <c r="K203"/>
  <c r="K202"/>
  <c r="K201"/>
  <c r="K200"/>
  <c r="K199"/>
  <c r="K198"/>
  <c r="F198"/>
  <c r="K197"/>
  <c r="K196"/>
  <c r="K195"/>
  <c r="K194"/>
  <c r="K193"/>
  <c r="F193"/>
  <c r="K192"/>
  <c r="K191"/>
  <c r="K190"/>
  <c r="F190"/>
  <c r="K189"/>
  <c r="F188"/>
  <c r="K188" s="1"/>
  <c r="K187"/>
  <c r="K186"/>
  <c r="K185"/>
  <c r="K184"/>
  <c r="K183"/>
  <c r="K182"/>
  <c r="F181"/>
  <c r="K181" s="1"/>
  <c r="K180"/>
  <c r="K179"/>
  <c r="K178"/>
  <c r="K177"/>
  <c r="K176"/>
  <c r="K175"/>
  <c r="K174"/>
  <c r="K173"/>
  <c r="K172"/>
  <c r="K171"/>
  <c r="K170"/>
  <c r="K169"/>
  <c r="K168"/>
  <c r="K167"/>
  <c r="K166"/>
  <c r="F165"/>
  <c r="K165" s="1"/>
  <c r="K164"/>
  <c r="K163"/>
  <c r="K162"/>
  <c r="K161"/>
  <c r="F161"/>
  <c r="K160"/>
  <c r="K159"/>
  <c r="K158"/>
  <c r="K157"/>
  <c r="K156"/>
  <c r="K155"/>
  <c r="K154"/>
  <c r="F153"/>
  <c r="K153" s="1"/>
  <c r="K152"/>
  <c r="F151"/>
  <c r="K151" s="1"/>
  <c r="K150"/>
  <c r="K149"/>
  <c r="K148"/>
  <c r="K147"/>
  <c r="K146"/>
  <c r="H145"/>
  <c r="F145"/>
  <c r="K145" s="1"/>
  <c r="K144"/>
  <c r="K143"/>
  <c r="K142"/>
  <c r="K141"/>
  <c r="K140"/>
  <c r="K139"/>
  <c r="K138"/>
  <c r="K137"/>
  <c r="K136"/>
  <c r="I135"/>
  <c r="K135" s="1"/>
  <c r="E135"/>
  <c r="F134"/>
  <c r="K134" s="1"/>
  <c r="E134"/>
  <c r="K133"/>
  <c r="K132"/>
  <c r="K131"/>
  <c r="K130"/>
  <c r="K129"/>
  <c r="F128"/>
  <c r="K128" s="1"/>
  <c r="K127"/>
  <c r="K126"/>
  <c r="K125"/>
  <c r="K124"/>
  <c r="F123"/>
  <c r="K123" s="1"/>
  <c r="K122"/>
  <c r="F121"/>
  <c r="K121" s="1"/>
  <c r="F120"/>
  <c r="K120" s="1"/>
  <c r="K119"/>
  <c r="K118"/>
  <c r="I117"/>
  <c r="F117"/>
  <c r="K117" s="1"/>
  <c r="K116"/>
  <c r="K115"/>
  <c r="K114"/>
  <c r="K113"/>
  <c r="F112"/>
  <c r="K112" s="1"/>
  <c r="K111"/>
  <c r="F111"/>
  <c r="H110"/>
  <c r="F110"/>
  <c r="K110" s="1"/>
  <c r="F109"/>
  <c r="K109" s="1"/>
  <c r="K108"/>
  <c r="K107"/>
  <c r="K106"/>
  <c r="K105"/>
  <c r="K104"/>
  <c r="K103"/>
  <c r="K102"/>
  <c r="K101"/>
  <c r="K100"/>
  <c r="K99"/>
  <c r="K98"/>
  <c r="K97"/>
  <c r="H96"/>
  <c r="K96" s="1"/>
  <c r="K95"/>
  <c r="K94"/>
  <c r="K93"/>
  <c r="K92"/>
  <c r="K91"/>
  <c r="I91"/>
  <c r="K90"/>
  <c r="F90"/>
  <c r="K89"/>
  <c r="K88"/>
  <c r="K87"/>
  <c r="K86"/>
  <c r="K85"/>
  <c r="K84"/>
  <c r="K83"/>
  <c r="K82"/>
  <c r="K81"/>
  <c r="K80"/>
  <c r="H79"/>
  <c r="F79"/>
  <c r="K79" s="1"/>
  <c r="K78"/>
  <c r="K77"/>
  <c r="H76"/>
  <c r="F76"/>
  <c r="K76" s="1"/>
  <c r="K75"/>
  <c r="K74"/>
  <c r="K73"/>
  <c r="F73"/>
  <c r="K72"/>
  <c r="K71"/>
  <c r="K70"/>
  <c r="F69"/>
  <c r="K69" s="1"/>
  <c r="K68"/>
  <c r="K67"/>
  <c r="K66"/>
  <c r="K65"/>
  <c r="K64"/>
  <c r="K63"/>
  <c r="K62"/>
  <c r="K61"/>
  <c r="K60"/>
  <c r="K59"/>
  <c r="H58"/>
  <c r="K58" s="1"/>
  <c r="K57"/>
  <c r="K56"/>
  <c r="K55"/>
  <c r="K54"/>
  <c r="F54"/>
  <c r="H53"/>
  <c r="F53"/>
  <c r="K53" s="1"/>
  <c r="K52"/>
  <c r="K51"/>
  <c r="K50"/>
  <c r="K49"/>
  <c r="F48"/>
  <c r="K48" s="1"/>
  <c r="K47"/>
  <c r="K46"/>
  <c r="K45"/>
  <c r="K44"/>
  <c r="K43"/>
  <c r="K42"/>
  <c r="F42"/>
  <c r="K41"/>
  <c r="K40"/>
  <c r="K39"/>
  <c r="K38"/>
  <c r="K37"/>
  <c r="K36"/>
  <c r="K35"/>
  <c r="K34"/>
  <c r="K33"/>
  <c r="K32"/>
  <c r="K31"/>
  <c r="K30"/>
  <c r="K29"/>
  <c r="F28"/>
  <c r="K28" s="1"/>
  <c r="K27"/>
  <c r="K26"/>
  <c r="K25"/>
  <c r="K24"/>
  <c r="K23"/>
  <c r="K22"/>
  <c r="K21"/>
  <c r="K20"/>
  <c r="F20"/>
  <c r="K19"/>
  <c r="K18"/>
  <c r="K17"/>
  <c r="K16"/>
  <c r="K15"/>
  <c r="K14"/>
  <c r="K13"/>
  <c r="K12"/>
  <c r="F12"/>
  <c r="H11"/>
  <c r="F11"/>
  <c r="K11" s="1"/>
  <c r="K10"/>
  <c r="K9"/>
  <c r="F9"/>
  <c r="K8"/>
  <c r="F8"/>
  <c r="K7"/>
  <c r="K6"/>
  <c r="K5"/>
  <c r="F5"/>
  <c r="K26" i="22"/>
  <c r="F25"/>
  <c r="K25" s="1"/>
  <c r="K24"/>
  <c r="K23"/>
  <c r="K22"/>
  <c r="K21"/>
  <c r="F21"/>
  <c r="K20"/>
  <c r="F19"/>
  <c r="K19" s="1"/>
  <c r="K18"/>
  <c r="K17"/>
  <c r="F17"/>
  <c r="K16"/>
  <c r="F16"/>
  <c r="K15"/>
  <c r="K14"/>
  <c r="K13"/>
  <c r="K12"/>
  <c r="K11"/>
  <c r="K10"/>
  <c r="K9"/>
  <c r="K8"/>
  <c r="K7"/>
  <c r="K6"/>
  <c r="K5"/>
  <c r="F5"/>
  <c r="K401" i="21"/>
  <c r="F401"/>
  <c r="K400"/>
  <c r="K399"/>
  <c r="K398"/>
  <c r="K397"/>
  <c r="K396"/>
  <c r="F396"/>
  <c r="E396"/>
  <c r="F395"/>
  <c r="K395" s="1"/>
  <c r="K394"/>
  <c r="E394"/>
  <c r="K393"/>
  <c r="K392"/>
  <c r="F392"/>
  <c r="K391"/>
  <c r="F391"/>
  <c r="K390"/>
  <c r="F389"/>
  <c r="K389" s="1"/>
  <c r="F388"/>
  <c r="K388" s="1"/>
  <c r="K387"/>
  <c r="K386"/>
  <c r="K385"/>
  <c r="E385"/>
  <c r="L385" s="1"/>
  <c r="C386" i="23" s="1"/>
  <c r="L386" s="1"/>
  <c r="C386" i="25" s="1"/>
  <c r="L386" s="1"/>
  <c r="K384" i="21"/>
  <c r="E384"/>
  <c r="L384" s="1"/>
  <c r="C385" i="23" s="1"/>
  <c r="L385" s="1"/>
  <c r="C385" i="25" s="1"/>
  <c r="L385" s="1"/>
  <c r="F383" i="21"/>
  <c r="K383" s="1"/>
  <c r="K382"/>
  <c r="K381"/>
  <c r="K380"/>
  <c r="K379"/>
  <c r="K378"/>
  <c r="K377"/>
  <c r="K376"/>
  <c r="K375"/>
  <c r="F374"/>
  <c r="K374" s="1"/>
  <c r="K373"/>
  <c r="K372"/>
  <c r="K371"/>
  <c r="K370"/>
  <c r="K369"/>
  <c r="K368"/>
  <c r="K367"/>
  <c r="K366"/>
  <c r="F365"/>
  <c r="K365" s="1"/>
  <c r="K364"/>
  <c r="K363"/>
  <c r="K362"/>
  <c r="K361"/>
  <c r="F361"/>
  <c r="K360"/>
  <c r="K359"/>
  <c r="K358"/>
  <c r="F358"/>
  <c r="K357"/>
  <c r="F356"/>
  <c r="K356" s="1"/>
  <c r="K355"/>
  <c r="H354"/>
  <c r="F354"/>
  <c r="K354" s="1"/>
  <c r="K353"/>
  <c r="K352"/>
  <c r="K351"/>
  <c r="K350"/>
  <c r="K349"/>
  <c r="K348"/>
  <c r="F348"/>
  <c r="K347"/>
  <c r="K346"/>
  <c r="K345"/>
  <c r="K344"/>
  <c r="K343"/>
  <c r="K342"/>
  <c r="K341"/>
  <c r="G340"/>
  <c r="F340"/>
  <c r="K340" s="1"/>
  <c r="K339"/>
  <c r="K338"/>
  <c r="K337"/>
  <c r="K336"/>
  <c r="K335"/>
  <c r="K334"/>
  <c r="K333"/>
  <c r="K332"/>
  <c r="K331"/>
  <c r="K330"/>
  <c r="K329"/>
  <c r="F329"/>
  <c r="K328"/>
  <c r="K327"/>
  <c r="K326"/>
  <c r="K325"/>
  <c r="K324"/>
  <c r="K323"/>
  <c r="K322"/>
  <c r="F321"/>
  <c r="K321" s="1"/>
  <c r="K320"/>
  <c r="K319"/>
  <c r="K318"/>
  <c r="K317"/>
  <c r="K316"/>
  <c r="K315"/>
  <c r="K314"/>
  <c r="K313"/>
  <c r="K312"/>
  <c r="K311"/>
  <c r="K310"/>
  <c r="K309"/>
  <c r="K308"/>
  <c r="K307"/>
  <c r="K306"/>
  <c r="K305"/>
  <c r="H305"/>
  <c r="K304"/>
  <c r="K303"/>
  <c r="K302"/>
  <c r="K301"/>
  <c r="K300"/>
  <c r="K299"/>
  <c r="F298"/>
  <c r="K298" s="1"/>
  <c r="F297"/>
  <c r="K297" s="1"/>
  <c r="K296"/>
  <c r="K295"/>
  <c r="F295"/>
  <c r="K294"/>
  <c r="E294"/>
  <c r="L294" s="1"/>
  <c r="C295" i="23" s="1"/>
  <c r="L295" s="1"/>
  <c r="C295" i="25" s="1"/>
  <c r="L295" s="1"/>
  <c r="K293" i="21"/>
  <c r="K292"/>
  <c r="K291"/>
  <c r="K290"/>
  <c r="F289"/>
  <c r="K289" s="1"/>
  <c r="K288"/>
  <c r="K287"/>
  <c r="K286"/>
  <c r="K285"/>
  <c r="K284"/>
  <c r="K283"/>
  <c r="F283"/>
  <c r="K282"/>
  <c r="F281"/>
  <c r="K281" s="1"/>
  <c r="K280"/>
  <c r="K279"/>
  <c r="K278"/>
  <c r="K277"/>
  <c r="K276"/>
  <c r="K275"/>
  <c r="K274"/>
  <c r="K273"/>
  <c r="K272"/>
  <c r="K271"/>
  <c r="F271"/>
  <c r="K270"/>
  <c r="K269"/>
  <c r="K268"/>
  <c r="K267"/>
  <c r="K266"/>
  <c r="F266"/>
  <c r="K265"/>
  <c r="K264"/>
  <c r="K263"/>
  <c r="H262"/>
  <c r="F262"/>
  <c r="K262" s="1"/>
  <c r="K261"/>
  <c r="F261"/>
  <c r="K260"/>
  <c r="K259"/>
  <c r="K258"/>
  <c r="F258"/>
  <c r="K257"/>
  <c r="K256"/>
  <c r="K255"/>
  <c r="K254"/>
  <c r="E254"/>
  <c r="L254" s="1"/>
  <c r="C255" i="23" s="1"/>
  <c r="L255" s="1"/>
  <c r="C255" i="25" s="1"/>
  <c r="L255" s="1"/>
  <c r="K253" i="21"/>
  <c r="F253"/>
  <c r="K252"/>
  <c r="K251"/>
  <c r="E251"/>
  <c r="L251" s="1"/>
  <c r="C252" i="23" s="1"/>
  <c r="L252" s="1"/>
  <c r="C252" i="25" s="1"/>
  <c r="L252" s="1"/>
  <c r="K250" i="21"/>
  <c r="F249"/>
  <c r="K249" s="1"/>
  <c r="K248"/>
  <c r="E248"/>
  <c r="L248" s="1"/>
  <c r="C249" i="23" s="1"/>
  <c r="L249" s="1"/>
  <c r="C249" i="25" s="1"/>
  <c r="L249" s="1"/>
  <c r="K247" i="21"/>
  <c r="F247"/>
  <c r="K246"/>
  <c r="K245"/>
  <c r="K244"/>
  <c r="K243"/>
  <c r="K242"/>
  <c r="K241"/>
  <c r="K240"/>
  <c r="F240"/>
  <c r="K239"/>
  <c r="F238"/>
  <c r="K238" s="1"/>
  <c r="K237"/>
  <c r="K236"/>
  <c r="K235"/>
  <c r="K234"/>
  <c r="G234"/>
  <c r="K233"/>
  <c r="F233"/>
  <c r="K232"/>
  <c r="K231"/>
  <c r="K230"/>
  <c r="K229"/>
  <c r="K228"/>
  <c r="K227"/>
  <c r="K226"/>
  <c r="K225"/>
  <c r="K224"/>
  <c r="K223"/>
  <c r="K222"/>
  <c r="K221"/>
  <c r="K220"/>
  <c r="F219"/>
  <c r="K219" s="1"/>
  <c r="K218"/>
  <c r="K217"/>
  <c r="K216"/>
  <c r="K215"/>
  <c r="F214"/>
  <c r="K214" s="1"/>
  <c r="K213"/>
  <c r="K212"/>
  <c r="K211"/>
  <c r="K210"/>
  <c r="K209"/>
  <c r="K208"/>
  <c r="F207"/>
  <c r="K207" s="1"/>
  <c r="K206"/>
  <c r="K205"/>
  <c r="K204"/>
  <c r="K203"/>
  <c r="K202"/>
  <c r="K201"/>
  <c r="K200"/>
  <c r="K199"/>
  <c r="F198"/>
  <c r="K198" s="1"/>
  <c r="K197"/>
  <c r="K196"/>
  <c r="F195"/>
  <c r="K195" s="1"/>
  <c r="K194"/>
  <c r="K193"/>
  <c r="F192"/>
  <c r="K192" s="1"/>
  <c r="K191"/>
  <c r="K190"/>
  <c r="F189"/>
  <c r="K189" s="1"/>
  <c r="G188"/>
  <c r="K188" s="1"/>
  <c r="F187"/>
  <c r="K187" s="1"/>
  <c r="K186"/>
  <c r="K185"/>
  <c r="K184"/>
  <c r="K183"/>
  <c r="K182"/>
  <c r="K181"/>
  <c r="G181"/>
  <c r="K180"/>
  <c r="F180"/>
  <c r="K179"/>
  <c r="F178"/>
  <c r="K178" s="1"/>
  <c r="K177"/>
  <c r="K176"/>
  <c r="K175"/>
  <c r="K174"/>
  <c r="K173"/>
  <c r="K172"/>
  <c r="K171"/>
  <c r="K170"/>
  <c r="K169"/>
  <c r="K168"/>
  <c r="G167"/>
  <c r="F167"/>
  <c r="K167" s="1"/>
  <c r="K166"/>
  <c r="K165"/>
  <c r="E165"/>
  <c r="L165" s="1"/>
  <c r="C166" i="23" s="1"/>
  <c r="L166" s="1"/>
  <c r="C166" i="25" s="1"/>
  <c r="L166" s="1"/>
  <c r="K164" i="21"/>
  <c r="F164"/>
  <c r="K163"/>
  <c r="G163"/>
  <c r="K162"/>
  <c r="F162"/>
  <c r="K161"/>
  <c r="K160"/>
  <c r="K159"/>
  <c r="K158"/>
  <c r="K157"/>
  <c r="K156"/>
  <c r="K155"/>
  <c r="F155"/>
  <c r="K154"/>
  <c r="K153"/>
  <c r="K152"/>
  <c r="K151"/>
  <c r="K150"/>
  <c r="K149"/>
  <c r="K148"/>
  <c r="K147"/>
  <c r="K146"/>
  <c r="F145"/>
  <c r="K145" s="1"/>
  <c r="F144"/>
  <c r="K144" s="1"/>
  <c r="K143"/>
  <c r="K142"/>
  <c r="K141"/>
  <c r="K140"/>
  <c r="F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F123"/>
  <c r="K122"/>
  <c r="F121"/>
  <c r="K121" s="1"/>
  <c r="F120"/>
  <c r="K120" s="1"/>
  <c r="E120"/>
  <c r="K119"/>
  <c r="K118"/>
  <c r="K117"/>
  <c r="F116"/>
  <c r="K116" s="1"/>
  <c r="K115"/>
  <c r="K114"/>
  <c r="K113"/>
  <c r="K112"/>
  <c r="E112"/>
  <c r="K111"/>
  <c r="F111"/>
  <c r="K110"/>
  <c r="F109"/>
  <c r="K109" s="1"/>
  <c r="K108"/>
  <c r="K107"/>
  <c r="K106"/>
  <c r="K105"/>
  <c r="K104"/>
  <c r="K103"/>
  <c r="K102"/>
  <c r="K101"/>
  <c r="K100"/>
  <c r="K99"/>
  <c r="K98"/>
  <c r="K97"/>
  <c r="F96"/>
  <c r="K96" s="1"/>
  <c r="K95"/>
  <c r="K94"/>
  <c r="K93"/>
  <c r="K92"/>
  <c r="K91"/>
  <c r="K90"/>
  <c r="F90"/>
  <c r="K89"/>
  <c r="K88"/>
  <c r="K87"/>
  <c r="K86"/>
  <c r="K85"/>
  <c r="K84"/>
  <c r="K83"/>
  <c r="F83"/>
  <c r="K82"/>
  <c r="K81"/>
  <c r="K80"/>
  <c r="G80"/>
  <c r="K79"/>
  <c r="F79"/>
  <c r="K78"/>
  <c r="E78"/>
  <c r="K77"/>
  <c r="K76"/>
  <c r="K75"/>
  <c r="K74"/>
  <c r="K73"/>
  <c r="F73"/>
  <c r="K72"/>
  <c r="F72"/>
  <c r="K71"/>
  <c r="K70"/>
  <c r="K69"/>
  <c r="F69"/>
  <c r="K68"/>
  <c r="F67"/>
  <c r="K67" s="1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F42"/>
  <c r="K42" s="1"/>
  <c r="H41"/>
  <c r="F41"/>
  <c r="K41" s="1"/>
  <c r="E41"/>
  <c r="K40"/>
  <c r="K39"/>
  <c r="F39"/>
  <c r="K38"/>
  <c r="K37"/>
  <c r="K36"/>
  <c r="K35"/>
  <c r="K34"/>
  <c r="G34"/>
  <c r="K33"/>
  <c r="K32"/>
  <c r="K31"/>
  <c r="K30"/>
  <c r="K29"/>
  <c r="K28"/>
  <c r="K27"/>
  <c r="F26"/>
  <c r="K26" s="1"/>
  <c r="K25"/>
  <c r="K24"/>
  <c r="K23"/>
  <c r="K22"/>
  <c r="K21"/>
  <c r="K20"/>
  <c r="F19"/>
  <c r="K19" s="1"/>
  <c r="F18"/>
  <c r="K18" s="1"/>
  <c r="K17"/>
  <c r="K16"/>
  <c r="K15"/>
  <c r="K14"/>
  <c r="K13"/>
  <c r="K12"/>
  <c r="F11"/>
  <c r="K11" s="1"/>
  <c r="K10"/>
  <c r="K9"/>
  <c r="F8"/>
  <c r="K8" s="1"/>
  <c r="L8" s="1"/>
  <c r="C8" i="23" s="1"/>
  <c r="L8" s="1"/>
  <c r="C8" i="25" s="1"/>
  <c r="L8" s="1"/>
  <c r="E8" i="21"/>
  <c r="K7"/>
  <c r="E7"/>
  <c r="L7" s="1"/>
  <c r="C7" i="23" s="1"/>
  <c r="L7" s="1"/>
  <c r="C7" i="25" s="1"/>
  <c r="L7" s="1"/>
  <c r="K6" i="21"/>
  <c r="E6"/>
  <c r="L6" s="1"/>
  <c r="C6" i="23" s="1"/>
  <c r="L6" s="1"/>
  <c r="C6" i="25" s="1"/>
  <c r="L6" s="1"/>
  <c r="G5" i="21"/>
  <c r="K5" s="1"/>
  <c r="E5"/>
  <c r="K26" i="20"/>
  <c r="K25"/>
  <c r="K24"/>
  <c r="K23"/>
  <c r="K22"/>
  <c r="F21"/>
  <c r="K21" s="1"/>
  <c r="K20"/>
  <c r="K19"/>
  <c r="K18"/>
  <c r="K17"/>
  <c r="K16"/>
  <c r="K15"/>
  <c r="F15"/>
  <c r="K14"/>
  <c r="K13"/>
  <c r="K12"/>
  <c r="F12"/>
  <c r="K11"/>
  <c r="K10"/>
  <c r="K9"/>
  <c r="K8"/>
  <c r="K7"/>
  <c r="J6"/>
  <c r="K6" s="1"/>
  <c r="F5"/>
  <c r="K5" s="1"/>
  <c r="J396" i="19"/>
  <c r="F396"/>
  <c r="K396" s="1"/>
  <c r="K395"/>
  <c r="K394"/>
  <c r="K393"/>
  <c r="K392"/>
  <c r="K391"/>
  <c r="H390"/>
  <c r="F390"/>
  <c r="K390" s="1"/>
  <c r="E390"/>
  <c r="K389"/>
  <c r="K388"/>
  <c r="F387"/>
  <c r="K387" s="1"/>
  <c r="F386"/>
  <c r="K386" s="1"/>
  <c r="K385"/>
  <c r="K384"/>
  <c r="F384"/>
  <c r="H383"/>
  <c r="F383"/>
  <c r="K383" s="1"/>
  <c r="K382"/>
  <c r="K381"/>
  <c r="F380"/>
  <c r="K380" s="1"/>
  <c r="K379"/>
  <c r="K378"/>
  <c r="F378"/>
  <c r="K377"/>
  <c r="K376"/>
  <c r="K375"/>
  <c r="K374"/>
  <c r="K373"/>
  <c r="K372"/>
  <c r="K371"/>
  <c r="K370"/>
  <c r="K369"/>
  <c r="F369"/>
  <c r="K368"/>
  <c r="K367"/>
  <c r="K366"/>
  <c r="K365"/>
  <c r="K364"/>
  <c r="K363"/>
  <c r="H362"/>
  <c r="F362"/>
  <c r="K362" s="1"/>
  <c r="K361"/>
  <c r="K360"/>
  <c r="K359"/>
  <c r="H358"/>
  <c r="F358"/>
  <c r="K358" s="1"/>
  <c r="K357"/>
  <c r="K356"/>
  <c r="F355"/>
  <c r="K355" s="1"/>
  <c r="K354"/>
  <c r="K353"/>
  <c r="F353"/>
  <c r="K352"/>
  <c r="F351"/>
  <c r="K351" s="1"/>
  <c r="F350"/>
  <c r="K350" s="1"/>
  <c r="K349"/>
  <c r="K348"/>
  <c r="K347"/>
  <c r="K346"/>
  <c r="F345"/>
  <c r="K345" s="1"/>
  <c r="K344"/>
  <c r="K343"/>
  <c r="K342"/>
  <c r="K341"/>
  <c r="K340"/>
  <c r="K339"/>
  <c r="K338"/>
  <c r="K337"/>
  <c r="F337"/>
  <c r="K336"/>
  <c r="K335"/>
  <c r="K334"/>
  <c r="K333"/>
  <c r="K332"/>
  <c r="K331"/>
  <c r="K330"/>
  <c r="K329"/>
  <c r="K328"/>
  <c r="K327"/>
  <c r="H326"/>
  <c r="F326"/>
  <c r="K326" s="1"/>
  <c r="K325"/>
  <c r="K324"/>
  <c r="K323"/>
  <c r="K322"/>
  <c r="K321"/>
  <c r="K320"/>
  <c r="E320"/>
  <c r="K319"/>
  <c r="K318"/>
  <c r="K317"/>
  <c r="F317"/>
  <c r="K316"/>
  <c r="K315"/>
  <c r="K314"/>
  <c r="K313"/>
  <c r="K312"/>
  <c r="K311"/>
  <c r="K310"/>
  <c r="K309"/>
  <c r="K308"/>
  <c r="K307"/>
  <c r="K306"/>
  <c r="F306"/>
  <c r="K305"/>
  <c r="K304"/>
  <c r="K303"/>
  <c r="F302"/>
  <c r="K302" s="1"/>
  <c r="K301"/>
  <c r="K300"/>
  <c r="K299"/>
  <c r="K298"/>
  <c r="K297"/>
  <c r="K296"/>
  <c r="F295"/>
  <c r="K295" s="1"/>
  <c r="F294"/>
  <c r="K294" s="1"/>
  <c r="F293"/>
  <c r="K293" s="1"/>
  <c r="K292"/>
  <c r="K291"/>
  <c r="K290"/>
  <c r="K289"/>
  <c r="K288"/>
  <c r="K287"/>
  <c r="F287"/>
  <c r="K286"/>
  <c r="F286"/>
  <c r="K285"/>
  <c r="K284"/>
  <c r="K283"/>
  <c r="K282"/>
  <c r="K281"/>
  <c r="F281"/>
  <c r="K280"/>
  <c r="H279"/>
  <c r="F279"/>
  <c r="K279" s="1"/>
  <c r="E279"/>
  <c r="K278"/>
  <c r="K277"/>
  <c r="E277"/>
  <c r="K276"/>
  <c r="K275"/>
  <c r="K274"/>
  <c r="K273"/>
  <c r="K272"/>
  <c r="K271"/>
  <c r="K270"/>
  <c r="F269"/>
  <c r="K269" s="1"/>
  <c r="K268"/>
  <c r="K267"/>
  <c r="K266"/>
  <c r="K265"/>
  <c r="K264"/>
  <c r="E264"/>
  <c r="J263"/>
  <c r="H263"/>
  <c r="F263"/>
  <c r="K263" s="1"/>
  <c r="K262"/>
  <c r="K261"/>
  <c r="F260"/>
  <c r="K260" s="1"/>
  <c r="F259"/>
  <c r="K259" s="1"/>
  <c r="K258"/>
  <c r="K257"/>
  <c r="F256"/>
  <c r="K256" s="1"/>
  <c r="F255"/>
  <c r="K255" s="1"/>
  <c r="K254"/>
  <c r="K253"/>
  <c r="K252"/>
  <c r="K251"/>
  <c r="K250"/>
  <c r="E250"/>
  <c r="L250" s="1"/>
  <c r="C250" i="21" s="1"/>
  <c r="L250" s="1"/>
  <c r="C251" i="23" s="1"/>
  <c r="L251" s="1"/>
  <c r="C251" i="25" s="1"/>
  <c r="L251" s="1"/>
  <c r="K249" i="19"/>
  <c r="E249"/>
  <c r="K248"/>
  <c r="F248"/>
  <c r="K247"/>
  <c r="K246"/>
  <c r="K245"/>
  <c r="K244"/>
  <c r="K243"/>
  <c r="K242"/>
  <c r="H241"/>
  <c r="F241"/>
  <c r="K241" s="1"/>
  <c r="E241"/>
  <c r="K240"/>
  <c r="F239"/>
  <c r="K239" s="1"/>
  <c r="J238"/>
  <c r="K238" s="1"/>
  <c r="K237"/>
  <c r="K236"/>
  <c r="K235"/>
  <c r="K234"/>
  <c r="H234"/>
  <c r="K233"/>
  <c r="J232"/>
  <c r="F232"/>
  <c r="K232" s="1"/>
  <c r="K231"/>
  <c r="K230"/>
  <c r="K229"/>
  <c r="K228"/>
  <c r="K227"/>
  <c r="K226"/>
  <c r="K225"/>
  <c r="K224"/>
  <c r="H223"/>
  <c r="F223"/>
  <c r="K223" s="1"/>
  <c r="K222"/>
  <c r="K221"/>
  <c r="F220"/>
  <c r="K220" s="1"/>
  <c r="K219"/>
  <c r="E219"/>
  <c r="K218"/>
  <c r="K217"/>
  <c r="K216"/>
  <c r="K215"/>
  <c r="E215"/>
  <c r="K214"/>
  <c r="K213"/>
  <c r="K212"/>
  <c r="K211"/>
  <c r="K210"/>
  <c r="K209"/>
  <c r="K208"/>
  <c r="F208"/>
  <c r="K207"/>
  <c r="K206"/>
  <c r="K205"/>
  <c r="K204"/>
  <c r="K203"/>
  <c r="E203"/>
  <c r="L203" s="1"/>
  <c r="C202" i="21" s="1"/>
  <c r="L202" s="1"/>
  <c r="C203" i="23" s="1"/>
  <c r="L203" s="1"/>
  <c r="C203" i="25" s="1"/>
  <c r="L203" s="1"/>
  <c r="K202" i="19"/>
  <c r="E202"/>
  <c r="L202" s="1"/>
  <c r="C201" i="21" s="1"/>
  <c r="L201" s="1"/>
  <c r="C202" i="23" s="1"/>
  <c r="L202" s="1"/>
  <c r="C202" i="25" s="1"/>
  <c r="L202" s="1"/>
  <c r="K201" i="19"/>
  <c r="K200"/>
  <c r="E200"/>
  <c r="K199"/>
  <c r="J198"/>
  <c r="H198"/>
  <c r="K198" s="1"/>
  <c r="F198"/>
  <c r="K197"/>
  <c r="K196"/>
  <c r="K195"/>
  <c r="K194"/>
  <c r="E194"/>
  <c r="K193"/>
  <c r="E193"/>
  <c r="L193" s="1"/>
  <c r="C192" i="21" s="1"/>
  <c r="L192" s="1"/>
  <c r="C193" i="23" s="1"/>
  <c r="L193" s="1"/>
  <c r="C193" i="25" s="1"/>
  <c r="L193" s="1"/>
  <c r="K192" i="19"/>
  <c r="F192"/>
  <c r="K191"/>
  <c r="H190"/>
  <c r="F190"/>
  <c r="K190" s="1"/>
  <c r="K189"/>
  <c r="H188"/>
  <c r="F188"/>
  <c r="K188" s="1"/>
  <c r="K187"/>
  <c r="K186"/>
  <c r="K185"/>
  <c r="K184"/>
  <c r="K183"/>
  <c r="K182"/>
  <c r="H181"/>
  <c r="F181"/>
  <c r="K181" s="1"/>
  <c r="H180"/>
  <c r="F180"/>
  <c r="K180" s="1"/>
  <c r="K179"/>
  <c r="F179"/>
  <c r="K178"/>
  <c r="K177"/>
  <c r="K176"/>
  <c r="K175"/>
  <c r="K174"/>
  <c r="K173"/>
  <c r="K172"/>
  <c r="K171"/>
  <c r="K170"/>
  <c r="K169"/>
  <c r="H168"/>
  <c r="F168"/>
  <c r="K168" s="1"/>
  <c r="K167"/>
  <c r="K166"/>
  <c r="F166"/>
  <c r="H165"/>
  <c r="F165"/>
  <c r="K165" s="1"/>
  <c r="F164"/>
  <c r="K164" s="1"/>
  <c r="K163"/>
  <c r="K162"/>
  <c r="K161"/>
  <c r="K160"/>
  <c r="K159"/>
  <c r="K158"/>
  <c r="K157"/>
  <c r="K156"/>
  <c r="K155"/>
  <c r="K154"/>
  <c r="K153"/>
  <c r="K152"/>
  <c r="K151"/>
  <c r="K150"/>
  <c r="H149"/>
  <c r="F149"/>
  <c r="K149" s="1"/>
  <c r="K148"/>
  <c r="K147"/>
  <c r="H146"/>
  <c r="F146"/>
  <c r="K146" s="1"/>
  <c r="K145"/>
  <c r="K144"/>
  <c r="K143"/>
  <c r="H142"/>
  <c r="F142"/>
  <c r="K142" s="1"/>
  <c r="K141"/>
  <c r="K140"/>
  <c r="K139"/>
  <c r="K138"/>
  <c r="K137"/>
  <c r="H136"/>
  <c r="F136"/>
  <c r="K136" s="1"/>
  <c r="F135"/>
  <c r="K135" s="1"/>
  <c r="K134"/>
  <c r="K133"/>
  <c r="K132"/>
  <c r="K131"/>
  <c r="K130"/>
  <c r="K129"/>
  <c r="K128"/>
  <c r="K127"/>
  <c r="K126"/>
  <c r="K125"/>
  <c r="F125"/>
  <c r="K124"/>
  <c r="F123"/>
  <c r="K123" s="1"/>
  <c r="H122"/>
  <c r="F122"/>
  <c r="K122" s="1"/>
  <c r="K121"/>
  <c r="K120"/>
  <c r="K119"/>
  <c r="H118"/>
  <c r="F118"/>
  <c r="K118" s="1"/>
  <c r="K117"/>
  <c r="K116"/>
  <c r="K115"/>
  <c r="K114"/>
  <c r="K113"/>
  <c r="E113"/>
  <c r="K112"/>
  <c r="F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F92"/>
  <c r="K92" s="1"/>
  <c r="E92"/>
  <c r="K91"/>
  <c r="K90"/>
  <c r="K89"/>
  <c r="H88"/>
  <c r="F88"/>
  <c r="K88" s="1"/>
  <c r="K87"/>
  <c r="F87"/>
  <c r="K86"/>
  <c r="F85"/>
  <c r="K85" s="1"/>
  <c r="K84"/>
  <c r="K83"/>
  <c r="K82"/>
  <c r="E82"/>
  <c r="H81"/>
  <c r="F81"/>
  <c r="K81" s="1"/>
  <c r="K80"/>
  <c r="K79"/>
  <c r="H78"/>
  <c r="F78"/>
  <c r="K78" s="1"/>
  <c r="K77"/>
  <c r="K76"/>
  <c r="K75"/>
  <c r="H74"/>
  <c r="F74"/>
  <c r="K74" s="1"/>
  <c r="K73"/>
  <c r="K72"/>
  <c r="H71"/>
  <c r="F71"/>
  <c r="K71" s="1"/>
  <c r="K70"/>
  <c r="F69"/>
  <c r="K69" s="1"/>
  <c r="K68"/>
  <c r="K67"/>
  <c r="K66"/>
  <c r="K65"/>
  <c r="F64"/>
  <c r="K64" s="1"/>
  <c r="K63"/>
  <c r="K62"/>
  <c r="K61"/>
  <c r="K60"/>
  <c r="K59"/>
  <c r="K58"/>
  <c r="K57"/>
  <c r="H56"/>
  <c r="F56"/>
  <c r="K56" s="1"/>
  <c r="K55"/>
  <c r="K54"/>
  <c r="K53"/>
  <c r="K52"/>
  <c r="K51"/>
  <c r="K50"/>
  <c r="H49"/>
  <c r="K49" s="1"/>
  <c r="K48"/>
  <c r="K47"/>
  <c r="K46"/>
  <c r="K45"/>
  <c r="F45"/>
  <c r="K44"/>
  <c r="F43"/>
  <c r="K43" s="1"/>
  <c r="F42"/>
  <c r="K42" s="1"/>
  <c r="K41"/>
  <c r="K40"/>
  <c r="K39"/>
  <c r="K38"/>
  <c r="K37"/>
  <c r="K36"/>
  <c r="K35"/>
  <c r="K34"/>
  <c r="F34"/>
  <c r="K33"/>
  <c r="K32"/>
  <c r="K31"/>
  <c r="K30"/>
  <c r="K29"/>
  <c r="H28"/>
  <c r="K28" s="1"/>
  <c r="K27"/>
  <c r="J26"/>
  <c r="F26"/>
  <c r="K26" s="1"/>
  <c r="K25"/>
  <c r="K24"/>
  <c r="K23"/>
  <c r="K22"/>
  <c r="K21"/>
  <c r="K20"/>
  <c r="F19"/>
  <c r="K19" s="1"/>
  <c r="H18"/>
  <c r="F18"/>
  <c r="K18" s="1"/>
  <c r="K17"/>
  <c r="H16"/>
  <c r="F16"/>
  <c r="K16" s="1"/>
  <c r="K15"/>
  <c r="K14"/>
  <c r="K13"/>
  <c r="K12"/>
  <c r="K11"/>
  <c r="K10"/>
  <c r="K9"/>
  <c r="J9"/>
  <c r="H8"/>
  <c r="F8"/>
  <c r="K8" s="1"/>
  <c r="K7"/>
  <c r="E7"/>
  <c r="L7" s="1"/>
  <c r="C10" i="21" s="1"/>
  <c r="L10" s="1"/>
  <c r="C10" i="23" s="1"/>
  <c r="L10" s="1"/>
  <c r="C10" i="25" s="1"/>
  <c r="L10" s="1"/>
  <c r="K6" i="19"/>
  <c r="H5"/>
  <c r="F5"/>
  <c r="K5" s="1"/>
  <c r="K26" i="18"/>
  <c r="F26"/>
  <c r="K25"/>
  <c r="K24"/>
  <c r="K23"/>
  <c r="K22"/>
  <c r="K21"/>
  <c r="K20"/>
  <c r="K19"/>
  <c r="K18"/>
  <c r="K17"/>
  <c r="H16"/>
  <c r="F16"/>
  <c r="K16" s="1"/>
  <c r="K15"/>
  <c r="H15"/>
  <c r="K14"/>
  <c r="K13"/>
  <c r="K12"/>
  <c r="K11"/>
  <c r="K10"/>
  <c r="K9"/>
  <c r="K8"/>
  <c r="K7"/>
  <c r="K6"/>
  <c r="F5"/>
  <c r="K5" s="1"/>
  <c r="K393" i="17"/>
  <c r="K392"/>
  <c r="K391"/>
  <c r="K390"/>
  <c r="K389"/>
  <c r="K388"/>
  <c r="K387"/>
  <c r="K386"/>
  <c r="K385"/>
  <c r="H384"/>
  <c r="F384"/>
  <c r="K384" s="1"/>
  <c r="H383"/>
  <c r="F383"/>
  <c r="K383" s="1"/>
  <c r="K382"/>
  <c r="K381"/>
  <c r="K380"/>
  <c r="K379"/>
  <c r="K378"/>
  <c r="F377"/>
  <c r="K377" s="1"/>
  <c r="K376"/>
  <c r="K375"/>
  <c r="F375"/>
  <c r="K374"/>
  <c r="H373"/>
  <c r="K373" s="1"/>
  <c r="K372"/>
  <c r="K371"/>
  <c r="F371"/>
  <c r="K370"/>
  <c r="K369"/>
  <c r="K368"/>
  <c r="K367"/>
  <c r="K366"/>
  <c r="F366"/>
  <c r="K365"/>
  <c r="K364"/>
  <c r="K363"/>
  <c r="K362"/>
  <c r="K361"/>
  <c r="K360"/>
  <c r="K359"/>
  <c r="F358"/>
  <c r="K358" s="1"/>
  <c r="K357"/>
  <c r="K356"/>
  <c r="K355"/>
  <c r="K354"/>
  <c r="F354"/>
  <c r="K353"/>
  <c r="K352"/>
  <c r="K351"/>
  <c r="H350"/>
  <c r="K350" s="1"/>
  <c r="H349"/>
  <c r="F349"/>
  <c r="K349" s="1"/>
  <c r="K348"/>
  <c r="H347"/>
  <c r="K347" s="1"/>
  <c r="H346"/>
  <c r="K346" s="1"/>
  <c r="K345"/>
  <c r="K344"/>
  <c r="K343"/>
  <c r="K342"/>
  <c r="K341"/>
  <c r="E341"/>
  <c r="K340"/>
  <c r="K339"/>
  <c r="K338"/>
  <c r="K337"/>
  <c r="K336"/>
  <c r="K335"/>
  <c r="K334"/>
  <c r="K333"/>
  <c r="K332"/>
  <c r="K331"/>
  <c r="K330"/>
  <c r="K329"/>
  <c r="K328"/>
  <c r="K327"/>
  <c r="K326"/>
  <c r="K325"/>
  <c r="E325"/>
  <c r="K324"/>
  <c r="K323"/>
  <c r="K322"/>
  <c r="F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F302"/>
  <c r="K302" s="1"/>
  <c r="E302"/>
  <c r="K301"/>
  <c r="K300"/>
  <c r="K299"/>
  <c r="F298"/>
  <c r="K298" s="1"/>
  <c r="K297"/>
  <c r="K296"/>
  <c r="K295"/>
  <c r="K294"/>
  <c r="K293"/>
  <c r="K292"/>
  <c r="F291"/>
  <c r="K291" s="1"/>
  <c r="F290"/>
  <c r="K290" s="1"/>
  <c r="K289"/>
  <c r="K288"/>
  <c r="F288"/>
  <c r="K287"/>
  <c r="K286"/>
  <c r="K285"/>
  <c r="K284"/>
  <c r="K283"/>
  <c r="E283"/>
  <c r="K282"/>
  <c r="F282"/>
  <c r="K281"/>
  <c r="K280"/>
  <c r="K279"/>
  <c r="K278"/>
  <c r="K277"/>
  <c r="F277"/>
  <c r="K276"/>
  <c r="H275"/>
  <c r="F275"/>
  <c r="K275" s="1"/>
  <c r="K274"/>
  <c r="K273"/>
  <c r="K272"/>
  <c r="K271"/>
  <c r="K270"/>
  <c r="K269"/>
  <c r="K268"/>
  <c r="K267"/>
  <c r="K266"/>
  <c r="K265"/>
  <c r="K264"/>
  <c r="K263"/>
  <c r="K262"/>
  <c r="K261"/>
  <c r="K260"/>
  <c r="K259"/>
  <c r="E259"/>
  <c r="K258"/>
  <c r="K257"/>
  <c r="F256"/>
  <c r="K256" s="1"/>
  <c r="F255"/>
  <c r="K255" s="1"/>
  <c r="K254"/>
  <c r="K253"/>
  <c r="H252"/>
  <c r="F252"/>
  <c r="K252" s="1"/>
  <c r="K251"/>
  <c r="F251"/>
  <c r="K250"/>
  <c r="F249"/>
  <c r="K249" s="1"/>
  <c r="F248"/>
  <c r="K248" s="1"/>
  <c r="K247"/>
  <c r="K246"/>
  <c r="K245"/>
  <c r="K244"/>
  <c r="K243"/>
  <c r="K242"/>
  <c r="K241"/>
  <c r="K240"/>
  <c r="K239"/>
  <c r="K238"/>
  <c r="F238"/>
  <c r="E238"/>
  <c r="K237"/>
  <c r="K236"/>
  <c r="E236"/>
  <c r="K235"/>
  <c r="F235"/>
  <c r="K234"/>
  <c r="K233"/>
  <c r="K232"/>
  <c r="E232"/>
  <c r="L232" s="1"/>
  <c r="C235" i="19" s="1"/>
  <c r="L235" s="1"/>
  <c r="C234" i="21" s="1"/>
  <c r="L234" s="1"/>
  <c r="C235" i="23" s="1"/>
  <c r="L235" s="1"/>
  <c r="C235" i="25" s="1"/>
  <c r="L235" s="1"/>
  <c r="K231" i="17"/>
  <c r="E231"/>
  <c r="K230"/>
  <c r="K229"/>
  <c r="K228"/>
  <c r="K227"/>
  <c r="K226"/>
  <c r="K225"/>
  <c r="K224"/>
  <c r="K223"/>
  <c r="K222"/>
  <c r="K221"/>
  <c r="K220"/>
  <c r="K219"/>
  <c r="K218"/>
  <c r="H217"/>
  <c r="F217"/>
  <c r="K217" s="1"/>
  <c r="K216"/>
  <c r="K215"/>
  <c r="K214"/>
  <c r="K213"/>
  <c r="H212"/>
  <c r="K212" s="1"/>
  <c r="K211"/>
  <c r="K210"/>
  <c r="K209"/>
  <c r="K208"/>
  <c r="K207"/>
  <c r="K206"/>
  <c r="F205"/>
  <c r="K205" s="1"/>
  <c r="K204"/>
  <c r="K203"/>
  <c r="K202"/>
  <c r="K201"/>
  <c r="K200"/>
  <c r="E200"/>
  <c r="K199"/>
  <c r="K198"/>
  <c r="F198"/>
  <c r="K197"/>
  <c r="E197"/>
  <c r="K196"/>
  <c r="K195"/>
  <c r="K194"/>
  <c r="K193"/>
  <c r="K192"/>
  <c r="F192"/>
  <c r="K191"/>
  <c r="F190"/>
  <c r="K190" s="1"/>
  <c r="K189"/>
  <c r="K188"/>
  <c r="F188"/>
  <c r="K187"/>
  <c r="K186"/>
  <c r="K185"/>
  <c r="K184"/>
  <c r="K183"/>
  <c r="F182"/>
  <c r="K182" s="1"/>
  <c r="E182"/>
  <c r="K181"/>
  <c r="E181"/>
  <c r="K180"/>
  <c r="K179"/>
  <c r="E179"/>
  <c r="K178"/>
  <c r="K177"/>
  <c r="K176"/>
  <c r="K175"/>
  <c r="K174"/>
  <c r="K173"/>
  <c r="K172"/>
  <c r="K171"/>
  <c r="K170"/>
  <c r="K169"/>
  <c r="K168"/>
  <c r="K167"/>
  <c r="K166"/>
  <c r="K165"/>
  <c r="E165"/>
  <c r="L165" s="1"/>
  <c r="C165" i="19" s="1"/>
  <c r="L165" s="1"/>
  <c r="C163" i="21" s="1"/>
  <c r="L163" s="1"/>
  <c r="C164" i="23" s="1"/>
  <c r="L164" s="1"/>
  <c r="C164" i="25" s="1"/>
  <c r="L164" s="1"/>
  <c r="K164" i="17"/>
  <c r="E164"/>
  <c r="K163"/>
  <c r="K162"/>
  <c r="K161"/>
  <c r="K160"/>
  <c r="K159"/>
  <c r="K158"/>
  <c r="F157"/>
  <c r="K157" s="1"/>
  <c r="K156"/>
  <c r="K155"/>
  <c r="F154"/>
  <c r="K154" s="1"/>
  <c r="E154"/>
  <c r="K153"/>
  <c r="K152"/>
  <c r="K151"/>
  <c r="K150"/>
  <c r="K149"/>
  <c r="H149"/>
  <c r="K148"/>
  <c r="K147"/>
  <c r="E147"/>
  <c r="K146"/>
  <c r="E146"/>
  <c r="K145"/>
  <c r="K144"/>
  <c r="K143"/>
  <c r="K142"/>
  <c r="K141"/>
  <c r="K140"/>
  <c r="K139"/>
  <c r="K138"/>
  <c r="K137"/>
  <c r="H136"/>
  <c r="F136"/>
  <c r="K136" s="1"/>
  <c r="H135"/>
  <c r="F135"/>
  <c r="K135" s="1"/>
  <c r="K134"/>
  <c r="K133"/>
  <c r="K132"/>
  <c r="K131"/>
  <c r="K130"/>
  <c r="K129"/>
  <c r="K128"/>
  <c r="K127"/>
  <c r="K126"/>
  <c r="H125"/>
  <c r="F125"/>
  <c r="K125" s="1"/>
  <c r="K124"/>
  <c r="F123"/>
  <c r="K123" s="1"/>
  <c r="K122"/>
  <c r="E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F94"/>
  <c r="K93"/>
  <c r="K92"/>
  <c r="E92"/>
  <c r="F91"/>
  <c r="K91" s="1"/>
  <c r="E91"/>
  <c r="K90"/>
  <c r="K89"/>
  <c r="K88"/>
  <c r="F88"/>
  <c r="K87"/>
  <c r="K86"/>
  <c r="K85"/>
  <c r="F84"/>
  <c r="K84" s="1"/>
  <c r="K83"/>
  <c r="K82"/>
  <c r="K81"/>
  <c r="K80"/>
  <c r="E80"/>
  <c r="K79"/>
  <c r="K78"/>
  <c r="K77"/>
  <c r="E77"/>
  <c r="K76"/>
  <c r="K75"/>
  <c r="K74"/>
  <c r="E74"/>
  <c r="H73"/>
  <c r="F73"/>
  <c r="K73" s="1"/>
  <c r="K72"/>
  <c r="K71"/>
  <c r="K70"/>
  <c r="E70"/>
  <c r="F69"/>
  <c r="K69" s="1"/>
  <c r="K68"/>
  <c r="E68"/>
  <c r="K67"/>
  <c r="E67"/>
  <c r="L67" s="1"/>
  <c r="C68" i="19" s="1"/>
  <c r="L68" s="1"/>
  <c r="C66" i="21" s="1"/>
  <c r="L66" s="1"/>
  <c r="C66" i="23" s="1"/>
  <c r="L66" s="1"/>
  <c r="C66" i="25" s="1"/>
  <c r="L66" s="1"/>
  <c r="K66" i="17"/>
  <c r="K65"/>
  <c r="K64"/>
  <c r="K63"/>
  <c r="K62"/>
  <c r="K61"/>
  <c r="K60"/>
  <c r="K59"/>
  <c r="K58"/>
  <c r="F57"/>
  <c r="K57" s="1"/>
  <c r="K56"/>
  <c r="K55"/>
  <c r="E55"/>
  <c r="K54"/>
  <c r="E54"/>
  <c r="L54" s="1"/>
  <c r="C55" i="19" s="1"/>
  <c r="L55" s="1"/>
  <c r="C53" i="21" s="1"/>
  <c r="L53" s="1"/>
  <c r="C53" i="23" s="1"/>
  <c r="L53" s="1"/>
  <c r="C53" i="25" s="1"/>
  <c r="L53" s="1"/>
  <c r="K53" i="17"/>
  <c r="K52"/>
  <c r="K51"/>
  <c r="K50"/>
  <c r="K49"/>
  <c r="K48"/>
  <c r="E48"/>
  <c r="K47"/>
  <c r="K46"/>
  <c r="K45"/>
  <c r="K44"/>
  <c r="K43"/>
  <c r="K42"/>
  <c r="K41"/>
  <c r="F41"/>
  <c r="H40"/>
  <c r="F40"/>
  <c r="K40" s="1"/>
  <c r="F39"/>
  <c r="K39" s="1"/>
  <c r="K38"/>
  <c r="K37"/>
  <c r="K36"/>
  <c r="K35"/>
  <c r="K34"/>
  <c r="K33"/>
  <c r="F33"/>
  <c r="K32"/>
  <c r="K31"/>
  <c r="K30"/>
  <c r="K29"/>
  <c r="K28"/>
  <c r="H27"/>
  <c r="F27"/>
  <c r="K27" s="1"/>
  <c r="K26"/>
  <c r="K25"/>
  <c r="K24"/>
  <c r="K23"/>
  <c r="K22"/>
  <c r="K21"/>
  <c r="K20"/>
  <c r="F19"/>
  <c r="K19" s="1"/>
  <c r="K18"/>
  <c r="K17"/>
  <c r="K16"/>
  <c r="K15"/>
  <c r="K14"/>
  <c r="K13"/>
  <c r="K12"/>
  <c r="K11"/>
  <c r="K10"/>
  <c r="K9"/>
  <c r="K8"/>
  <c r="K7"/>
  <c r="F7"/>
  <c r="K6"/>
  <c r="K5"/>
  <c r="K26" i="16"/>
  <c r="K25"/>
  <c r="K24"/>
  <c r="K23"/>
  <c r="K22"/>
  <c r="F21"/>
  <c r="K21" s="1"/>
  <c r="K20"/>
  <c r="K19"/>
  <c r="K18"/>
  <c r="K17"/>
  <c r="F16"/>
  <c r="K16" s="1"/>
  <c r="K15"/>
  <c r="K14"/>
  <c r="E14"/>
  <c r="L14" s="1"/>
  <c r="C14" i="18" s="1"/>
  <c r="L14" s="1"/>
  <c r="C14" i="20" s="1"/>
  <c r="L14" s="1"/>
  <c r="C14" i="22" s="1"/>
  <c r="L14" s="1"/>
  <c r="C14" i="24" s="1"/>
  <c r="L14" s="1"/>
  <c r="C14" i="26" s="1"/>
  <c r="L14" s="1"/>
  <c r="K13" i="16"/>
  <c r="E13"/>
  <c r="L13" s="1"/>
  <c r="C13" i="18" s="1"/>
  <c r="L13" s="1"/>
  <c r="C13" i="20" s="1"/>
  <c r="L13" s="1"/>
  <c r="C13" i="22" s="1"/>
  <c r="L13" s="1"/>
  <c r="C13" i="24" s="1"/>
  <c r="L13" s="1"/>
  <c r="C13" i="26" s="1"/>
  <c r="L13" s="1"/>
  <c r="K12" i="16"/>
  <c r="F12"/>
  <c r="K11"/>
  <c r="K10"/>
  <c r="K9"/>
  <c r="K8"/>
  <c r="K7"/>
  <c r="K6"/>
  <c r="K5"/>
  <c r="K389" i="15"/>
  <c r="K388"/>
  <c r="K387"/>
  <c r="K386"/>
  <c r="K385"/>
  <c r="K384"/>
  <c r="K383"/>
  <c r="K382"/>
  <c r="K381"/>
  <c r="K380"/>
  <c r="E380"/>
  <c r="K379"/>
  <c r="E379"/>
  <c r="K378"/>
  <c r="G377"/>
  <c r="F377"/>
  <c r="K377" s="1"/>
  <c r="K376"/>
  <c r="F376"/>
  <c r="K375"/>
  <c r="K374"/>
  <c r="G373"/>
  <c r="F373"/>
  <c r="K373" s="1"/>
  <c r="K372"/>
  <c r="K371"/>
  <c r="K370"/>
  <c r="K369"/>
  <c r="K368"/>
  <c r="K367"/>
  <c r="F367"/>
  <c r="K366"/>
  <c r="F365"/>
  <c r="K365" s="1"/>
  <c r="G364"/>
  <c r="K364" s="1"/>
  <c r="K363"/>
  <c r="K362"/>
  <c r="E362"/>
  <c r="L362" s="1"/>
  <c r="C366" i="17" s="1"/>
  <c r="L366" s="1"/>
  <c r="C369" i="19" s="1"/>
  <c r="L369" s="1"/>
  <c r="C372" i="21" s="1"/>
  <c r="L372" s="1"/>
  <c r="C373" i="23" s="1"/>
  <c r="L373" s="1"/>
  <c r="C373" i="25" s="1"/>
  <c r="L373" s="1"/>
  <c r="K361" i="15"/>
  <c r="K360"/>
  <c r="F360"/>
  <c r="K359"/>
  <c r="K358"/>
  <c r="K357"/>
  <c r="K356"/>
  <c r="K355"/>
  <c r="F354"/>
  <c r="K354" s="1"/>
  <c r="E354"/>
  <c r="K353"/>
  <c r="K352"/>
  <c r="K351"/>
  <c r="F350"/>
  <c r="K350" s="1"/>
  <c r="K349"/>
  <c r="K348"/>
  <c r="K347"/>
  <c r="E347"/>
  <c r="L347" s="1"/>
  <c r="C351" i="17" s="1"/>
  <c r="L351" s="1"/>
  <c r="C355" i="19" s="1"/>
  <c r="L355" s="1"/>
  <c r="C358" i="21" s="1"/>
  <c r="L358" s="1"/>
  <c r="C359" i="23" s="1"/>
  <c r="L359" s="1"/>
  <c r="C359" i="25" s="1"/>
  <c r="L359" s="1"/>
  <c r="K346" i="15"/>
  <c r="F345"/>
  <c r="K345" s="1"/>
  <c r="E345"/>
  <c r="K344"/>
  <c r="I344"/>
  <c r="K343"/>
  <c r="F343"/>
  <c r="E343"/>
  <c r="F342"/>
  <c r="K342" s="1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F324"/>
  <c r="K323"/>
  <c r="K322"/>
  <c r="K321"/>
  <c r="K320"/>
  <c r="K319"/>
  <c r="I319"/>
  <c r="K318"/>
  <c r="F318"/>
  <c r="K317"/>
  <c r="K316"/>
  <c r="K315"/>
  <c r="K314"/>
  <c r="K313"/>
  <c r="I312"/>
  <c r="K312" s="1"/>
  <c r="K311"/>
  <c r="K310"/>
  <c r="F310"/>
  <c r="K309"/>
  <c r="F309"/>
  <c r="K308"/>
  <c r="K307"/>
  <c r="K306"/>
  <c r="F306"/>
  <c r="K305"/>
  <c r="F305"/>
  <c r="K304"/>
  <c r="K303"/>
  <c r="K302"/>
  <c r="K301"/>
  <c r="K300"/>
  <c r="K299"/>
  <c r="K298"/>
  <c r="K297"/>
  <c r="K296"/>
  <c r="K295"/>
  <c r="K294"/>
  <c r="F294"/>
  <c r="K293"/>
  <c r="K292"/>
  <c r="K291"/>
  <c r="K290"/>
  <c r="K289"/>
  <c r="K288"/>
  <c r="K287"/>
  <c r="F287"/>
  <c r="E287"/>
  <c r="F286"/>
  <c r="K286" s="1"/>
  <c r="E286"/>
  <c r="K285"/>
  <c r="F285"/>
  <c r="K284"/>
  <c r="K283"/>
  <c r="K282"/>
  <c r="K281"/>
  <c r="K280"/>
  <c r="K279"/>
  <c r="K278"/>
  <c r="F278"/>
  <c r="E278"/>
  <c r="L278" s="1"/>
  <c r="C282" i="17" s="1"/>
  <c r="L282" s="1"/>
  <c r="C286" i="19" s="1"/>
  <c r="L286" s="1"/>
  <c r="C288" i="21" s="1"/>
  <c r="L288" s="1"/>
  <c r="C289" i="23" s="1"/>
  <c r="L289" s="1"/>
  <c r="C289" i="25" s="1"/>
  <c r="L289" s="1"/>
  <c r="K277" i="15"/>
  <c r="K276"/>
  <c r="K275"/>
  <c r="K274"/>
  <c r="K273"/>
  <c r="F273"/>
  <c r="K272"/>
  <c r="F271"/>
  <c r="K271" s="1"/>
  <c r="E271"/>
  <c r="K270"/>
  <c r="K269"/>
  <c r="K268"/>
  <c r="K267"/>
  <c r="K266"/>
  <c r="K265"/>
  <c r="K264"/>
  <c r="K263"/>
  <c r="K262"/>
  <c r="F261"/>
  <c r="K261" s="1"/>
  <c r="K260"/>
  <c r="K259"/>
  <c r="K258"/>
  <c r="K257"/>
  <c r="K256"/>
  <c r="K255"/>
  <c r="K254"/>
  <c r="K253"/>
  <c r="F252"/>
  <c r="K252" s="1"/>
  <c r="K251"/>
  <c r="E251"/>
  <c r="K250"/>
  <c r="K249"/>
  <c r="F248"/>
  <c r="K248" s="1"/>
  <c r="F247"/>
  <c r="K247" s="1"/>
  <c r="K246"/>
  <c r="K245"/>
  <c r="E245"/>
  <c r="K244"/>
  <c r="F244"/>
  <c r="K243"/>
  <c r="K242"/>
  <c r="K241"/>
  <c r="F241"/>
  <c r="K240"/>
  <c r="K239"/>
  <c r="K238"/>
  <c r="K237"/>
  <c r="K236"/>
  <c r="I236"/>
  <c r="K235"/>
  <c r="K234"/>
  <c r="K233"/>
  <c r="F232"/>
  <c r="K232" s="1"/>
  <c r="K231"/>
  <c r="E231"/>
  <c r="L231" s="1"/>
  <c r="C235" i="17" s="1"/>
  <c r="L235" s="1"/>
  <c r="C238" i="19" s="1"/>
  <c r="L238" s="1"/>
  <c r="C237" i="21" s="1"/>
  <c r="L237" s="1"/>
  <c r="C238" i="23" s="1"/>
  <c r="L238" s="1"/>
  <c r="C238" i="25" s="1"/>
  <c r="L238" s="1"/>
  <c r="K230" i="15"/>
  <c r="K229"/>
  <c r="K228"/>
  <c r="K227"/>
  <c r="K226"/>
  <c r="E226"/>
  <c r="K225"/>
  <c r="K224"/>
  <c r="K223"/>
  <c r="K222"/>
  <c r="K221"/>
  <c r="K220"/>
  <c r="K219"/>
  <c r="F219"/>
  <c r="K218"/>
  <c r="I218"/>
  <c r="K217"/>
  <c r="F217"/>
  <c r="K216"/>
  <c r="K215"/>
  <c r="K214"/>
  <c r="F214"/>
  <c r="K213"/>
  <c r="F212"/>
  <c r="K212" s="1"/>
  <c r="K211"/>
  <c r="K210"/>
  <c r="G209"/>
  <c r="F209"/>
  <c r="K209" s="1"/>
  <c r="K208"/>
  <c r="K207"/>
  <c r="K206"/>
  <c r="K205"/>
  <c r="K204"/>
  <c r="K203"/>
  <c r="K202"/>
  <c r="K201"/>
  <c r="K200"/>
  <c r="K199"/>
  <c r="K198"/>
  <c r="E198"/>
  <c r="K197"/>
  <c r="K196"/>
  <c r="K195"/>
  <c r="K194"/>
  <c r="K193"/>
  <c r="K192"/>
  <c r="K191"/>
  <c r="K190"/>
  <c r="K189"/>
  <c r="F189"/>
  <c r="K188"/>
  <c r="K187"/>
  <c r="E187"/>
  <c r="L187" s="1"/>
  <c r="C190" i="17" s="1"/>
  <c r="L190" s="1"/>
  <c r="C190" i="19" s="1"/>
  <c r="L190" s="1"/>
  <c r="C189" i="21" s="1"/>
  <c r="L189" s="1"/>
  <c r="C190" i="23" s="1"/>
  <c r="L190" s="1"/>
  <c r="C190" i="25" s="1"/>
  <c r="L190" s="1"/>
  <c r="K186" i="15"/>
  <c r="E186"/>
  <c r="K185"/>
  <c r="E185"/>
  <c r="K184"/>
  <c r="K183"/>
  <c r="K182"/>
  <c r="K181"/>
  <c r="K180"/>
  <c r="F179"/>
  <c r="K179" s="1"/>
  <c r="K178"/>
  <c r="K177"/>
  <c r="K176"/>
  <c r="K175"/>
  <c r="K174"/>
  <c r="K173"/>
  <c r="K172"/>
  <c r="K171"/>
  <c r="K170"/>
  <c r="K169"/>
  <c r="K168"/>
  <c r="K167"/>
  <c r="K166"/>
  <c r="K165"/>
  <c r="F165"/>
  <c r="K164"/>
  <c r="F163"/>
  <c r="K163" s="1"/>
  <c r="K162"/>
  <c r="K161"/>
  <c r="F160"/>
  <c r="K160" s="1"/>
  <c r="K159"/>
  <c r="K158"/>
  <c r="K157"/>
  <c r="K156"/>
  <c r="F155"/>
  <c r="K155" s="1"/>
  <c r="K154"/>
  <c r="K153"/>
  <c r="K152"/>
  <c r="K151"/>
  <c r="F151"/>
  <c r="E151"/>
  <c r="F150"/>
  <c r="K150" s="1"/>
  <c r="E150"/>
  <c r="K149"/>
  <c r="K148"/>
  <c r="I147"/>
  <c r="G147"/>
  <c r="K147" s="1"/>
  <c r="E147"/>
  <c r="G146"/>
  <c r="F146"/>
  <c r="K146" s="1"/>
  <c r="K145"/>
  <c r="K144"/>
  <c r="F144"/>
  <c r="K143"/>
  <c r="I142"/>
  <c r="K142" s="1"/>
  <c r="K141"/>
  <c r="K140"/>
  <c r="F140"/>
  <c r="K139"/>
  <c r="K138"/>
  <c r="K137"/>
  <c r="K136"/>
  <c r="K135"/>
  <c r="F134"/>
  <c r="K134" s="1"/>
  <c r="K133"/>
  <c r="E133"/>
  <c r="K132"/>
  <c r="K131"/>
  <c r="G131"/>
  <c r="K130"/>
  <c r="K129"/>
  <c r="K128"/>
  <c r="F128"/>
  <c r="K127"/>
  <c r="K126"/>
  <c r="K125"/>
  <c r="K124"/>
  <c r="K123"/>
  <c r="E123"/>
  <c r="K122"/>
  <c r="F121"/>
  <c r="K121" s="1"/>
  <c r="K120"/>
  <c r="K119"/>
  <c r="K118"/>
  <c r="K117"/>
  <c r="E117"/>
  <c r="K116"/>
  <c r="F116"/>
  <c r="K115"/>
  <c r="K114"/>
  <c r="K113"/>
  <c r="K112"/>
  <c r="K111"/>
  <c r="K110"/>
  <c r="K109"/>
  <c r="F109"/>
  <c r="K108"/>
  <c r="K107"/>
  <c r="K106"/>
  <c r="K105"/>
  <c r="K104"/>
  <c r="K103"/>
  <c r="K102"/>
  <c r="K101"/>
  <c r="K100"/>
  <c r="K99"/>
  <c r="K98"/>
  <c r="K97"/>
  <c r="K96"/>
  <c r="K95"/>
  <c r="K94"/>
  <c r="F93"/>
  <c r="K93" s="1"/>
  <c r="F92"/>
  <c r="K92" s="1"/>
  <c r="K91"/>
  <c r="K90"/>
  <c r="K89"/>
  <c r="K88"/>
  <c r="K87"/>
  <c r="K86"/>
  <c r="K85"/>
  <c r="K84"/>
  <c r="K83"/>
  <c r="K82"/>
  <c r="K81"/>
  <c r="K80"/>
  <c r="K79"/>
  <c r="K78"/>
  <c r="F78"/>
  <c r="K77"/>
  <c r="K76"/>
  <c r="K75"/>
  <c r="F75"/>
  <c r="K74"/>
  <c r="K73"/>
  <c r="K72"/>
  <c r="F71"/>
  <c r="K71" s="1"/>
  <c r="K70"/>
  <c r="K69"/>
  <c r="K68"/>
  <c r="K67"/>
  <c r="K66"/>
  <c r="K65"/>
  <c r="K64"/>
  <c r="K63"/>
  <c r="F62"/>
  <c r="K62" s="1"/>
  <c r="K61"/>
  <c r="K60"/>
  <c r="K59"/>
  <c r="K58"/>
  <c r="K57"/>
  <c r="K56"/>
  <c r="E56"/>
  <c r="L56" s="1"/>
  <c r="C57" i="17" s="1"/>
  <c r="L57" s="1"/>
  <c r="C58" i="19" s="1"/>
  <c r="L58" s="1"/>
  <c r="C56" i="21" s="1"/>
  <c r="L56" s="1"/>
  <c r="C56" i="23" s="1"/>
  <c r="L56" s="1"/>
  <c r="C56" i="25" s="1"/>
  <c r="L56" s="1"/>
  <c r="K55" i="15"/>
  <c r="K54"/>
  <c r="K53"/>
  <c r="K52"/>
  <c r="I52"/>
  <c r="K51"/>
  <c r="K50"/>
  <c r="K49"/>
  <c r="K48"/>
  <c r="K47"/>
  <c r="K46"/>
  <c r="K45"/>
  <c r="K44"/>
  <c r="K43"/>
  <c r="K42"/>
  <c r="E42"/>
  <c r="L42" s="1"/>
  <c r="C42" i="17" s="1"/>
  <c r="L42" s="1"/>
  <c r="C43" i="19" s="1"/>
  <c r="L43" s="1"/>
  <c r="C42" i="21" s="1"/>
  <c r="L42" s="1"/>
  <c r="C42" i="23" s="1"/>
  <c r="L42" s="1"/>
  <c r="C42" i="25" s="1"/>
  <c r="L42" s="1"/>
  <c r="K41" i="15"/>
  <c r="K40"/>
  <c r="E40"/>
  <c r="F39"/>
  <c r="K39" s="1"/>
  <c r="K38"/>
  <c r="K37"/>
  <c r="E37"/>
  <c r="L37" s="1"/>
  <c r="C37" i="17" s="1"/>
  <c r="L37" s="1"/>
  <c r="C38" i="19" s="1"/>
  <c r="L38" s="1"/>
  <c r="C37" i="21" s="1"/>
  <c r="L37" s="1"/>
  <c r="C37" i="23" s="1"/>
  <c r="L37" s="1"/>
  <c r="C37" i="25" s="1"/>
  <c r="L37" s="1"/>
  <c r="K36" i="15"/>
  <c r="K35"/>
  <c r="K34"/>
  <c r="E34"/>
  <c r="L34" s="1"/>
  <c r="C34" i="17" s="1"/>
  <c r="L34" s="1"/>
  <c r="C35" i="19" s="1"/>
  <c r="L35" s="1"/>
  <c r="C34" i="21" s="1"/>
  <c r="L34" s="1"/>
  <c r="C34" i="23" s="1"/>
  <c r="L34" s="1"/>
  <c r="C34" i="25" s="1"/>
  <c r="L34" s="1"/>
  <c r="K33" i="15"/>
  <c r="E33"/>
  <c r="K32"/>
  <c r="K31"/>
  <c r="K30"/>
  <c r="K29"/>
  <c r="K28"/>
  <c r="K27"/>
  <c r="E27"/>
  <c r="K26"/>
  <c r="K25"/>
  <c r="K24"/>
  <c r="K23"/>
  <c r="K22"/>
  <c r="K21"/>
  <c r="F20"/>
  <c r="K20" s="1"/>
  <c r="K19"/>
  <c r="K18"/>
  <c r="F18"/>
  <c r="K17"/>
  <c r="K16"/>
  <c r="K15"/>
  <c r="F15"/>
  <c r="K14"/>
  <c r="K13"/>
  <c r="K12"/>
  <c r="K11"/>
  <c r="K10"/>
  <c r="K9"/>
  <c r="K8"/>
  <c r="E8"/>
  <c r="L8" s="1"/>
  <c r="C8" i="17" s="1"/>
  <c r="L8" s="1"/>
  <c r="C9" i="19" s="1"/>
  <c r="L9" s="1"/>
  <c r="C12" i="21" s="1"/>
  <c r="L12" s="1"/>
  <c r="C12" i="23" s="1"/>
  <c r="L12" s="1"/>
  <c r="C12" i="25" s="1"/>
  <c r="L12" s="1"/>
  <c r="F7" i="15"/>
  <c r="K7" s="1"/>
  <c r="K6"/>
  <c r="K5"/>
  <c r="F5"/>
  <c r="K24" i="14"/>
  <c r="K23"/>
  <c r="K22"/>
  <c r="K21"/>
  <c r="K20"/>
  <c r="H19"/>
  <c r="G19"/>
  <c r="F19"/>
  <c r="K19" s="1"/>
  <c r="K18"/>
  <c r="K17"/>
  <c r="F17"/>
  <c r="K16"/>
  <c r="K15"/>
  <c r="K14"/>
  <c r="F14"/>
  <c r="K13"/>
  <c r="F13"/>
  <c r="K12"/>
  <c r="K11"/>
  <c r="K10"/>
  <c r="K9"/>
  <c r="K8"/>
  <c r="K7"/>
  <c r="K6"/>
  <c r="K5"/>
  <c r="K379" i="13"/>
  <c r="K378"/>
  <c r="K377"/>
  <c r="K376"/>
  <c r="K375"/>
  <c r="K374"/>
  <c r="K373"/>
  <c r="K372"/>
  <c r="K371"/>
  <c r="F370"/>
  <c r="K370" s="1"/>
  <c r="K369"/>
  <c r="K368"/>
  <c r="K367"/>
  <c r="E367"/>
  <c r="K366"/>
  <c r="K365"/>
  <c r="F365"/>
  <c r="K364"/>
  <c r="H363"/>
  <c r="F363"/>
  <c r="K363" s="1"/>
  <c r="K362"/>
  <c r="G362"/>
  <c r="E362"/>
  <c r="L362" s="1"/>
  <c r="C372" i="15" s="1"/>
  <c r="L372" s="1"/>
  <c r="C376" i="17" s="1"/>
  <c r="L376" s="1"/>
  <c r="C379" i="19" s="1"/>
  <c r="L379" s="1"/>
  <c r="C382" i="21" s="1"/>
  <c r="L382" s="1"/>
  <c r="C383" i="23" s="1"/>
  <c r="L383" s="1"/>
  <c r="C383" i="25" s="1"/>
  <c r="L383" s="1"/>
  <c r="K361" i="13"/>
  <c r="E361"/>
  <c r="K360"/>
  <c r="K359"/>
  <c r="K358"/>
  <c r="K357"/>
  <c r="K356"/>
  <c r="K355"/>
  <c r="K354"/>
  <c r="K353"/>
  <c r="K352"/>
  <c r="F351"/>
  <c r="K351" s="1"/>
  <c r="K350"/>
  <c r="K349"/>
  <c r="K348"/>
  <c r="K347"/>
  <c r="K346"/>
  <c r="K345"/>
  <c r="F345"/>
  <c r="K344"/>
  <c r="K343"/>
  <c r="K342"/>
  <c r="F341"/>
  <c r="K341" s="1"/>
  <c r="E341"/>
  <c r="K340"/>
  <c r="K339"/>
  <c r="H338"/>
  <c r="F338"/>
  <c r="K338" s="1"/>
  <c r="H337"/>
  <c r="F337"/>
  <c r="K337" s="1"/>
  <c r="K336"/>
  <c r="H335"/>
  <c r="F335"/>
  <c r="K335" s="1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F316"/>
  <c r="K315"/>
  <c r="K314"/>
  <c r="K313"/>
  <c r="K312"/>
  <c r="K311"/>
  <c r="G311"/>
  <c r="E311"/>
  <c r="F310"/>
  <c r="K310" s="1"/>
  <c r="E310"/>
  <c r="K309"/>
  <c r="K308"/>
  <c r="K307"/>
  <c r="K306"/>
  <c r="K305"/>
  <c r="K304"/>
  <c r="E304"/>
  <c r="K303"/>
  <c r="E303"/>
  <c r="L303" s="1"/>
  <c r="C311" i="15" s="1"/>
  <c r="L311" s="1"/>
  <c r="C315" i="17" s="1"/>
  <c r="L315" s="1"/>
  <c r="C319" i="19" s="1"/>
  <c r="L319" s="1"/>
  <c r="C322" i="21" s="1"/>
  <c r="L322" s="1"/>
  <c r="C323" i="23" s="1"/>
  <c r="L323" s="1"/>
  <c r="C323" i="25" s="1"/>
  <c r="L323" s="1"/>
  <c r="K302" i="13"/>
  <c r="F302"/>
  <c r="K301"/>
  <c r="F301"/>
  <c r="K300"/>
  <c r="K299"/>
  <c r="K298"/>
  <c r="F298"/>
  <c r="K297"/>
  <c r="F297"/>
  <c r="K296"/>
  <c r="K295"/>
  <c r="K294"/>
  <c r="K293"/>
  <c r="K292"/>
  <c r="K291"/>
  <c r="K290"/>
  <c r="K289"/>
  <c r="K288"/>
  <c r="K287"/>
  <c r="H286"/>
  <c r="F286"/>
  <c r="K286" s="1"/>
  <c r="K285"/>
  <c r="K284"/>
  <c r="K283"/>
  <c r="K282"/>
  <c r="K281"/>
  <c r="K280"/>
  <c r="K279"/>
  <c r="E279"/>
  <c r="K278"/>
  <c r="E278"/>
  <c r="K277"/>
  <c r="K276"/>
  <c r="F276"/>
  <c r="K275"/>
  <c r="K274"/>
  <c r="K273"/>
  <c r="K272"/>
  <c r="K271"/>
  <c r="K270"/>
  <c r="K269"/>
  <c r="K268"/>
  <c r="K267"/>
  <c r="K266"/>
  <c r="E266"/>
  <c r="K265"/>
  <c r="H264"/>
  <c r="F264"/>
  <c r="K264" s="1"/>
  <c r="K263"/>
  <c r="K262"/>
  <c r="K261"/>
  <c r="K260"/>
  <c r="K259"/>
  <c r="K258"/>
  <c r="K257"/>
  <c r="K256"/>
  <c r="F256"/>
  <c r="K255"/>
  <c r="F254"/>
  <c r="K254" s="1"/>
  <c r="K253"/>
  <c r="K252"/>
  <c r="K251"/>
  <c r="K250"/>
  <c r="K249"/>
  <c r="K248"/>
  <c r="K247"/>
  <c r="K246"/>
  <c r="H245"/>
  <c r="F245"/>
  <c r="K245" s="1"/>
  <c r="K244"/>
  <c r="K243"/>
  <c r="K242"/>
  <c r="K241"/>
  <c r="E241"/>
  <c r="F240"/>
  <c r="K240" s="1"/>
  <c r="K239"/>
  <c r="K238"/>
  <c r="K237"/>
  <c r="K236"/>
  <c r="K235"/>
  <c r="K234"/>
  <c r="K233"/>
  <c r="K232"/>
  <c r="K231"/>
  <c r="K230"/>
  <c r="K229"/>
  <c r="K228"/>
  <c r="F227"/>
  <c r="K227" s="1"/>
  <c r="K226"/>
  <c r="K225"/>
  <c r="F225"/>
  <c r="K224"/>
  <c r="K223"/>
  <c r="K222"/>
  <c r="K221"/>
  <c r="K220"/>
  <c r="K219"/>
  <c r="K218"/>
  <c r="K217"/>
  <c r="K216"/>
  <c r="K215"/>
  <c r="K214"/>
  <c r="F213"/>
  <c r="K213" s="1"/>
  <c r="K212"/>
  <c r="E212"/>
  <c r="L212" s="1"/>
  <c r="C218" i="15" s="1"/>
  <c r="L218" s="1"/>
  <c r="C221" i="17" s="1"/>
  <c r="L221" s="1"/>
  <c r="C224" i="19" s="1"/>
  <c r="L224" s="1"/>
  <c r="C223" i="21" s="1"/>
  <c r="L223" s="1"/>
  <c r="C224" i="23" s="1"/>
  <c r="L224" s="1"/>
  <c r="C224" i="25" s="1"/>
  <c r="L224" s="1"/>
  <c r="K211" i="13"/>
  <c r="F211"/>
  <c r="E211"/>
  <c r="K210"/>
  <c r="K209"/>
  <c r="K208"/>
  <c r="K207"/>
  <c r="F206"/>
  <c r="K206" s="1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F183"/>
  <c r="K183" s="1"/>
  <c r="K182"/>
  <c r="K181"/>
  <c r="K180"/>
  <c r="K179"/>
  <c r="K178"/>
  <c r="K177"/>
  <c r="K176"/>
  <c r="K175"/>
  <c r="F174"/>
  <c r="K174" s="1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F155"/>
  <c r="K155" s="1"/>
  <c r="K154"/>
  <c r="K153"/>
  <c r="K152"/>
  <c r="K151"/>
  <c r="F150"/>
  <c r="K150" s="1"/>
  <c r="K149"/>
  <c r="K148"/>
  <c r="K147"/>
  <c r="K146"/>
  <c r="K145"/>
  <c r="K144"/>
  <c r="K143"/>
  <c r="K142"/>
  <c r="K141"/>
  <c r="K140"/>
  <c r="K139"/>
  <c r="K138"/>
  <c r="K137"/>
  <c r="K136"/>
  <c r="F136"/>
  <c r="K135"/>
  <c r="F135"/>
  <c r="E135"/>
  <c r="K134"/>
  <c r="K133"/>
  <c r="K132"/>
  <c r="K131"/>
  <c r="K130"/>
  <c r="K129"/>
  <c r="F129"/>
  <c r="K128"/>
  <c r="K127"/>
  <c r="K126"/>
  <c r="K125"/>
  <c r="K124"/>
  <c r="F123"/>
  <c r="K123" s="1"/>
  <c r="K122"/>
  <c r="K121"/>
  <c r="K120"/>
  <c r="K119"/>
  <c r="K118"/>
  <c r="K117"/>
  <c r="K116"/>
  <c r="K115"/>
  <c r="K114"/>
  <c r="K113"/>
  <c r="K112"/>
  <c r="K111"/>
  <c r="F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F92"/>
  <c r="K91"/>
  <c r="G91"/>
  <c r="K90"/>
  <c r="G89"/>
  <c r="K89" s="1"/>
  <c r="K88"/>
  <c r="K87"/>
  <c r="F87"/>
  <c r="K86"/>
  <c r="K85"/>
  <c r="K84"/>
  <c r="F84"/>
  <c r="K83"/>
  <c r="K82"/>
  <c r="K81"/>
  <c r="K80"/>
  <c r="K79"/>
  <c r="K78"/>
  <c r="K77"/>
  <c r="F77"/>
  <c r="K76"/>
  <c r="K75"/>
  <c r="K74"/>
  <c r="F73"/>
  <c r="K73" s="1"/>
  <c r="K72"/>
  <c r="K71"/>
  <c r="G71"/>
  <c r="E71"/>
  <c r="L71" s="1"/>
  <c r="C76" i="15" s="1"/>
  <c r="L76" s="1"/>
  <c r="C78" i="17" s="1"/>
  <c r="L78" s="1"/>
  <c r="C79" i="19" s="1"/>
  <c r="L79" s="1"/>
  <c r="C77" i="21" s="1"/>
  <c r="L77" s="1"/>
  <c r="C77" i="23" s="1"/>
  <c r="L77" s="1"/>
  <c r="C77" i="25" s="1"/>
  <c r="L77" s="1"/>
  <c r="K70" i="13"/>
  <c r="K69"/>
  <c r="K68"/>
  <c r="K67"/>
  <c r="K66"/>
  <c r="F66"/>
  <c r="K65"/>
  <c r="K64"/>
  <c r="K63"/>
  <c r="K62"/>
  <c r="K61"/>
  <c r="K60"/>
  <c r="K59"/>
  <c r="K58"/>
  <c r="K57"/>
  <c r="F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F36"/>
  <c r="K35"/>
  <c r="K34"/>
  <c r="K33"/>
  <c r="K32"/>
  <c r="K31"/>
  <c r="K30"/>
  <c r="K29"/>
  <c r="K28"/>
  <c r="K27"/>
  <c r="K26"/>
  <c r="K25"/>
  <c r="F24"/>
  <c r="K24" s="1"/>
  <c r="K23"/>
  <c r="K22"/>
  <c r="K21"/>
  <c r="K20"/>
  <c r="K19"/>
  <c r="K18"/>
  <c r="G18"/>
  <c r="K17"/>
  <c r="F17"/>
  <c r="K16"/>
  <c r="K15"/>
  <c r="K14"/>
  <c r="F14"/>
  <c r="K13"/>
  <c r="K12"/>
  <c r="K11"/>
  <c r="K10"/>
  <c r="K9"/>
  <c r="K8"/>
  <c r="K7"/>
  <c r="F7"/>
  <c r="K6"/>
  <c r="K5"/>
  <c r="K24" i="12"/>
  <c r="K23"/>
  <c r="K22"/>
  <c r="J21"/>
  <c r="K21" s="1"/>
  <c r="K20"/>
  <c r="K19"/>
  <c r="F18"/>
  <c r="K18" s="1"/>
  <c r="K17"/>
  <c r="K16"/>
  <c r="K15"/>
  <c r="K14"/>
  <c r="J13"/>
  <c r="F13"/>
  <c r="K13" s="1"/>
  <c r="J12"/>
  <c r="F12"/>
  <c r="K12" s="1"/>
  <c r="K11"/>
  <c r="K10"/>
  <c r="K9"/>
  <c r="K8"/>
  <c r="K7"/>
  <c r="K6"/>
  <c r="J5"/>
  <c r="F5"/>
  <c r="K5" s="1"/>
  <c r="K376" i="11"/>
  <c r="J375"/>
  <c r="F375"/>
  <c r="K375" s="1"/>
  <c r="K374"/>
  <c r="K373"/>
  <c r="K372"/>
  <c r="K371"/>
  <c r="K370"/>
  <c r="K369"/>
  <c r="K368"/>
  <c r="J367"/>
  <c r="H367"/>
  <c r="F367"/>
  <c r="K367" s="1"/>
  <c r="F366"/>
  <c r="K366" s="1"/>
  <c r="K365"/>
  <c r="K364"/>
  <c r="K363"/>
  <c r="K362"/>
  <c r="F362"/>
  <c r="K361"/>
  <c r="H360"/>
  <c r="F360"/>
  <c r="K360" s="1"/>
  <c r="K359"/>
  <c r="K358"/>
  <c r="K357"/>
  <c r="E357"/>
  <c r="K356"/>
  <c r="K355"/>
  <c r="E355"/>
  <c r="K354"/>
  <c r="K353"/>
  <c r="K352"/>
  <c r="K351"/>
  <c r="K350"/>
  <c r="K349"/>
  <c r="F349"/>
  <c r="K348"/>
  <c r="K347"/>
  <c r="K346"/>
  <c r="F345"/>
  <c r="K345" s="1"/>
  <c r="K344"/>
  <c r="K343"/>
  <c r="F343"/>
  <c r="K342"/>
  <c r="K341"/>
  <c r="K340"/>
  <c r="K339"/>
  <c r="K338"/>
  <c r="K337"/>
  <c r="K336"/>
  <c r="E336"/>
  <c r="L336" s="1"/>
  <c r="C338" i="13" s="1"/>
  <c r="L338" s="1"/>
  <c r="C346" i="15" s="1"/>
  <c r="L346" s="1"/>
  <c r="C350" i="17" s="1"/>
  <c r="L350" s="1"/>
  <c r="C354" i="19" s="1"/>
  <c r="L354" s="1"/>
  <c r="C357" i="21" s="1"/>
  <c r="L357" s="1"/>
  <c r="C358" i="23" s="1"/>
  <c r="L358" s="1"/>
  <c r="C358" i="25" s="1"/>
  <c r="L358" s="1"/>
  <c r="F335" i="11"/>
  <c r="K335" s="1"/>
  <c r="L335" s="1"/>
  <c r="C337" i="13" s="1"/>
  <c r="L337" s="1"/>
  <c r="C345" i="15" s="1"/>
  <c r="L345" s="1"/>
  <c r="C349" i="17" s="1"/>
  <c r="L349" s="1"/>
  <c r="C353" i="19" s="1"/>
  <c r="L353" s="1"/>
  <c r="C356" i="21" s="1"/>
  <c r="L356" s="1"/>
  <c r="C357" i="23" s="1"/>
  <c r="L357" s="1"/>
  <c r="C357" i="25" s="1"/>
  <c r="L357" s="1"/>
  <c r="E335" i="11"/>
  <c r="K334"/>
  <c r="E334"/>
  <c r="L334" s="1"/>
  <c r="C336" i="13" s="1"/>
  <c r="L336" s="1"/>
  <c r="C344" i="15" s="1"/>
  <c r="L344" s="1"/>
  <c r="C348" i="17" s="1"/>
  <c r="L348" s="1"/>
  <c r="C352" i="19" s="1"/>
  <c r="L352" s="1"/>
  <c r="C355" i="21" s="1"/>
  <c r="L355" s="1"/>
  <c r="C356" i="23" s="1"/>
  <c r="L356" s="1"/>
  <c r="C356" i="25" s="1"/>
  <c r="L356" s="1"/>
  <c r="K333" i="11"/>
  <c r="F333"/>
  <c r="E333"/>
  <c r="L333" s="1"/>
  <c r="C335" i="13" s="1"/>
  <c r="L335" s="1"/>
  <c r="C343" i="15" s="1"/>
  <c r="L343" s="1"/>
  <c r="C347" i="17" s="1"/>
  <c r="L347" s="1"/>
  <c r="C351" i="19" s="1"/>
  <c r="L351" s="1"/>
  <c r="C354" i="21" s="1"/>
  <c r="L354" s="1"/>
  <c r="C355" i="23" s="1"/>
  <c r="L355" s="1"/>
  <c r="C355" i="25" s="1"/>
  <c r="L355" s="1"/>
  <c r="K332" i="11"/>
  <c r="F332"/>
  <c r="K331"/>
  <c r="K330"/>
  <c r="K329"/>
  <c r="K328"/>
  <c r="K327"/>
  <c r="K326"/>
  <c r="K325"/>
  <c r="K324"/>
  <c r="K323"/>
  <c r="K322"/>
  <c r="K321"/>
  <c r="K320"/>
  <c r="E320"/>
  <c r="L320" s="1"/>
  <c r="C322" i="13" s="1"/>
  <c r="L322" s="1"/>
  <c r="C330" i="15" s="1"/>
  <c r="L330" s="1"/>
  <c r="C334" i="17" s="1"/>
  <c r="L334" s="1"/>
  <c r="C338" i="19" s="1"/>
  <c r="L338" s="1"/>
  <c r="C341" i="21" s="1"/>
  <c r="L341" s="1"/>
  <c r="C342" i="23" s="1"/>
  <c r="L342" s="1"/>
  <c r="C342" i="25" s="1"/>
  <c r="L342" s="1"/>
  <c r="K319" i="11"/>
  <c r="K318"/>
  <c r="K317"/>
  <c r="K316"/>
  <c r="K315"/>
  <c r="F314"/>
  <c r="K314" s="1"/>
  <c r="K313"/>
  <c r="K312"/>
  <c r="K311"/>
  <c r="K310"/>
  <c r="K309"/>
  <c r="K308"/>
  <c r="K307"/>
  <c r="K306"/>
  <c r="K305"/>
  <c r="K304"/>
  <c r="K303"/>
  <c r="K302"/>
  <c r="K301"/>
  <c r="K300"/>
  <c r="F300"/>
  <c r="K299"/>
  <c r="K298"/>
  <c r="K297"/>
  <c r="F296"/>
  <c r="K296" s="1"/>
  <c r="H295"/>
  <c r="K295" s="1"/>
  <c r="K294"/>
  <c r="K293"/>
  <c r="H292"/>
  <c r="K292" s="1"/>
  <c r="K291"/>
  <c r="K290"/>
  <c r="K289"/>
  <c r="K288"/>
  <c r="K287"/>
  <c r="K286"/>
  <c r="F285"/>
  <c r="K285" s="1"/>
  <c r="F284"/>
  <c r="K284" s="1"/>
  <c r="K283"/>
  <c r="K282"/>
  <c r="K281"/>
  <c r="K280"/>
  <c r="K279"/>
  <c r="K278"/>
  <c r="K277"/>
  <c r="K276"/>
  <c r="K275"/>
  <c r="K274"/>
  <c r="E274"/>
  <c r="L274" s="1"/>
  <c r="C276" i="13" s="1"/>
  <c r="L276" s="1"/>
  <c r="C284" i="15" s="1"/>
  <c r="L284" s="1"/>
  <c r="C288" i="17" s="1"/>
  <c r="L288" s="1"/>
  <c r="C292" i="19" s="1"/>
  <c r="L292" s="1"/>
  <c r="C295" i="21" s="1"/>
  <c r="L295" s="1"/>
  <c r="C296" i="23" s="1"/>
  <c r="L296" s="1"/>
  <c r="C296" i="25" s="1"/>
  <c r="L296" s="1"/>
  <c r="K273" i="11"/>
  <c r="K272"/>
  <c r="K271"/>
  <c r="K270"/>
  <c r="K269"/>
  <c r="K268"/>
  <c r="K267"/>
  <c r="K266"/>
  <c r="K265"/>
  <c r="K264"/>
  <c r="K263"/>
  <c r="H262"/>
  <c r="F262"/>
  <c r="K262" s="1"/>
  <c r="K261"/>
  <c r="K260"/>
  <c r="K259"/>
  <c r="K258"/>
  <c r="K257"/>
  <c r="K256"/>
  <c r="K255"/>
  <c r="K254"/>
  <c r="F254"/>
  <c r="K253"/>
  <c r="F252"/>
  <c r="K252" s="1"/>
  <c r="K251"/>
  <c r="K250"/>
  <c r="K249"/>
  <c r="K248"/>
  <c r="K247"/>
  <c r="K246"/>
  <c r="K245"/>
  <c r="K244"/>
  <c r="F243"/>
  <c r="K243" s="1"/>
  <c r="K242"/>
  <c r="K241"/>
  <c r="K240"/>
  <c r="K239"/>
  <c r="K238"/>
  <c r="E238"/>
  <c r="K237"/>
  <c r="K236"/>
  <c r="F235"/>
  <c r="K235" s="1"/>
  <c r="K234"/>
  <c r="K233"/>
  <c r="J232"/>
  <c r="K232" s="1"/>
  <c r="K231"/>
  <c r="K230"/>
  <c r="K229"/>
  <c r="K228"/>
  <c r="K227"/>
  <c r="K226"/>
  <c r="H225"/>
  <c r="F225"/>
  <c r="K225" s="1"/>
  <c r="K224"/>
  <c r="F223"/>
  <c r="K223" s="1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F205"/>
  <c r="K204"/>
  <c r="K203"/>
  <c r="K202"/>
  <c r="K201"/>
  <c r="K200"/>
  <c r="K199"/>
  <c r="K198"/>
  <c r="K197"/>
  <c r="K196"/>
  <c r="F195"/>
  <c r="K195" s="1"/>
  <c r="K194"/>
  <c r="K193"/>
  <c r="K192"/>
  <c r="K191"/>
  <c r="K190"/>
  <c r="K189"/>
  <c r="F188"/>
  <c r="K188" s="1"/>
  <c r="K187"/>
  <c r="K186"/>
  <c r="F186"/>
  <c r="J185"/>
  <c r="F185"/>
  <c r="K185" s="1"/>
  <c r="K184"/>
  <c r="K183"/>
  <c r="F182"/>
  <c r="K182" s="1"/>
  <c r="K181"/>
  <c r="K180"/>
  <c r="K179"/>
  <c r="K178"/>
  <c r="K177"/>
  <c r="K176"/>
  <c r="K175"/>
  <c r="K174"/>
  <c r="J173"/>
  <c r="H173"/>
  <c r="F173"/>
  <c r="K173" s="1"/>
  <c r="K172"/>
  <c r="K171"/>
  <c r="K170"/>
  <c r="K169"/>
  <c r="K168"/>
  <c r="K167"/>
  <c r="F166"/>
  <c r="K166" s="1"/>
  <c r="K165"/>
  <c r="K164"/>
  <c r="K163"/>
  <c r="K162"/>
  <c r="K161"/>
  <c r="K160"/>
  <c r="J159"/>
  <c r="K159" s="1"/>
  <c r="K158"/>
  <c r="K157"/>
  <c r="F157"/>
  <c r="K156"/>
  <c r="K155"/>
  <c r="K154"/>
  <c r="J154"/>
  <c r="K153"/>
  <c r="K152"/>
  <c r="K151"/>
  <c r="K150"/>
  <c r="K149"/>
  <c r="F149"/>
  <c r="K148"/>
  <c r="K147"/>
  <c r="K146"/>
  <c r="K145"/>
  <c r="K144"/>
  <c r="K143"/>
  <c r="K142"/>
  <c r="K141"/>
  <c r="K140"/>
  <c r="K139"/>
  <c r="K138"/>
  <c r="H138"/>
  <c r="K137"/>
  <c r="K136"/>
  <c r="K135"/>
  <c r="F135"/>
  <c r="K134"/>
  <c r="E134"/>
  <c r="K133"/>
  <c r="K132"/>
  <c r="K131"/>
  <c r="K130"/>
  <c r="K129"/>
  <c r="H128"/>
  <c r="F128"/>
  <c r="K128" s="1"/>
  <c r="K127"/>
  <c r="K126"/>
  <c r="K125"/>
  <c r="K124"/>
  <c r="K123"/>
  <c r="F122"/>
  <c r="K122" s="1"/>
  <c r="K121"/>
  <c r="K120"/>
  <c r="K119"/>
  <c r="K118"/>
  <c r="F118"/>
  <c r="K117"/>
  <c r="K116"/>
  <c r="K115"/>
  <c r="F115"/>
  <c r="K114"/>
  <c r="K113"/>
  <c r="K112"/>
  <c r="K111"/>
  <c r="K110"/>
  <c r="K109"/>
  <c r="K108"/>
  <c r="K107"/>
  <c r="K106"/>
  <c r="K105"/>
  <c r="K104"/>
  <c r="J103"/>
  <c r="K103" s="1"/>
  <c r="F102"/>
  <c r="K102" s="1"/>
  <c r="K101"/>
  <c r="K100"/>
  <c r="K99"/>
  <c r="K98"/>
  <c r="F97"/>
  <c r="K97" s="1"/>
  <c r="K96"/>
  <c r="K95"/>
  <c r="K94"/>
  <c r="K93"/>
  <c r="K92"/>
  <c r="K91"/>
  <c r="F91"/>
  <c r="K90"/>
  <c r="E90"/>
  <c r="L90" s="1"/>
  <c r="C91" i="13" s="1"/>
  <c r="L91" s="1"/>
  <c r="C96" i="15" s="1"/>
  <c r="L96" s="1"/>
  <c r="C98" i="17" s="1"/>
  <c r="L98" s="1"/>
  <c r="C99" i="19" s="1"/>
  <c r="L99" s="1"/>
  <c r="C97" i="21" s="1"/>
  <c r="L97" s="1"/>
  <c r="C97" i="23" s="1"/>
  <c r="L97" s="1"/>
  <c r="C97" i="25" s="1"/>
  <c r="L97" s="1"/>
  <c r="K89" i="11"/>
  <c r="E89"/>
  <c r="K88"/>
  <c r="E88"/>
  <c r="L88" s="1"/>
  <c r="C89" i="13" s="1"/>
  <c r="L89" s="1"/>
  <c r="C94" i="15" s="1"/>
  <c r="L94" s="1"/>
  <c r="C96" i="17" s="1"/>
  <c r="L96" s="1"/>
  <c r="C97" i="19" s="1"/>
  <c r="L97" s="1"/>
  <c r="C95" i="21" s="1"/>
  <c r="L95" s="1"/>
  <c r="C95" i="23" s="1"/>
  <c r="L95" s="1"/>
  <c r="C95" i="25" s="1"/>
  <c r="L95" s="1"/>
  <c r="K87" i="11"/>
  <c r="E87"/>
  <c r="K86"/>
  <c r="F86"/>
  <c r="K85"/>
  <c r="K84"/>
  <c r="K83"/>
  <c r="F83"/>
  <c r="K82"/>
  <c r="K81"/>
  <c r="K80"/>
  <c r="F79"/>
  <c r="K79" s="1"/>
  <c r="K78"/>
  <c r="K77"/>
  <c r="F76"/>
  <c r="K76" s="1"/>
  <c r="K75"/>
  <c r="K74"/>
  <c r="K73"/>
  <c r="H72"/>
  <c r="F72"/>
  <c r="K72" s="1"/>
  <c r="K71"/>
  <c r="K70"/>
  <c r="H70"/>
  <c r="K69"/>
  <c r="K68"/>
  <c r="K67"/>
  <c r="H66"/>
  <c r="F66"/>
  <c r="K66" s="1"/>
  <c r="K65"/>
  <c r="K64"/>
  <c r="K63"/>
  <c r="F62"/>
  <c r="K62" s="1"/>
  <c r="K61"/>
  <c r="K60"/>
  <c r="K59"/>
  <c r="K58"/>
  <c r="F57"/>
  <c r="K57" s="1"/>
  <c r="K56"/>
  <c r="K55"/>
  <c r="K54"/>
  <c r="K53"/>
  <c r="F53"/>
  <c r="K52"/>
  <c r="F51"/>
  <c r="K51" s="1"/>
  <c r="K50"/>
  <c r="K49"/>
  <c r="F48"/>
  <c r="K48" s="1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J24"/>
  <c r="H24"/>
  <c r="K24" s="1"/>
  <c r="F24"/>
  <c r="K23"/>
  <c r="K22"/>
  <c r="K21"/>
  <c r="F20"/>
  <c r="K20" s="1"/>
  <c r="K19"/>
  <c r="K18"/>
  <c r="F18"/>
  <c r="K17"/>
  <c r="F17"/>
  <c r="K16"/>
  <c r="K15"/>
  <c r="K14"/>
  <c r="F14"/>
  <c r="K13"/>
  <c r="K12"/>
  <c r="H11"/>
  <c r="F11"/>
  <c r="K11" s="1"/>
  <c r="K10"/>
  <c r="K9"/>
  <c r="K8"/>
  <c r="H7"/>
  <c r="F7"/>
  <c r="K7" s="1"/>
  <c r="K6"/>
  <c r="K5"/>
  <c r="J5"/>
  <c r="K24" i="10"/>
  <c r="E24"/>
  <c r="L24" s="1"/>
  <c r="C24" i="12" s="1"/>
  <c r="L24" s="1"/>
  <c r="C24" i="14" s="1"/>
  <c r="L24" s="1"/>
  <c r="C26" i="16" s="1"/>
  <c r="L26" s="1"/>
  <c r="C26" i="18" s="1"/>
  <c r="L26" s="1"/>
  <c r="C26" i="20" s="1"/>
  <c r="L26" s="1"/>
  <c r="C26" i="22" s="1"/>
  <c r="L26" s="1"/>
  <c r="C26" i="24" s="1"/>
  <c r="L26" s="1"/>
  <c r="C26" i="26" s="1"/>
  <c r="L26" s="1"/>
  <c r="K23" i="10"/>
  <c r="K22"/>
  <c r="E22"/>
  <c r="L22" s="1"/>
  <c r="C22" i="12" s="1"/>
  <c r="L22" s="1"/>
  <c r="C22" i="14" s="1"/>
  <c r="L22" s="1"/>
  <c r="C24" i="16" s="1"/>
  <c r="L24" s="1"/>
  <c r="C24" i="18" s="1"/>
  <c r="L24" s="1"/>
  <c r="C24" i="20" s="1"/>
  <c r="L24" s="1"/>
  <c r="C24" i="22" s="1"/>
  <c r="L24" s="1"/>
  <c r="C24" i="24" s="1"/>
  <c r="L24" s="1"/>
  <c r="C24" i="26" s="1"/>
  <c r="L24" s="1"/>
  <c r="F21" i="10"/>
  <c r="K21" s="1"/>
  <c r="K20"/>
  <c r="K19"/>
  <c r="L19" s="1"/>
  <c r="C19" i="12" s="1"/>
  <c r="L19" s="1"/>
  <c r="C19" i="14" s="1"/>
  <c r="L19" s="1"/>
  <c r="C21" i="16" s="1"/>
  <c r="L21" s="1"/>
  <c r="C21" i="18" s="1"/>
  <c r="L21" s="1"/>
  <c r="C21" i="20" s="1"/>
  <c r="L21" s="1"/>
  <c r="C21" i="22" s="1"/>
  <c r="L21" s="1"/>
  <c r="C21" i="24" s="1"/>
  <c r="L21" s="1"/>
  <c r="C21" i="26" s="1"/>
  <c r="L21" s="1"/>
  <c r="K18" i="10"/>
  <c r="F18"/>
  <c r="K17"/>
  <c r="K16"/>
  <c r="K15"/>
  <c r="F14"/>
  <c r="K14" s="1"/>
  <c r="F13"/>
  <c r="K13" s="1"/>
  <c r="K12"/>
  <c r="K11"/>
  <c r="K10"/>
  <c r="K9"/>
  <c r="K8"/>
  <c r="K7"/>
  <c r="K6"/>
  <c r="K5"/>
  <c r="F5"/>
  <c r="K368" i="9"/>
  <c r="K367"/>
  <c r="K366"/>
  <c r="K365"/>
  <c r="K364"/>
  <c r="K363"/>
  <c r="K362"/>
  <c r="K361"/>
  <c r="K360"/>
  <c r="F359"/>
  <c r="K359" s="1"/>
  <c r="F358"/>
  <c r="K358" s="1"/>
  <c r="K357"/>
  <c r="K356"/>
  <c r="K355"/>
  <c r="K354"/>
  <c r="F354"/>
  <c r="K353"/>
  <c r="F352"/>
  <c r="K352" s="1"/>
  <c r="K351"/>
  <c r="K350"/>
  <c r="K349"/>
  <c r="K348"/>
  <c r="K347"/>
  <c r="K346"/>
  <c r="K345"/>
  <c r="K344"/>
  <c r="K343"/>
  <c r="K342"/>
  <c r="F341"/>
  <c r="K341" s="1"/>
  <c r="K340"/>
  <c r="K339"/>
  <c r="K338"/>
  <c r="K337"/>
  <c r="F337"/>
  <c r="K336"/>
  <c r="F335"/>
  <c r="K335" s="1"/>
  <c r="K334"/>
  <c r="K333"/>
  <c r="K332"/>
  <c r="K331"/>
  <c r="K330"/>
  <c r="K329"/>
  <c r="K328"/>
  <c r="K327"/>
  <c r="K326"/>
  <c r="K325"/>
  <c r="K324"/>
  <c r="K323"/>
  <c r="K322"/>
  <c r="K321"/>
  <c r="K320"/>
  <c r="K319"/>
  <c r="F319"/>
  <c r="K318"/>
  <c r="K317"/>
  <c r="K316"/>
  <c r="K315"/>
  <c r="K314"/>
  <c r="K313"/>
  <c r="K312"/>
  <c r="F311"/>
  <c r="K311" s="1"/>
  <c r="K310"/>
  <c r="K309"/>
  <c r="K308"/>
  <c r="K307"/>
  <c r="K306"/>
  <c r="K305"/>
  <c r="F305"/>
  <c r="K304"/>
  <c r="K303"/>
  <c r="K302"/>
  <c r="K301"/>
  <c r="K300"/>
  <c r="K299"/>
  <c r="K298"/>
  <c r="K297"/>
  <c r="K296"/>
  <c r="K295"/>
  <c r="K294"/>
  <c r="F293"/>
  <c r="K293" s="1"/>
  <c r="F292"/>
  <c r="K292" s="1"/>
  <c r="K291"/>
  <c r="K290"/>
  <c r="K289"/>
  <c r="K288"/>
  <c r="K287"/>
  <c r="K286"/>
  <c r="K285"/>
  <c r="K284"/>
  <c r="K283"/>
  <c r="K282"/>
  <c r="F281"/>
  <c r="K281" s="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F260"/>
  <c r="K260" s="1"/>
  <c r="K259"/>
  <c r="K258"/>
  <c r="K257"/>
  <c r="K256"/>
  <c r="K255"/>
  <c r="K254"/>
  <c r="F253"/>
  <c r="K253" s="1"/>
  <c r="F252"/>
  <c r="K252" s="1"/>
  <c r="K251"/>
  <c r="K250"/>
  <c r="F250"/>
  <c r="K249"/>
  <c r="K248"/>
  <c r="K247"/>
  <c r="K246"/>
  <c r="K245"/>
  <c r="K244"/>
  <c r="K243"/>
  <c r="K242"/>
  <c r="H241"/>
  <c r="F241"/>
  <c r="K241" s="1"/>
  <c r="K240"/>
  <c r="K239"/>
  <c r="K238"/>
  <c r="K237"/>
  <c r="F236"/>
  <c r="K236" s="1"/>
  <c r="K235"/>
  <c r="K234"/>
  <c r="F233"/>
  <c r="K233" s="1"/>
  <c r="K232"/>
  <c r="K231"/>
  <c r="F230"/>
  <c r="K230" s="1"/>
  <c r="K229"/>
  <c r="K228"/>
  <c r="K227"/>
  <c r="K226"/>
  <c r="K225"/>
  <c r="K224"/>
  <c r="H223"/>
  <c r="F223"/>
  <c r="K223" s="1"/>
  <c r="K222"/>
  <c r="F221"/>
  <c r="K221" s="1"/>
  <c r="K220"/>
  <c r="K219"/>
  <c r="K218"/>
  <c r="K217"/>
  <c r="K216"/>
  <c r="K215"/>
  <c r="K214"/>
  <c r="K213"/>
  <c r="K212"/>
  <c r="K211"/>
  <c r="K210"/>
  <c r="K209"/>
  <c r="K208"/>
  <c r="K207"/>
  <c r="K206"/>
  <c r="K205"/>
  <c r="E205"/>
  <c r="L205" s="1"/>
  <c r="C207" i="11" s="1"/>
  <c r="L207" s="1"/>
  <c r="C208" i="13" s="1"/>
  <c r="L208" s="1"/>
  <c r="C214" i="15" s="1"/>
  <c r="L214" s="1"/>
  <c r="C217" i="17" s="1"/>
  <c r="L217" s="1"/>
  <c r="C220" i="19" s="1"/>
  <c r="L220" s="1"/>
  <c r="C219" i="21" s="1"/>
  <c r="L219" s="1"/>
  <c r="C220" i="23" s="1"/>
  <c r="L220" s="1"/>
  <c r="C220" i="25" s="1"/>
  <c r="L220" s="1"/>
  <c r="G204" i="9"/>
  <c r="K204" s="1"/>
  <c r="L204" s="1"/>
  <c r="C206" i="11" s="1"/>
  <c r="L206" s="1"/>
  <c r="C207" i="13" s="1"/>
  <c r="L207" s="1"/>
  <c r="C213" i="15" s="1"/>
  <c r="L213" s="1"/>
  <c r="C216" i="17" s="1"/>
  <c r="L216" s="1"/>
  <c r="C219" i="19" s="1"/>
  <c r="L219" s="1"/>
  <c r="C218" i="21" s="1"/>
  <c r="L218" s="1"/>
  <c r="C219" i="23" s="1"/>
  <c r="L219" s="1"/>
  <c r="C219" i="25" s="1"/>
  <c r="L219" s="1"/>
  <c r="E204" i="9"/>
  <c r="F203"/>
  <c r="K203" s="1"/>
  <c r="K202"/>
  <c r="K201"/>
  <c r="K200"/>
  <c r="E200"/>
  <c r="K199"/>
  <c r="K198"/>
  <c r="K197"/>
  <c r="K196"/>
  <c r="K195"/>
  <c r="K194"/>
  <c r="F194"/>
  <c r="K193"/>
  <c r="F193"/>
  <c r="K192"/>
  <c r="I191"/>
  <c r="F191"/>
  <c r="K191" s="1"/>
  <c r="K190"/>
  <c r="K189"/>
  <c r="K188"/>
  <c r="K187"/>
  <c r="K186"/>
  <c r="F186"/>
  <c r="K185"/>
  <c r="F185"/>
  <c r="K184"/>
  <c r="G183"/>
  <c r="K183" s="1"/>
  <c r="K182"/>
  <c r="K181"/>
  <c r="F180"/>
  <c r="K180" s="1"/>
  <c r="K179"/>
  <c r="K178"/>
  <c r="K177"/>
  <c r="K176"/>
  <c r="K175"/>
  <c r="K174"/>
  <c r="K173"/>
  <c r="K172"/>
  <c r="F171"/>
  <c r="K171" s="1"/>
  <c r="K170"/>
  <c r="K169"/>
  <c r="K168"/>
  <c r="K167"/>
  <c r="K166"/>
  <c r="K165"/>
  <c r="F164"/>
  <c r="K164" s="1"/>
  <c r="K163"/>
  <c r="K162"/>
  <c r="K161"/>
  <c r="K160"/>
  <c r="K159"/>
  <c r="K158"/>
  <c r="K157"/>
  <c r="K156"/>
  <c r="H155"/>
  <c r="F155"/>
  <c r="K155" s="1"/>
  <c r="K154"/>
  <c r="K153"/>
  <c r="K152"/>
  <c r="F152"/>
  <c r="K151"/>
  <c r="K150"/>
  <c r="K149"/>
  <c r="K148"/>
  <c r="K147"/>
  <c r="K146"/>
  <c r="K145"/>
  <c r="K144"/>
  <c r="I143"/>
  <c r="F143"/>
  <c r="K143" s="1"/>
  <c r="K142"/>
  <c r="K141"/>
  <c r="K140"/>
  <c r="K139"/>
  <c r="F138"/>
  <c r="K138" s="1"/>
  <c r="K137"/>
  <c r="G136"/>
  <c r="F136"/>
  <c r="K136" s="1"/>
  <c r="K135"/>
  <c r="K134"/>
  <c r="H133"/>
  <c r="F133"/>
  <c r="K133" s="1"/>
  <c r="K132"/>
  <c r="K131"/>
  <c r="K130"/>
  <c r="K129"/>
  <c r="K128"/>
  <c r="K127"/>
  <c r="H126"/>
  <c r="F126"/>
  <c r="K126" s="1"/>
  <c r="K125"/>
  <c r="K124"/>
  <c r="K123"/>
  <c r="K122"/>
  <c r="K121"/>
  <c r="K120"/>
  <c r="K119"/>
  <c r="K118"/>
  <c r="K117"/>
  <c r="K116"/>
  <c r="K115"/>
  <c r="K114"/>
  <c r="F113"/>
  <c r="K113" s="1"/>
  <c r="F112"/>
  <c r="K112" s="1"/>
  <c r="K111"/>
  <c r="I110"/>
  <c r="F110"/>
  <c r="K110" s="1"/>
  <c r="K109"/>
  <c r="K108"/>
  <c r="F108"/>
  <c r="K107"/>
  <c r="K106"/>
  <c r="K105"/>
  <c r="K104"/>
  <c r="K103"/>
  <c r="K102"/>
  <c r="K101"/>
  <c r="F100"/>
  <c r="K100" s="1"/>
  <c r="K99"/>
  <c r="K98"/>
  <c r="K97"/>
  <c r="K96"/>
  <c r="K95"/>
  <c r="K94"/>
  <c r="K93"/>
  <c r="K92"/>
  <c r="K91"/>
  <c r="K90"/>
  <c r="F89"/>
  <c r="K89" s="1"/>
  <c r="K88"/>
  <c r="K87"/>
  <c r="F86"/>
  <c r="K86" s="1"/>
  <c r="K85"/>
  <c r="K84"/>
  <c r="F83"/>
  <c r="K83" s="1"/>
  <c r="K82"/>
  <c r="K81"/>
  <c r="K80"/>
  <c r="K79"/>
  <c r="K78"/>
  <c r="K77"/>
  <c r="F76"/>
  <c r="K76" s="1"/>
  <c r="K75"/>
  <c r="K74"/>
  <c r="K73"/>
  <c r="K72"/>
  <c r="F72"/>
  <c r="K71"/>
  <c r="K70"/>
  <c r="K69"/>
  <c r="H68"/>
  <c r="K68" s="1"/>
  <c r="K67"/>
  <c r="H66"/>
  <c r="F66"/>
  <c r="K66" s="1"/>
  <c r="K65"/>
  <c r="K64"/>
  <c r="F63"/>
  <c r="K63" s="1"/>
  <c r="F62"/>
  <c r="K62" s="1"/>
  <c r="K61"/>
  <c r="K60"/>
  <c r="K59"/>
  <c r="K58"/>
  <c r="K57"/>
  <c r="K56"/>
  <c r="K55"/>
  <c r="K54"/>
  <c r="K53"/>
  <c r="K52"/>
  <c r="F51"/>
  <c r="K51" s="1"/>
  <c r="K50"/>
  <c r="K49"/>
  <c r="F48"/>
  <c r="K48" s="1"/>
  <c r="F47"/>
  <c r="K47" s="1"/>
  <c r="K46"/>
  <c r="K45"/>
  <c r="K44"/>
  <c r="K43"/>
  <c r="K42"/>
  <c r="K41"/>
  <c r="F41"/>
  <c r="K40"/>
  <c r="K39"/>
  <c r="H38"/>
  <c r="F38"/>
  <c r="K38" s="1"/>
  <c r="K37"/>
  <c r="K36"/>
  <c r="K35"/>
  <c r="K34"/>
  <c r="K33"/>
  <c r="K32"/>
  <c r="K31"/>
  <c r="K30"/>
  <c r="K29"/>
  <c r="K28"/>
  <c r="K27"/>
  <c r="K26"/>
  <c r="K25"/>
  <c r="K24"/>
  <c r="G24"/>
  <c r="K23"/>
  <c r="K22"/>
  <c r="K21"/>
  <c r="F20"/>
  <c r="K20" s="1"/>
  <c r="K19"/>
  <c r="K18"/>
  <c r="F18"/>
  <c r="K17"/>
  <c r="K16"/>
  <c r="K15"/>
  <c r="F14"/>
  <c r="K14" s="1"/>
  <c r="K13"/>
  <c r="K12"/>
  <c r="H11"/>
  <c r="F11"/>
  <c r="K11" s="1"/>
  <c r="K10"/>
  <c r="K9"/>
  <c r="K8"/>
  <c r="F7"/>
  <c r="K7" s="1"/>
  <c r="K6"/>
  <c r="K5"/>
  <c r="K21" i="8"/>
  <c r="K20"/>
  <c r="K19"/>
  <c r="K18"/>
  <c r="G18"/>
  <c r="K17"/>
  <c r="K16"/>
  <c r="K15"/>
  <c r="K14"/>
  <c r="K13"/>
  <c r="K12"/>
  <c r="K11"/>
  <c r="K10"/>
  <c r="K9"/>
  <c r="K8"/>
  <c r="K7"/>
  <c r="K6"/>
  <c r="K5"/>
  <c r="K366" i="7"/>
  <c r="K365"/>
  <c r="K364"/>
  <c r="K363"/>
  <c r="K362"/>
  <c r="K361"/>
  <c r="F361"/>
  <c r="K360"/>
  <c r="K359"/>
  <c r="K358"/>
  <c r="F357"/>
  <c r="K357" s="1"/>
  <c r="H356"/>
  <c r="F356"/>
  <c r="K356" s="1"/>
  <c r="K355"/>
  <c r="K354"/>
  <c r="K353"/>
  <c r="F352"/>
  <c r="K352" s="1"/>
  <c r="K351"/>
  <c r="K350"/>
  <c r="F350"/>
  <c r="K349"/>
  <c r="K348"/>
  <c r="K347"/>
  <c r="K346"/>
  <c r="K345"/>
  <c r="K344"/>
  <c r="K343"/>
  <c r="K342"/>
  <c r="K341"/>
  <c r="K340"/>
  <c r="K339"/>
  <c r="E339"/>
  <c r="K338"/>
  <c r="K337"/>
  <c r="K336"/>
  <c r="G336"/>
  <c r="E336"/>
  <c r="L336" s="1"/>
  <c r="C338" i="9" s="1"/>
  <c r="L338" s="1"/>
  <c r="C346" i="11" s="1"/>
  <c r="L346" s="1"/>
  <c r="C348" i="13" s="1"/>
  <c r="L348" s="1"/>
  <c r="C357" i="15" s="1"/>
  <c r="L357" s="1"/>
  <c r="C361" i="17" s="1"/>
  <c r="L361" s="1"/>
  <c r="C364" i="19" s="1"/>
  <c r="L364" s="1"/>
  <c r="C367" i="21" s="1"/>
  <c r="L367" s="1"/>
  <c r="C368" i="23" s="1"/>
  <c r="L368" s="1"/>
  <c r="C368" i="25" s="1"/>
  <c r="L368" s="1"/>
  <c r="K335" i="7"/>
  <c r="F335"/>
  <c r="E335"/>
  <c r="G334"/>
  <c r="K334" s="1"/>
  <c r="L334" s="1"/>
  <c r="C336" i="9" s="1"/>
  <c r="L336" s="1"/>
  <c r="C344" i="11" s="1"/>
  <c r="L344" s="1"/>
  <c r="C346" i="13" s="1"/>
  <c r="L346" s="1"/>
  <c r="C355" i="15" s="1"/>
  <c r="L355" s="1"/>
  <c r="C359" i="17" s="1"/>
  <c r="L359" s="1"/>
  <c r="K333" i="7"/>
  <c r="F333"/>
  <c r="K332"/>
  <c r="K331"/>
  <c r="K330"/>
  <c r="K329"/>
  <c r="K328"/>
  <c r="K327"/>
  <c r="K326"/>
  <c r="F326"/>
  <c r="K325"/>
  <c r="K324"/>
  <c r="K323"/>
  <c r="K322"/>
  <c r="K321"/>
  <c r="K320"/>
  <c r="K319"/>
  <c r="K318"/>
  <c r="K317"/>
  <c r="F317"/>
  <c r="K316"/>
  <c r="K315"/>
  <c r="K314"/>
  <c r="F313"/>
  <c r="K313" s="1"/>
  <c r="K312"/>
  <c r="K311"/>
  <c r="K310"/>
  <c r="K309"/>
  <c r="F309"/>
  <c r="K308"/>
  <c r="K307"/>
  <c r="K306"/>
  <c r="K305"/>
  <c r="K304"/>
  <c r="F303"/>
  <c r="K303" s="1"/>
  <c r="K302"/>
  <c r="K301"/>
  <c r="K300"/>
  <c r="K299"/>
  <c r="K298"/>
  <c r="K297"/>
  <c r="K296"/>
  <c r="K295"/>
  <c r="F295"/>
  <c r="K294"/>
  <c r="F294"/>
  <c r="K293"/>
  <c r="K292"/>
  <c r="K291"/>
  <c r="F291"/>
  <c r="K290"/>
  <c r="F290"/>
  <c r="K289"/>
  <c r="K288"/>
  <c r="K287"/>
  <c r="K286"/>
  <c r="K285"/>
  <c r="K284"/>
  <c r="K283"/>
  <c r="F283"/>
  <c r="K282"/>
  <c r="K281"/>
  <c r="K280"/>
  <c r="K279"/>
  <c r="K278"/>
  <c r="F277"/>
  <c r="K277" s="1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H258"/>
  <c r="F258"/>
  <c r="K258" s="1"/>
  <c r="K257"/>
  <c r="K256"/>
  <c r="K255"/>
  <c r="K254"/>
  <c r="K253"/>
  <c r="F252"/>
  <c r="K252" s="1"/>
  <c r="F251"/>
  <c r="K251" s="1"/>
  <c r="K250"/>
  <c r="K249"/>
  <c r="G249"/>
  <c r="E249"/>
  <c r="L249" s="1"/>
  <c r="C251" i="9" s="1"/>
  <c r="L251" s="1"/>
  <c r="C253" i="11" s="1"/>
  <c r="L253" s="1"/>
  <c r="C255" i="13" s="1"/>
  <c r="L255" s="1"/>
  <c r="C262" i="15" s="1"/>
  <c r="L262" s="1"/>
  <c r="C266" i="17" s="1"/>
  <c r="L266" s="1"/>
  <c r="C270" i="19" s="1"/>
  <c r="L270" s="1"/>
  <c r="C272" i="21" s="1"/>
  <c r="L272" s="1"/>
  <c r="C273" i="23" s="1"/>
  <c r="L273" s="1"/>
  <c r="C273" i="25" s="1"/>
  <c r="L273" s="1"/>
  <c r="K248" i="7"/>
  <c r="F248"/>
  <c r="E248"/>
  <c r="K247"/>
  <c r="K246"/>
  <c r="K245"/>
  <c r="K244"/>
  <c r="K243"/>
  <c r="K242"/>
  <c r="K241"/>
  <c r="K240"/>
  <c r="K239"/>
  <c r="K238"/>
  <c r="K237"/>
  <c r="K236"/>
  <c r="K235"/>
  <c r="K234"/>
  <c r="F234"/>
  <c r="K233"/>
  <c r="K232"/>
  <c r="K231"/>
  <c r="K230"/>
  <c r="K229"/>
  <c r="F228"/>
  <c r="K228" s="1"/>
  <c r="K227"/>
  <c r="K226"/>
  <c r="H225"/>
  <c r="K225" s="1"/>
  <c r="K224"/>
  <c r="K223"/>
  <c r="K222"/>
  <c r="K221"/>
  <c r="F221"/>
  <c r="K220"/>
  <c r="F219"/>
  <c r="K219" s="1"/>
  <c r="K218"/>
  <c r="K217"/>
  <c r="K216"/>
  <c r="K215"/>
  <c r="K214"/>
  <c r="K213"/>
  <c r="K212"/>
  <c r="K211"/>
  <c r="K210"/>
  <c r="K209"/>
  <c r="K208"/>
  <c r="K207"/>
  <c r="K206"/>
  <c r="K205"/>
  <c r="K204"/>
  <c r="K203"/>
  <c r="F203"/>
  <c r="K202"/>
  <c r="K201"/>
  <c r="K200"/>
  <c r="K199"/>
  <c r="K198"/>
  <c r="K197"/>
  <c r="K196"/>
  <c r="K195"/>
  <c r="K194"/>
  <c r="F194"/>
  <c r="K193"/>
  <c r="F193"/>
  <c r="K192"/>
  <c r="H191"/>
  <c r="G191"/>
  <c r="F191"/>
  <c r="K191" s="1"/>
  <c r="K190"/>
  <c r="K189"/>
  <c r="K188"/>
  <c r="K187"/>
  <c r="F186"/>
  <c r="K186" s="1"/>
  <c r="L186" s="1"/>
  <c r="C186" i="9" s="1"/>
  <c r="L186" s="1"/>
  <c r="C188" i="11" s="1"/>
  <c r="L188" s="1"/>
  <c r="C189" i="13" s="1"/>
  <c r="L189" s="1"/>
  <c r="C195" i="15" s="1"/>
  <c r="L195" s="1"/>
  <c r="C198" i="17" s="1"/>
  <c r="L198" s="1"/>
  <c r="C199" i="19" s="1"/>
  <c r="L199" s="1"/>
  <c r="C198" i="21" s="1"/>
  <c r="L198" s="1"/>
  <c r="C199" i="23" s="1"/>
  <c r="L199" s="1"/>
  <c r="C199" i="25" s="1"/>
  <c r="L199" s="1"/>
  <c r="E186" i="7"/>
  <c r="F185"/>
  <c r="K185" s="1"/>
  <c r="K184"/>
  <c r="K183"/>
  <c r="K182"/>
  <c r="K181"/>
  <c r="F180"/>
  <c r="K180" s="1"/>
  <c r="K179"/>
  <c r="K178"/>
  <c r="K177"/>
  <c r="K176"/>
  <c r="K175"/>
  <c r="K174"/>
  <c r="K173"/>
  <c r="K172"/>
  <c r="F171"/>
  <c r="K171" s="1"/>
  <c r="K170"/>
  <c r="K169"/>
  <c r="H168"/>
  <c r="F168"/>
  <c r="K168" s="1"/>
  <c r="K167"/>
  <c r="K166"/>
  <c r="K165"/>
  <c r="K164"/>
  <c r="K163"/>
  <c r="K162"/>
  <c r="K161"/>
  <c r="K160"/>
  <c r="K159"/>
  <c r="K158"/>
  <c r="K157"/>
  <c r="K156"/>
  <c r="K155"/>
  <c r="F155"/>
  <c r="K154"/>
  <c r="K153"/>
  <c r="K152"/>
  <c r="K151"/>
  <c r="H150"/>
  <c r="F150"/>
  <c r="K150" s="1"/>
  <c r="K149"/>
  <c r="K148"/>
  <c r="K147"/>
  <c r="K146"/>
  <c r="K145"/>
  <c r="K144"/>
  <c r="H143"/>
  <c r="G143"/>
  <c r="F143"/>
  <c r="K143" s="1"/>
  <c r="K142"/>
  <c r="K141"/>
  <c r="K140"/>
  <c r="K139"/>
  <c r="K138"/>
  <c r="K137"/>
  <c r="F136"/>
  <c r="K136" s="1"/>
  <c r="K135"/>
  <c r="K134"/>
  <c r="F133"/>
  <c r="K133" s="1"/>
  <c r="K132"/>
  <c r="K131"/>
  <c r="K130"/>
  <c r="K129"/>
  <c r="K128"/>
  <c r="K127"/>
  <c r="F126"/>
  <c r="K126" s="1"/>
  <c r="K125"/>
  <c r="K124"/>
  <c r="K123"/>
  <c r="K122"/>
  <c r="K121"/>
  <c r="K120"/>
  <c r="K119"/>
  <c r="K118"/>
  <c r="K117"/>
  <c r="K116"/>
  <c r="K115"/>
  <c r="K114"/>
  <c r="F113"/>
  <c r="K113" s="1"/>
  <c r="F112"/>
  <c r="K112" s="1"/>
  <c r="K111"/>
  <c r="H110"/>
  <c r="G110"/>
  <c r="K110" s="1"/>
  <c r="F110"/>
  <c r="K109"/>
  <c r="F108"/>
  <c r="K108" s="1"/>
  <c r="H107"/>
  <c r="G107"/>
  <c r="F107"/>
  <c r="K107" s="1"/>
  <c r="K106"/>
  <c r="K105"/>
  <c r="K104"/>
  <c r="K103"/>
  <c r="F102"/>
  <c r="K102" s="1"/>
  <c r="K101"/>
  <c r="K100"/>
  <c r="F100"/>
  <c r="K99"/>
  <c r="K98"/>
  <c r="K97"/>
  <c r="K96"/>
  <c r="K95"/>
  <c r="K94"/>
  <c r="K93"/>
  <c r="K92"/>
  <c r="K91"/>
  <c r="K90"/>
  <c r="K89"/>
  <c r="F89"/>
  <c r="K88"/>
  <c r="K87"/>
  <c r="K86"/>
  <c r="E86"/>
  <c r="K85"/>
  <c r="F84"/>
  <c r="K84" s="1"/>
  <c r="F83"/>
  <c r="K83" s="1"/>
  <c r="K82"/>
  <c r="K81"/>
  <c r="K80"/>
  <c r="K79"/>
  <c r="K78"/>
  <c r="K77"/>
  <c r="F76"/>
  <c r="K76" s="1"/>
  <c r="K75"/>
  <c r="K74"/>
  <c r="K73"/>
  <c r="K72"/>
  <c r="F72"/>
  <c r="K71"/>
  <c r="K70"/>
  <c r="K69"/>
  <c r="K68"/>
  <c r="K67"/>
  <c r="F66"/>
  <c r="K66" s="1"/>
  <c r="K65"/>
  <c r="K64"/>
  <c r="F63"/>
  <c r="K63" s="1"/>
  <c r="F62"/>
  <c r="K62" s="1"/>
  <c r="K61"/>
  <c r="K60"/>
  <c r="K59"/>
  <c r="K58"/>
  <c r="F57"/>
  <c r="K57" s="1"/>
  <c r="K56"/>
  <c r="K55"/>
  <c r="K54"/>
  <c r="K53"/>
  <c r="F53"/>
  <c r="K52"/>
  <c r="H51"/>
  <c r="F51"/>
  <c r="K51" s="1"/>
  <c r="K50"/>
  <c r="K49"/>
  <c r="K48"/>
  <c r="F48"/>
  <c r="G47"/>
  <c r="F47"/>
  <c r="K47" s="1"/>
  <c r="K46"/>
  <c r="K45"/>
  <c r="K44"/>
  <c r="K43"/>
  <c r="K42"/>
  <c r="K41"/>
  <c r="F41"/>
  <c r="K40"/>
  <c r="K39"/>
  <c r="K38"/>
  <c r="K37"/>
  <c r="K36"/>
  <c r="K35"/>
  <c r="K34"/>
  <c r="K33"/>
  <c r="K32"/>
  <c r="K31"/>
  <c r="K30"/>
  <c r="K29"/>
  <c r="K28"/>
  <c r="K27"/>
  <c r="K26"/>
  <c r="F26"/>
  <c r="K25"/>
  <c r="K24"/>
  <c r="K23"/>
  <c r="K22"/>
  <c r="K21"/>
  <c r="F20"/>
  <c r="K20" s="1"/>
  <c r="F19"/>
  <c r="K19" s="1"/>
  <c r="F18"/>
  <c r="K18" s="1"/>
  <c r="F17"/>
  <c r="K17" s="1"/>
  <c r="K16"/>
  <c r="K15"/>
  <c r="F14"/>
  <c r="K14" s="1"/>
  <c r="K13"/>
  <c r="K12"/>
  <c r="F11"/>
  <c r="K11" s="1"/>
  <c r="K10"/>
  <c r="K9"/>
  <c r="K8"/>
  <c r="K7"/>
  <c r="F7"/>
  <c r="K6"/>
  <c r="K5"/>
  <c r="K21" i="6"/>
  <c r="K20"/>
  <c r="K19"/>
  <c r="F19"/>
  <c r="K18"/>
  <c r="F18"/>
  <c r="K17"/>
  <c r="K16"/>
  <c r="K15"/>
  <c r="K14"/>
  <c r="K13"/>
  <c r="F12"/>
  <c r="K12" s="1"/>
  <c r="K11"/>
  <c r="K10"/>
  <c r="K9"/>
  <c r="K8"/>
  <c r="K7"/>
  <c r="K6"/>
  <c r="F5"/>
  <c r="K5" s="1"/>
  <c r="K362" i="5"/>
  <c r="K361"/>
  <c r="K360"/>
  <c r="K359"/>
  <c r="K358"/>
  <c r="H357"/>
  <c r="F357"/>
  <c r="K357" s="1"/>
  <c r="K356"/>
  <c r="K355"/>
  <c r="K354"/>
  <c r="H353"/>
  <c r="F353"/>
  <c r="K353" s="1"/>
  <c r="H352"/>
  <c r="F352"/>
  <c r="K352" s="1"/>
  <c r="K351"/>
  <c r="K350"/>
  <c r="K349"/>
  <c r="F348"/>
  <c r="K348" s="1"/>
  <c r="K347"/>
  <c r="K346"/>
  <c r="F346"/>
  <c r="K345"/>
  <c r="K344"/>
  <c r="K343"/>
  <c r="K342"/>
  <c r="K341"/>
  <c r="K340"/>
  <c r="K339"/>
  <c r="K338"/>
  <c r="K337"/>
  <c r="K336"/>
  <c r="K335"/>
  <c r="K334"/>
  <c r="K333"/>
  <c r="K332"/>
  <c r="K331"/>
  <c r="F331"/>
  <c r="K330"/>
  <c r="K329"/>
  <c r="K328"/>
  <c r="K327"/>
  <c r="K326"/>
  <c r="K325"/>
  <c r="K324"/>
  <c r="H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F307"/>
  <c r="K306"/>
  <c r="K305"/>
  <c r="K304"/>
  <c r="K303"/>
  <c r="K302"/>
  <c r="F301"/>
  <c r="K301" s="1"/>
  <c r="K300"/>
  <c r="K299"/>
  <c r="K298"/>
  <c r="K297"/>
  <c r="K296"/>
  <c r="K295"/>
  <c r="I294"/>
  <c r="K294" s="1"/>
  <c r="K293"/>
  <c r="K292"/>
  <c r="K291"/>
  <c r="K290"/>
  <c r="K289"/>
  <c r="H288"/>
  <c r="F288"/>
  <c r="K288" s="1"/>
  <c r="K287"/>
  <c r="K286"/>
  <c r="F285"/>
  <c r="K285" s="1"/>
  <c r="K284"/>
  <c r="K283"/>
  <c r="K282"/>
  <c r="K281"/>
  <c r="F281"/>
  <c r="K280"/>
  <c r="K279"/>
  <c r="K278"/>
  <c r="K277"/>
  <c r="K276"/>
  <c r="K275"/>
  <c r="K274"/>
  <c r="I273"/>
  <c r="K273" s="1"/>
  <c r="F272"/>
  <c r="K272" s="1"/>
  <c r="K271"/>
  <c r="K270"/>
  <c r="K269"/>
  <c r="K268"/>
  <c r="K267"/>
  <c r="K266"/>
  <c r="K265"/>
  <c r="K264"/>
  <c r="K263"/>
  <c r="K262"/>
  <c r="K261"/>
  <c r="K260"/>
  <c r="F259"/>
  <c r="K259" s="1"/>
  <c r="K258"/>
  <c r="K257"/>
  <c r="I257"/>
  <c r="K256"/>
  <c r="K255"/>
  <c r="K254"/>
  <c r="F254"/>
  <c r="K253"/>
  <c r="K252"/>
  <c r="K251"/>
  <c r="F250"/>
  <c r="K250" s="1"/>
  <c r="F249"/>
  <c r="K249" s="1"/>
  <c r="F248"/>
  <c r="K248" s="1"/>
  <c r="K247"/>
  <c r="K246"/>
  <c r="K245"/>
  <c r="K244"/>
  <c r="K243"/>
  <c r="K242"/>
  <c r="K241"/>
  <c r="K240"/>
  <c r="K239"/>
  <c r="F238"/>
  <c r="K238" s="1"/>
  <c r="K237"/>
  <c r="K236"/>
  <c r="K235"/>
  <c r="K234"/>
  <c r="K233"/>
  <c r="F233"/>
  <c r="K232"/>
  <c r="F231"/>
  <c r="K231" s="1"/>
  <c r="K230"/>
  <c r="K229"/>
  <c r="K228"/>
  <c r="H227"/>
  <c r="F227"/>
  <c r="K227" s="1"/>
  <c r="K226"/>
  <c r="K225"/>
  <c r="K224"/>
  <c r="K223"/>
  <c r="K222"/>
  <c r="K221"/>
  <c r="H220"/>
  <c r="F220"/>
  <c r="K220" s="1"/>
  <c r="K219"/>
  <c r="F218"/>
  <c r="K218" s="1"/>
  <c r="K217"/>
  <c r="K216"/>
  <c r="F215"/>
  <c r="K215" s="1"/>
  <c r="K214"/>
  <c r="K213"/>
  <c r="K212"/>
  <c r="K211"/>
  <c r="K210"/>
  <c r="K209"/>
  <c r="K208"/>
  <c r="K207"/>
  <c r="K206"/>
  <c r="K205"/>
  <c r="K204"/>
  <c r="K203"/>
  <c r="K202"/>
  <c r="F202"/>
  <c r="K201"/>
  <c r="K200"/>
  <c r="K199"/>
  <c r="K198"/>
  <c r="K197"/>
  <c r="K196"/>
  <c r="K195"/>
  <c r="K194"/>
  <c r="K193"/>
  <c r="K192"/>
  <c r="K191"/>
  <c r="F190"/>
  <c r="K190" s="1"/>
  <c r="K189"/>
  <c r="K188"/>
  <c r="K187"/>
  <c r="K186"/>
  <c r="F185"/>
  <c r="K185" s="1"/>
  <c r="K184"/>
  <c r="K183"/>
  <c r="K182"/>
  <c r="K181"/>
  <c r="F180"/>
  <c r="K180" s="1"/>
  <c r="K179"/>
  <c r="K178"/>
  <c r="K177"/>
  <c r="K176"/>
  <c r="K175"/>
  <c r="K174"/>
  <c r="K173"/>
  <c r="K172"/>
  <c r="F171"/>
  <c r="K171" s="1"/>
  <c r="K170"/>
  <c r="K169"/>
  <c r="K168"/>
  <c r="K167"/>
  <c r="K166"/>
  <c r="K165"/>
  <c r="K164"/>
  <c r="K163"/>
  <c r="K162"/>
  <c r="K161"/>
  <c r="K160"/>
  <c r="K159"/>
  <c r="K158"/>
  <c r="F157"/>
  <c r="K157" s="1"/>
  <c r="K156"/>
  <c r="K155"/>
  <c r="F155"/>
  <c r="K154"/>
  <c r="K153"/>
  <c r="K152"/>
  <c r="F152"/>
  <c r="K151"/>
  <c r="K150"/>
  <c r="K149"/>
  <c r="K148"/>
  <c r="K147"/>
  <c r="K146"/>
  <c r="K145"/>
  <c r="K144"/>
  <c r="K143"/>
  <c r="F143"/>
  <c r="K142"/>
  <c r="K141"/>
  <c r="K140"/>
  <c r="K139"/>
  <c r="K138"/>
  <c r="H138"/>
  <c r="K137"/>
  <c r="K136"/>
  <c r="K135"/>
  <c r="I134"/>
  <c r="K134" s="1"/>
  <c r="F133"/>
  <c r="K133" s="1"/>
  <c r="K132"/>
  <c r="K131"/>
  <c r="K130"/>
  <c r="K129"/>
  <c r="K128"/>
  <c r="K127"/>
  <c r="H126"/>
  <c r="F126"/>
  <c r="K126" s="1"/>
  <c r="K125"/>
  <c r="K124"/>
  <c r="K123"/>
  <c r="K122"/>
  <c r="K121"/>
  <c r="K120"/>
  <c r="K119"/>
  <c r="F118"/>
  <c r="K118" s="1"/>
  <c r="K117"/>
  <c r="K116"/>
  <c r="H115"/>
  <c r="F115"/>
  <c r="K115" s="1"/>
  <c r="K114"/>
  <c r="F113"/>
  <c r="K113" s="1"/>
  <c r="F112"/>
  <c r="K112" s="1"/>
  <c r="K111"/>
  <c r="I110"/>
  <c r="F110"/>
  <c r="K110" s="1"/>
  <c r="K109"/>
  <c r="K108"/>
  <c r="I107"/>
  <c r="F107"/>
  <c r="K107" s="1"/>
  <c r="K106"/>
  <c r="K105"/>
  <c r="K104"/>
  <c r="F104"/>
  <c r="K103"/>
  <c r="F102"/>
  <c r="K102" s="1"/>
  <c r="K101"/>
  <c r="K100"/>
  <c r="F100"/>
  <c r="K99"/>
  <c r="K98"/>
  <c r="K97"/>
  <c r="K96"/>
  <c r="K95"/>
  <c r="K94"/>
  <c r="K93"/>
  <c r="F92"/>
  <c r="K92" s="1"/>
  <c r="K91"/>
  <c r="K90"/>
  <c r="F89"/>
  <c r="K89" s="1"/>
  <c r="K88"/>
  <c r="K87"/>
  <c r="K86"/>
  <c r="F85"/>
  <c r="K85" s="1"/>
  <c r="K84"/>
  <c r="F84"/>
  <c r="K83"/>
  <c r="K82"/>
  <c r="K81"/>
  <c r="F80"/>
  <c r="K80" s="1"/>
  <c r="K79"/>
  <c r="K78"/>
  <c r="K77"/>
  <c r="K76"/>
  <c r="F76"/>
  <c r="K75"/>
  <c r="K74"/>
  <c r="K73"/>
  <c r="K72"/>
  <c r="K71"/>
  <c r="K70"/>
  <c r="K69"/>
  <c r="K68"/>
  <c r="K67"/>
  <c r="F66"/>
  <c r="K66" s="1"/>
  <c r="K65"/>
  <c r="K64"/>
  <c r="F63"/>
  <c r="K63" s="1"/>
  <c r="F62"/>
  <c r="K62" s="1"/>
  <c r="K61"/>
  <c r="K60"/>
  <c r="K59"/>
  <c r="K58"/>
  <c r="K57"/>
  <c r="K56"/>
  <c r="I56"/>
  <c r="K55"/>
  <c r="K54"/>
  <c r="K53"/>
  <c r="K52"/>
  <c r="K51"/>
  <c r="F51"/>
  <c r="K50"/>
  <c r="F50"/>
  <c r="K49"/>
  <c r="F48"/>
  <c r="K48" s="1"/>
  <c r="I47"/>
  <c r="K47" s="1"/>
  <c r="K46"/>
  <c r="K45"/>
  <c r="K44"/>
  <c r="K43"/>
  <c r="K42"/>
  <c r="K41"/>
  <c r="F41"/>
  <c r="K40"/>
  <c r="H40"/>
  <c r="K39"/>
  <c r="F38"/>
  <c r="K38" s="1"/>
  <c r="K37"/>
  <c r="K36"/>
  <c r="K35"/>
  <c r="K34"/>
  <c r="K33"/>
  <c r="K32"/>
  <c r="K31"/>
  <c r="K30"/>
  <c r="K29"/>
  <c r="K28"/>
  <c r="K27"/>
  <c r="K26"/>
  <c r="F26"/>
  <c r="K25"/>
  <c r="K24"/>
  <c r="K23"/>
  <c r="K22"/>
  <c r="K21"/>
  <c r="F20"/>
  <c r="K20" s="1"/>
  <c r="K19"/>
  <c r="K18"/>
  <c r="K17"/>
  <c r="K16"/>
  <c r="K15"/>
  <c r="K14"/>
  <c r="F13"/>
  <c r="K13" s="1"/>
  <c r="K12"/>
  <c r="K11"/>
  <c r="F11"/>
  <c r="K10"/>
  <c r="F9"/>
  <c r="K9" s="1"/>
  <c r="K8"/>
  <c r="K7"/>
  <c r="F7"/>
  <c r="K6"/>
  <c r="F6"/>
  <c r="K5"/>
  <c r="K21" i="4"/>
  <c r="K20"/>
  <c r="K19"/>
  <c r="K18"/>
  <c r="K17"/>
  <c r="K16"/>
  <c r="K15"/>
  <c r="K14"/>
  <c r="J13"/>
  <c r="K13" s="1"/>
  <c r="K12"/>
  <c r="K11"/>
  <c r="K10"/>
  <c r="K9"/>
  <c r="K8"/>
  <c r="K7"/>
  <c r="K6"/>
  <c r="K5"/>
  <c r="K362" i="3"/>
  <c r="K361"/>
  <c r="J361"/>
  <c r="K360"/>
  <c r="K359"/>
  <c r="K358"/>
  <c r="F357"/>
  <c r="K357" s="1"/>
  <c r="K356"/>
  <c r="K355"/>
  <c r="K354"/>
  <c r="K353"/>
  <c r="J352"/>
  <c r="F352"/>
  <c r="K352" s="1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F324"/>
  <c r="K324" s="1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F301"/>
  <c r="K301" s="1"/>
  <c r="K300"/>
  <c r="K299"/>
  <c r="K298"/>
  <c r="K297"/>
  <c r="K296"/>
  <c r="K295"/>
  <c r="K294"/>
  <c r="K293"/>
  <c r="K292"/>
  <c r="K291"/>
  <c r="K290"/>
  <c r="K289"/>
  <c r="F288"/>
  <c r="K288" s="1"/>
  <c r="K287"/>
  <c r="K286"/>
  <c r="K285"/>
  <c r="K284"/>
  <c r="K283"/>
  <c r="K282"/>
  <c r="F281"/>
  <c r="K281" s="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F238"/>
  <c r="K237"/>
  <c r="K236"/>
  <c r="K235"/>
  <c r="K234"/>
  <c r="K233"/>
  <c r="F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F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J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J157"/>
  <c r="K157" s="1"/>
  <c r="K156"/>
  <c r="K155"/>
  <c r="F155"/>
  <c r="K154"/>
  <c r="K153"/>
  <c r="K152"/>
  <c r="J152"/>
  <c r="K151"/>
  <c r="F150"/>
  <c r="K150" s="1"/>
  <c r="K149"/>
  <c r="K148"/>
  <c r="K147"/>
  <c r="K146"/>
  <c r="K145"/>
  <c r="K144"/>
  <c r="F143"/>
  <c r="K143" s="1"/>
  <c r="K142"/>
  <c r="K141"/>
  <c r="K140"/>
  <c r="K139"/>
  <c r="K138"/>
  <c r="K137"/>
  <c r="K136"/>
  <c r="K135"/>
  <c r="K134"/>
  <c r="K133"/>
  <c r="F133"/>
  <c r="K132"/>
  <c r="K131"/>
  <c r="K130"/>
  <c r="K129"/>
  <c r="K128"/>
  <c r="K127"/>
  <c r="K126"/>
  <c r="F126"/>
  <c r="K125"/>
  <c r="K124"/>
  <c r="K123"/>
  <c r="K122"/>
  <c r="K121"/>
  <c r="F120"/>
  <c r="K120" s="1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J101"/>
  <c r="K101" s="1"/>
  <c r="K100"/>
  <c r="K99"/>
  <c r="K98"/>
  <c r="K97"/>
  <c r="K96"/>
  <c r="K95"/>
  <c r="K94"/>
  <c r="K93"/>
  <c r="K92"/>
  <c r="K91"/>
  <c r="K90"/>
  <c r="K89"/>
  <c r="F89"/>
  <c r="K88"/>
  <c r="K87"/>
  <c r="K86"/>
  <c r="K85"/>
  <c r="K84"/>
  <c r="K83"/>
  <c r="K82"/>
  <c r="K81"/>
  <c r="K80"/>
  <c r="K79"/>
  <c r="K78"/>
  <c r="K77"/>
  <c r="K76"/>
  <c r="F76"/>
  <c r="K75"/>
  <c r="K74"/>
  <c r="K73"/>
  <c r="F72"/>
  <c r="K72" s="1"/>
  <c r="K71"/>
  <c r="K70"/>
  <c r="K69"/>
  <c r="K68"/>
  <c r="K67"/>
  <c r="K66"/>
  <c r="F66"/>
  <c r="K65"/>
  <c r="K64"/>
  <c r="K63"/>
  <c r="F63"/>
  <c r="K62"/>
  <c r="K61"/>
  <c r="K60"/>
  <c r="K59"/>
  <c r="K58"/>
  <c r="K57"/>
  <c r="K56"/>
  <c r="K55"/>
  <c r="K54"/>
  <c r="K53"/>
  <c r="K52"/>
  <c r="F51"/>
  <c r="K51" s="1"/>
  <c r="K50"/>
  <c r="K49"/>
  <c r="K48"/>
  <c r="K47"/>
  <c r="K46"/>
  <c r="K45"/>
  <c r="K44"/>
  <c r="K43"/>
  <c r="K42"/>
  <c r="K41"/>
  <c r="K40"/>
  <c r="K39"/>
  <c r="J38"/>
  <c r="K38" s="1"/>
  <c r="K37"/>
  <c r="K36"/>
  <c r="K35"/>
  <c r="K34"/>
  <c r="K33"/>
  <c r="K32"/>
  <c r="K31"/>
  <c r="K30"/>
  <c r="K29"/>
  <c r="K28"/>
  <c r="K27"/>
  <c r="K26"/>
  <c r="F26"/>
  <c r="K25"/>
  <c r="J24"/>
  <c r="K24" s="1"/>
  <c r="K23"/>
  <c r="K22"/>
  <c r="K21"/>
  <c r="K20"/>
  <c r="K19"/>
  <c r="K18"/>
  <c r="K17"/>
  <c r="K16"/>
  <c r="K15"/>
  <c r="K14"/>
  <c r="F14"/>
  <c r="K13"/>
  <c r="F13"/>
  <c r="K12"/>
  <c r="F11"/>
  <c r="K11" s="1"/>
  <c r="K10"/>
  <c r="K9"/>
  <c r="F9"/>
  <c r="K8"/>
  <c r="F7"/>
  <c r="K7" s="1"/>
  <c r="K6"/>
  <c r="K5"/>
  <c r="L21" i="2"/>
  <c r="C21" i="4" s="1"/>
  <c r="L21" s="1"/>
  <c r="C21" i="6" s="1"/>
  <c r="L21" s="1"/>
  <c r="C21" i="8" s="1"/>
  <c r="L21" s="1"/>
  <c r="C23" i="10" s="1"/>
  <c r="L23" s="1"/>
  <c r="C23" i="12" s="1"/>
  <c r="L23" s="1"/>
  <c r="C23" i="14" s="1"/>
  <c r="L23" s="1"/>
  <c r="C25" i="16" s="1"/>
  <c r="L25" s="1"/>
  <c r="C25" i="18" s="1"/>
  <c r="L25" s="1"/>
  <c r="C25" i="20" s="1"/>
  <c r="L25" s="1"/>
  <c r="C25" i="22" s="1"/>
  <c r="L25" s="1"/>
  <c r="C25" i="24" s="1"/>
  <c r="L25" s="1"/>
  <c r="C25" i="26" s="1"/>
  <c r="L25" s="1"/>
  <c r="K21" i="2"/>
  <c r="L20"/>
  <c r="C20" i="4" s="1"/>
  <c r="L20" s="1"/>
  <c r="C20" i="6" s="1"/>
  <c r="L20" s="1"/>
  <c r="C20" i="8" s="1"/>
  <c r="L20" s="1"/>
  <c r="C21" i="10" s="1"/>
  <c r="L21" s="1"/>
  <c r="C21" i="12" s="1"/>
  <c r="L21" s="1"/>
  <c r="C21" i="14" s="1"/>
  <c r="L21" s="1"/>
  <c r="C23" i="16" s="1"/>
  <c r="L23" s="1"/>
  <c r="C23" i="18" s="1"/>
  <c r="L23" s="1"/>
  <c r="C23" i="20" s="1"/>
  <c r="L23" s="1"/>
  <c r="C23" i="22" s="1"/>
  <c r="L23" s="1"/>
  <c r="C23" i="24" s="1"/>
  <c r="L23" s="1"/>
  <c r="C23" i="26" s="1"/>
  <c r="L23" s="1"/>
  <c r="K20" i="2"/>
  <c r="L19"/>
  <c r="C19" i="4" s="1"/>
  <c r="L19" s="1"/>
  <c r="C19" i="6" s="1"/>
  <c r="L19" s="1"/>
  <c r="C19" i="8" s="1"/>
  <c r="L19" s="1"/>
  <c r="C20" i="10" s="1"/>
  <c r="L20" s="1"/>
  <c r="C20" i="12" s="1"/>
  <c r="L20" s="1"/>
  <c r="C20" i="14" s="1"/>
  <c r="L20" s="1"/>
  <c r="C22" i="16" s="1"/>
  <c r="L22" s="1"/>
  <c r="C22" i="18" s="1"/>
  <c r="L22" s="1"/>
  <c r="C22" i="20" s="1"/>
  <c r="L22" s="1"/>
  <c r="C22" i="22" s="1"/>
  <c r="L22" s="1"/>
  <c r="C22" i="24" s="1"/>
  <c r="L22" s="1"/>
  <c r="C22" i="26" s="1"/>
  <c r="L22" s="1"/>
  <c r="K19" i="2"/>
  <c r="F18"/>
  <c r="K18" s="1"/>
  <c r="L18" s="1"/>
  <c r="C18" i="4" s="1"/>
  <c r="L18" s="1"/>
  <c r="C18" i="6" s="1"/>
  <c r="L18" s="1"/>
  <c r="C18" i="8" s="1"/>
  <c r="L18" s="1"/>
  <c r="C18" i="10" s="1"/>
  <c r="L18" s="1"/>
  <c r="C18" i="12" s="1"/>
  <c r="L18" s="1"/>
  <c r="C18" i="14" s="1"/>
  <c r="L18" s="1"/>
  <c r="C20" i="16" s="1"/>
  <c r="L20" s="1"/>
  <c r="C20" i="18" s="1"/>
  <c r="L20" s="1"/>
  <c r="C20" i="20" s="1"/>
  <c r="L20" s="1"/>
  <c r="C20" i="22" s="1"/>
  <c r="L20" s="1"/>
  <c r="C20" i="24" s="1"/>
  <c r="L20" s="1"/>
  <c r="C20" i="26" s="1"/>
  <c r="L20" s="1"/>
  <c r="K17" i="2"/>
  <c r="L17" s="1"/>
  <c r="C17" i="4" s="1"/>
  <c r="L17" s="1"/>
  <c r="C17" i="6" s="1"/>
  <c r="L17" s="1"/>
  <c r="C17" i="8" s="1"/>
  <c r="L17" s="1"/>
  <c r="C17" i="10" s="1"/>
  <c r="L17" s="1"/>
  <c r="C17" i="12" s="1"/>
  <c r="L17" s="1"/>
  <c r="C17" i="14" s="1"/>
  <c r="L17" s="1"/>
  <c r="C19" i="16" s="1"/>
  <c r="L19" s="1"/>
  <c r="C19" i="18" s="1"/>
  <c r="L19" s="1"/>
  <c r="C19" i="20" s="1"/>
  <c r="L19" s="1"/>
  <c r="C19" i="22" s="1"/>
  <c r="L19" s="1"/>
  <c r="C19" i="24" s="1"/>
  <c r="L19" s="1"/>
  <c r="C19" i="26" s="1"/>
  <c r="L19" s="1"/>
  <c r="K16" i="2"/>
  <c r="L16" s="1"/>
  <c r="C16" i="4" s="1"/>
  <c r="L16" s="1"/>
  <c r="C16" i="6" s="1"/>
  <c r="L16" s="1"/>
  <c r="C16" i="8" s="1"/>
  <c r="L16" s="1"/>
  <c r="C16" i="10" s="1"/>
  <c r="L16" s="1"/>
  <c r="C16" i="12" s="1"/>
  <c r="L16" s="1"/>
  <c r="C16" i="14" s="1"/>
  <c r="L16" s="1"/>
  <c r="C18" i="16" s="1"/>
  <c r="L18" s="1"/>
  <c r="C18" i="18" s="1"/>
  <c r="L18" s="1"/>
  <c r="C18" i="20" s="1"/>
  <c r="L18" s="1"/>
  <c r="C18" i="22" s="1"/>
  <c r="L18" s="1"/>
  <c r="C18" i="24" s="1"/>
  <c r="L18" s="1"/>
  <c r="C18" i="26" s="1"/>
  <c r="L18" s="1"/>
  <c r="K15" i="2"/>
  <c r="L15" s="1"/>
  <c r="C15" i="4" s="1"/>
  <c r="L15" s="1"/>
  <c r="C15" i="6" s="1"/>
  <c r="L15" s="1"/>
  <c r="C15" i="8" s="1"/>
  <c r="L15" s="1"/>
  <c r="C15" i="10" s="1"/>
  <c r="L15" s="1"/>
  <c r="C15" i="12" s="1"/>
  <c r="L15" s="1"/>
  <c r="C15" i="14" s="1"/>
  <c r="L15" s="1"/>
  <c r="C17" i="16" s="1"/>
  <c r="L17" s="1"/>
  <c r="C17" i="18" s="1"/>
  <c r="L17" s="1"/>
  <c r="C17" i="20" s="1"/>
  <c r="L17" s="1"/>
  <c r="C17" i="22" s="1"/>
  <c r="L17" s="1"/>
  <c r="C17" i="24" s="1"/>
  <c r="L17" s="1"/>
  <c r="C17" i="26" s="1"/>
  <c r="L17" s="1"/>
  <c r="K14" i="2"/>
  <c r="L14" s="1"/>
  <c r="C14" i="4" s="1"/>
  <c r="L14" s="1"/>
  <c r="C14" i="6" s="1"/>
  <c r="L14" s="1"/>
  <c r="C14" i="8" s="1"/>
  <c r="L14" s="1"/>
  <c r="C14" i="10" s="1"/>
  <c r="L14" s="1"/>
  <c r="C14" i="12" s="1"/>
  <c r="L14" s="1"/>
  <c r="C14" i="14" s="1"/>
  <c r="L14" s="1"/>
  <c r="C16" i="16" s="1"/>
  <c r="L16" s="1"/>
  <c r="C16" i="18" s="1"/>
  <c r="L16" s="1"/>
  <c r="C16" i="20" s="1"/>
  <c r="L16" s="1"/>
  <c r="C16" i="22" s="1"/>
  <c r="L16" s="1"/>
  <c r="C16" i="24" s="1"/>
  <c r="L16" s="1"/>
  <c r="C16" i="26" s="1"/>
  <c r="L16" s="1"/>
  <c r="K13" i="2"/>
  <c r="L13" s="1"/>
  <c r="C13" i="4" s="1"/>
  <c r="L13" s="1"/>
  <c r="C13" i="6" s="1"/>
  <c r="L13" s="1"/>
  <c r="C13" i="8" s="1"/>
  <c r="L13" s="1"/>
  <c r="C13" i="10" s="1"/>
  <c r="L13" s="1"/>
  <c r="C13" i="12" s="1"/>
  <c r="L13" s="1"/>
  <c r="C13" i="14" s="1"/>
  <c r="L13" s="1"/>
  <c r="C15" i="16" s="1"/>
  <c r="L15" s="1"/>
  <c r="C15" i="18" s="1"/>
  <c r="L15" s="1"/>
  <c r="C15" i="20" s="1"/>
  <c r="L15" s="1"/>
  <c r="C15" i="22" s="1"/>
  <c r="L15" s="1"/>
  <c r="C15" i="24" s="1"/>
  <c r="L15" s="1"/>
  <c r="C15" i="26" s="1"/>
  <c r="L15" s="1"/>
  <c r="K12" i="2"/>
  <c r="L12" s="1"/>
  <c r="C12" i="4" s="1"/>
  <c r="L12" s="1"/>
  <c r="C12" i="6" s="1"/>
  <c r="L12" s="1"/>
  <c r="C12" i="8" s="1"/>
  <c r="L12" s="1"/>
  <c r="C12" i="10" s="1"/>
  <c r="L12" s="1"/>
  <c r="C12" i="12" s="1"/>
  <c r="L12" s="1"/>
  <c r="C12" i="14" s="1"/>
  <c r="L12" s="1"/>
  <c r="C12" i="16" s="1"/>
  <c r="L12" s="1"/>
  <c r="C12" i="18" s="1"/>
  <c r="L12" s="1"/>
  <c r="C12" i="20" s="1"/>
  <c r="L12" s="1"/>
  <c r="C12" i="22" s="1"/>
  <c r="L12" s="1"/>
  <c r="C12" i="24" s="1"/>
  <c r="L12" s="1"/>
  <c r="C12" i="26" s="1"/>
  <c r="L12" s="1"/>
  <c r="K11" i="2"/>
  <c r="L11" s="1"/>
  <c r="C11" i="4" s="1"/>
  <c r="L11" s="1"/>
  <c r="C11" i="6" s="1"/>
  <c r="L11" s="1"/>
  <c r="C11" i="8" s="1"/>
  <c r="L11" s="1"/>
  <c r="C11" i="10" s="1"/>
  <c r="L11" s="1"/>
  <c r="C11" i="12" s="1"/>
  <c r="L11" s="1"/>
  <c r="C11" i="14" s="1"/>
  <c r="L11" s="1"/>
  <c r="C11" i="16" s="1"/>
  <c r="L11" s="1"/>
  <c r="C11" i="18" s="1"/>
  <c r="L11" s="1"/>
  <c r="C11" i="20" s="1"/>
  <c r="L11" s="1"/>
  <c r="C11" i="22" s="1"/>
  <c r="L11" s="1"/>
  <c r="C11" i="24" s="1"/>
  <c r="L11" s="1"/>
  <c r="C11" i="26" s="1"/>
  <c r="L11" s="1"/>
  <c r="K10" i="2"/>
  <c r="L10" s="1"/>
  <c r="C10" i="4" s="1"/>
  <c r="L10" s="1"/>
  <c r="C10" i="6" s="1"/>
  <c r="L10" s="1"/>
  <c r="C10" i="8" s="1"/>
  <c r="L10" s="1"/>
  <c r="C10" i="10" s="1"/>
  <c r="L10" s="1"/>
  <c r="C10" i="12" s="1"/>
  <c r="L10" s="1"/>
  <c r="C10" i="14" s="1"/>
  <c r="L10" s="1"/>
  <c r="C10" i="16" s="1"/>
  <c r="L10" s="1"/>
  <c r="C10" i="18" s="1"/>
  <c r="L10" s="1"/>
  <c r="C10" i="20" s="1"/>
  <c r="L10" s="1"/>
  <c r="C10" i="22" s="1"/>
  <c r="L10" s="1"/>
  <c r="C10" i="24" s="1"/>
  <c r="L10" s="1"/>
  <c r="C10" i="26" s="1"/>
  <c r="L10" s="1"/>
  <c r="K9" i="2"/>
  <c r="L9" s="1"/>
  <c r="C9" i="4" s="1"/>
  <c r="L9" s="1"/>
  <c r="C9" i="6" s="1"/>
  <c r="L9" s="1"/>
  <c r="C9" i="8" s="1"/>
  <c r="L9" s="1"/>
  <c r="C9" i="10" s="1"/>
  <c r="L9" s="1"/>
  <c r="C9" i="12" s="1"/>
  <c r="L9" s="1"/>
  <c r="C9" i="14" s="1"/>
  <c r="L9" s="1"/>
  <c r="C9" i="16" s="1"/>
  <c r="L9" s="1"/>
  <c r="C9" i="18" s="1"/>
  <c r="L9" s="1"/>
  <c r="C9" i="20" s="1"/>
  <c r="L9" s="1"/>
  <c r="C9" i="22" s="1"/>
  <c r="L9" s="1"/>
  <c r="C9" i="24" s="1"/>
  <c r="L9" s="1"/>
  <c r="C9" i="26" s="1"/>
  <c r="L9" s="1"/>
  <c r="K8" i="2"/>
  <c r="L8" s="1"/>
  <c r="C8" i="4" s="1"/>
  <c r="L8" s="1"/>
  <c r="C8" i="6" s="1"/>
  <c r="L8" s="1"/>
  <c r="C8" i="8" s="1"/>
  <c r="L8" s="1"/>
  <c r="C8" i="10" s="1"/>
  <c r="L8" s="1"/>
  <c r="C8" i="12" s="1"/>
  <c r="L8" s="1"/>
  <c r="C8" i="14" s="1"/>
  <c r="L8" s="1"/>
  <c r="C8" i="16" s="1"/>
  <c r="L8" s="1"/>
  <c r="C8" i="18" s="1"/>
  <c r="L8" s="1"/>
  <c r="C8" i="20" s="1"/>
  <c r="L8" s="1"/>
  <c r="C8" i="22" s="1"/>
  <c r="L8" s="1"/>
  <c r="C8" i="24" s="1"/>
  <c r="L8" s="1"/>
  <c r="C8" i="26" s="1"/>
  <c r="L8" s="1"/>
  <c r="K7" i="2"/>
  <c r="L7" s="1"/>
  <c r="C7" i="4" s="1"/>
  <c r="L7" s="1"/>
  <c r="C7" i="6" s="1"/>
  <c r="L7" s="1"/>
  <c r="C7" i="8" s="1"/>
  <c r="L7" s="1"/>
  <c r="C7" i="10" s="1"/>
  <c r="L7" s="1"/>
  <c r="C7" i="12" s="1"/>
  <c r="L7" s="1"/>
  <c r="C7" i="14" s="1"/>
  <c r="L7" s="1"/>
  <c r="C7" i="16" s="1"/>
  <c r="L7" s="1"/>
  <c r="C7" i="18" s="1"/>
  <c r="L7" s="1"/>
  <c r="C7" i="20" s="1"/>
  <c r="L7" s="1"/>
  <c r="C7" i="22" s="1"/>
  <c r="L7" s="1"/>
  <c r="C7" i="24" s="1"/>
  <c r="L7" s="1"/>
  <c r="C7" i="26" s="1"/>
  <c r="L7" s="1"/>
  <c r="K6" i="2"/>
  <c r="L6" s="1"/>
  <c r="C6" i="4" s="1"/>
  <c r="L6" s="1"/>
  <c r="C6" i="6" s="1"/>
  <c r="L6" s="1"/>
  <c r="C6" i="8" s="1"/>
  <c r="L6" s="1"/>
  <c r="C6" i="10" s="1"/>
  <c r="L6" s="1"/>
  <c r="C6" i="12" s="1"/>
  <c r="L6" s="1"/>
  <c r="C6" i="14" s="1"/>
  <c r="L6" s="1"/>
  <c r="C6" i="16" s="1"/>
  <c r="L6" s="1"/>
  <c r="C6" i="18" s="1"/>
  <c r="L6" s="1"/>
  <c r="C6" i="20" s="1"/>
  <c r="L6" s="1"/>
  <c r="C6" i="22" s="1"/>
  <c r="L6" s="1"/>
  <c r="C6" i="24" s="1"/>
  <c r="L6" s="1"/>
  <c r="C6" i="26" s="1"/>
  <c r="L6" s="1"/>
  <c r="K5" i="2"/>
  <c r="L5" s="1"/>
  <c r="C5" i="4" s="1"/>
  <c r="L5" s="1"/>
  <c r="C5" i="6" s="1"/>
  <c r="L5" s="1"/>
  <c r="C5" i="8" s="1"/>
  <c r="L5" s="1"/>
  <c r="C5" i="10" s="1"/>
  <c r="L5" s="1"/>
  <c r="C5" i="12" s="1"/>
  <c r="L5" s="1"/>
  <c r="C5" i="14" s="1"/>
  <c r="L5" s="1"/>
  <c r="C5" i="16" s="1"/>
  <c r="L5" s="1"/>
  <c r="C5" i="18" s="1"/>
  <c r="L5" s="1"/>
  <c r="C5" i="20" s="1"/>
  <c r="L5" s="1"/>
  <c r="C5" i="22" s="1"/>
  <c r="L5" s="1"/>
  <c r="C5" i="24" s="1"/>
  <c r="L5" s="1"/>
  <c r="C5" i="26" s="1"/>
  <c r="L5" s="1"/>
  <c r="K362" i="1"/>
  <c r="L362" s="1"/>
  <c r="C362" i="3" s="1"/>
  <c r="L362" s="1"/>
  <c r="C362" i="5" s="1"/>
  <c r="L362" s="1"/>
  <c r="C366" i="7" s="1"/>
  <c r="L366" s="1"/>
  <c r="C368" i="9" s="1"/>
  <c r="L368" s="1"/>
  <c r="C376" i="11" s="1"/>
  <c r="L376" s="1"/>
  <c r="C379" i="13" s="1"/>
  <c r="L379" s="1"/>
  <c r="C389" i="15" s="1"/>
  <c r="L389" s="1"/>
  <c r="C393" i="17" s="1"/>
  <c r="L393" s="1"/>
  <c r="C396" i="19" s="1"/>
  <c r="L396" s="1"/>
  <c r="C401" i="21" s="1"/>
  <c r="L401" s="1"/>
  <c r="C402" i="23" s="1"/>
  <c r="L402" s="1"/>
  <c r="C402" i="25" s="1"/>
  <c r="L402" s="1"/>
  <c r="K361" i="1"/>
  <c r="L361" s="1"/>
  <c r="C361" i="3" s="1"/>
  <c r="L361" s="1"/>
  <c r="C361" i="5" s="1"/>
  <c r="L361" s="1"/>
  <c r="C365" i="7" s="1"/>
  <c r="L365" s="1"/>
  <c r="C367" i="9" s="1"/>
  <c r="L367" s="1"/>
  <c r="C375" i="11" s="1"/>
  <c r="L375" s="1"/>
  <c r="C378" i="13" s="1"/>
  <c r="L378" s="1"/>
  <c r="C388" i="15" s="1"/>
  <c r="L388" s="1"/>
  <c r="C392" i="17" s="1"/>
  <c r="L392" s="1"/>
  <c r="C395" i="19" s="1"/>
  <c r="L395" s="1"/>
  <c r="C400" i="21" s="1"/>
  <c r="L400" s="1"/>
  <c r="C401" i="23" s="1"/>
  <c r="L401" s="1"/>
  <c r="C401" i="25" s="1"/>
  <c r="L401" s="1"/>
  <c r="F361" i="1"/>
  <c r="L360"/>
  <c r="C360" i="3" s="1"/>
  <c r="L360" s="1"/>
  <c r="C360" i="5" s="1"/>
  <c r="L360" s="1"/>
  <c r="C364" i="7" s="1"/>
  <c r="L364" s="1"/>
  <c r="C366" i="9" s="1"/>
  <c r="L366" s="1"/>
  <c r="C374" i="11" s="1"/>
  <c r="L374" s="1"/>
  <c r="C377" i="13" s="1"/>
  <c r="L377" s="1"/>
  <c r="C387" i="15" s="1"/>
  <c r="L387" s="1"/>
  <c r="C391" i="17" s="1"/>
  <c r="L391" s="1"/>
  <c r="C394" i="19" s="1"/>
  <c r="L394" s="1"/>
  <c r="C399" i="21" s="1"/>
  <c r="L399" s="1"/>
  <c r="C400" i="23" s="1"/>
  <c r="L400" s="1"/>
  <c r="C400" i="25" s="1"/>
  <c r="L400" s="1"/>
  <c r="K360" i="1"/>
  <c r="L359"/>
  <c r="C359" i="3" s="1"/>
  <c r="L359" s="1"/>
  <c r="C359" i="5" s="1"/>
  <c r="L359" s="1"/>
  <c r="C363" i="7" s="1"/>
  <c r="L363" s="1"/>
  <c r="C365" i="9" s="1"/>
  <c r="L365" s="1"/>
  <c r="C373" i="11" s="1"/>
  <c r="L373" s="1"/>
  <c r="C376" i="13" s="1"/>
  <c r="L376" s="1"/>
  <c r="C386" i="15" s="1"/>
  <c r="L386" s="1"/>
  <c r="C390" i="17" s="1"/>
  <c r="L390" s="1"/>
  <c r="C393" i="19" s="1"/>
  <c r="L393" s="1"/>
  <c r="C398" i="21" s="1"/>
  <c r="L398" s="1"/>
  <c r="C399" i="23" s="1"/>
  <c r="L399" s="1"/>
  <c r="C399" i="25" s="1"/>
  <c r="L399" s="1"/>
  <c r="K359" i="1"/>
  <c r="L358"/>
  <c r="C358" i="3" s="1"/>
  <c r="L358" s="1"/>
  <c r="C358" i="5" s="1"/>
  <c r="L358" s="1"/>
  <c r="C362" i="7" s="1"/>
  <c r="L362" s="1"/>
  <c r="C364" i="9" s="1"/>
  <c r="L364" s="1"/>
  <c r="C372" i="11" s="1"/>
  <c r="L372" s="1"/>
  <c r="C375" i="13" s="1"/>
  <c r="L375" s="1"/>
  <c r="C385" i="15" s="1"/>
  <c r="L385" s="1"/>
  <c r="C389" i="17" s="1"/>
  <c r="L389" s="1"/>
  <c r="C392" i="19" s="1"/>
  <c r="L392" s="1"/>
  <c r="C397" i="21" s="1"/>
  <c r="L397" s="1"/>
  <c r="C398" i="23" s="1"/>
  <c r="L398" s="1"/>
  <c r="C398" i="25" s="1"/>
  <c r="L398" s="1"/>
  <c r="K358" i="1"/>
  <c r="F357"/>
  <c r="K357" s="1"/>
  <c r="L357" s="1"/>
  <c r="C357" i="3" s="1"/>
  <c r="L357" s="1"/>
  <c r="C357" i="5" s="1"/>
  <c r="L357" s="1"/>
  <c r="C361" i="7" s="1"/>
  <c r="L361" s="1"/>
  <c r="C363" i="9" s="1"/>
  <c r="L363" s="1"/>
  <c r="C371" i="11" s="1"/>
  <c r="L371" s="1"/>
  <c r="C374" i="13" s="1"/>
  <c r="L374" s="1"/>
  <c r="C384" i="15" s="1"/>
  <c r="L384" s="1"/>
  <c r="C388" i="17" s="1"/>
  <c r="L388" s="1"/>
  <c r="C391" i="19" s="1"/>
  <c r="L391" s="1"/>
  <c r="C396" i="21" s="1"/>
  <c r="L396" s="1"/>
  <c r="C397" i="23" s="1"/>
  <c r="L397" s="1"/>
  <c r="C397" i="25" s="1"/>
  <c r="L397" s="1"/>
  <c r="K356" i="1"/>
  <c r="L356" s="1"/>
  <c r="C356" i="3" s="1"/>
  <c r="L356" s="1"/>
  <c r="C356" i="5" s="1"/>
  <c r="L356" s="1"/>
  <c r="C360" i="7" s="1"/>
  <c r="L360" s="1"/>
  <c r="C362" i="9" s="1"/>
  <c r="L362" s="1"/>
  <c r="C370" i="11" s="1"/>
  <c r="L370" s="1"/>
  <c r="C373" i="13" s="1"/>
  <c r="L373" s="1"/>
  <c r="C383" i="15" s="1"/>
  <c r="L383" s="1"/>
  <c r="C387" i="17" s="1"/>
  <c r="L387" s="1"/>
  <c r="C390" i="19" s="1"/>
  <c r="L390" s="1"/>
  <c r="C395" i="21" s="1"/>
  <c r="L395" s="1"/>
  <c r="C396" i="23" s="1"/>
  <c r="L396" s="1"/>
  <c r="C396" i="25" s="1"/>
  <c r="L396" s="1"/>
  <c r="K355" i="1"/>
  <c r="L355" s="1"/>
  <c r="C355" i="3" s="1"/>
  <c r="L355" s="1"/>
  <c r="C355" i="5" s="1"/>
  <c r="L355" s="1"/>
  <c r="C359" i="7" s="1"/>
  <c r="L359" s="1"/>
  <c r="C361" i="9" s="1"/>
  <c r="L361" s="1"/>
  <c r="C369" i="11" s="1"/>
  <c r="L369" s="1"/>
  <c r="C372" i="13" s="1"/>
  <c r="L372" s="1"/>
  <c r="C382" i="15" s="1"/>
  <c r="L382" s="1"/>
  <c r="C386" i="17" s="1"/>
  <c r="L386" s="1"/>
  <c r="C389" i="19" s="1"/>
  <c r="L389" s="1"/>
  <c r="C394" i="21" s="1"/>
  <c r="L394" s="1"/>
  <c r="C395" i="23" s="1"/>
  <c r="L395" s="1"/>
  <c r="C395" i="25" s="1"/>
  <c r="L395" s="1"/>
  <c r="F355" i="1"/>
  <c r="L354"/>
  <c r="C354" i="3" s="1"/>
  <c r="L354" s="1"/>
  <c r="C354" i="5" s="1"/>
  <c r="L354" s="1"/>
  <c r="C358" i="7" s="1"/>
  <c r="L358" s="1"/>
  <c r="C360" i="9" s="1"/>
  <c r="L360" s="1"/>
  <c r="C368" i="11" s="1"/>
  <c r="L368" s="1"/>
  <c r="C371" i="13" s="1"/>
  <c r="L371" s="1"/>
  <c r="C381" i="15" s="1"/>
  <c r="L381" s="1"/>
  <c r="C385" i="17" s="1"/>
  <c r="L385" s="1"/>
  <c r="C388" i="19" s="1"/>
  <c r="L388" s="1"/>
  <c r="C393" i="21" s="1"/>
  <c r="L393" s="1"/>
  <c r="C394" i="23" s="1"/>
  <c r="L394" s="1"/>
  <c r="C394" i="25" s="1"/>
  <c r="L394" s="1"/>
  <c r="K354" i="1"/>
  <c r="F353"/>
  <c r="K353" s="1"/>
  <c r="L353" s="1"/>
  <c r="C353" i="3" s="1"/>
  <c r="L353" s="1"/>
  <c r="C353" i="5" s="1"/>
  <c r="L353" s="1"/>
  <c r="C357" i="7" s="1"/>
  <c r="L357" s="1"/>
  <c r="C359" i="9" s="1"/>
  <c r="L359" s="1"/>
  <c r="C367" i="11" s="1"/>
  <c r="L367" s="1"/>
  <c r="C370" i="13" s="1"/>
  <c r="L370" s="1"/>
  <c r="C380" i="15" s="1"/>
  <c r="L380" s="1"/>
  <c r="C384" i="17" s="1"/>
  <c r="L384" s="1"/>
  <c r="C387" i="19" s="1"/>
  <c r="L387" s="1"/>
  <c r="C392" i="21" s="1"/>
  <c r="L392" s="1"/>
  <c r="C393" i="23" s="1"/>
  <c r="L393" s="1"/>
  <c r="C393" i="25" s="1"/>
  <c r="L393" s="1"/>
  <c r="K352" i="1"/>
  <c r="L352" s="1"/>
  <c r="C352" i="3" s="1"/>
  <c r="L352" s="1"/>
  <c r="C352" i="5" s="1"/>
  <c r="L352" s="1"/>
  <c r="C356" i="7" s="1"/>
  <c r="L356" s="1"/>
  <c r="C358" i="9" s="1"/>
  <c r="L358" s="1"/>
  <c r="C366" i="11" s="1"/>
  <c r="L366" s="1"/>
  <c r="C369" i="13" s="1"/>
  <c r="L369" s="1"/>
  <c r="C379" i="15" s="1"/>
  <c r="L379" s="1"/>
  <c r="C383" i="17" s="1"/>
  <c r="L383" s="1"/>
  <c r="C386" i="19" s="1"/>
  <c r="L386" s="1"/>
  <c r="C391" i="21" s="1"/>
  <c r="L391" s="1"/>
  <c r="C392" i="23" s="1"/>
  <c r="L392" s="1"/>
  <c r="C392" i="25" s="1"/>
  <c r="L392" s="1"/>
  <c r="F352" i="1"/>
  <c r="L351"/>
  <c r="C351" i="3" s="1"/>
  <c r="L351" s="1"/>
  <c r="C351" i="5" s="1"/>
  <c r="L351" s="1"/>
  <c r="C355" i="7" s="1"/>
  <c r="L355" s="1"/>
  <c r="C357" i="9" s="1"/>
  <c r="L357" s="1"/>
  <c r="C365" i="11" s="1"/>
  <c r="L365" s="1"/>
  <c r="C368" i="13" s="1"/>
  <c r="L368" s="1"/>
  <c r="C378" i="15" s="1"/>
  <c r="L378" s="1"/>
  <c r="C382" i="17" s="1"/>
  <c r="L382" s="1"/>
  <c r="C385" i="19" s="1"/>
  <c r="L385" s="1"/>
  <c r="C390" i="21" s="1"/>
  <c r="L390" s="1"/>
  <c r="C391" i="23" s="1"/>
  <c r="L391" s="1"/>
  <c r="C391" i="25" s="1"/>
  <c r="L391" s="1"/>
  <c r="K351" i="1"/>
  <c r="L350"/>
  <c r="C350" i="3" s="1"/>
  <c r="L350" s="1"/>
  <c r="C350" i="5" s="1"/>
  <c r="L350" s="1"/>
  <c r="C354" i="7" s="1"/>
  <c r="L354" s="1"/>
  <c r="C356" i="9" s="1"/>
  <c r="L356" s="1"/>
  <c r="C364" i="11" s="1"/>
  <c r="L364" s="1"/>
  <c r="C367" i="13" s="1"/>
  <c r="L367" s="1"/>
  <c r="C377" i="15" s="1"/>
  <c r="L377" s="1"/>
  <c r="C381" i="17" s="1"/>
  <c r="L381" s="1"/>
  <c r="C384" i="19" s="1"/>
  <c r="L384" s="1"/>
  <c r="C389" i="21" s="1"/>
  <c r="L389" s="1"/>
  <c r="C390" i="23" s="1"/>
  <c r="L390" s="1"/>
  <c r="C390" i="25" s="1"/>
  <c r="L390" s="1"/>
  <c r="K350" i="1"/>
  <c r="L349"/>
  <c r="C349" i="3" s="1"/>
  <c r="L349" s="1"/>
  <c r="C349" i="5" s="1"/>
  <c r="L349" s="1"/>
  <c r="C353" i="7" s="1"/>
  <c r="L353" s="1"/>
  <c r="C355" i="9" s="1"/>
  <c r="L355" s="1"/>
  <c r="C363" i="11" s="1"/>
  <c r="L363" s="1"/>
  <c r="C366" i="13" s="1"/>
  <c r="L366" s="1"/>
  <c r="C376" i="15" s="1"/>
  <c r="L376" s="1"/>
  <c r="C380" i="17" s="1"/>
  <c r="L380" s="1"/>
  <c r="C383" i="19" s="1"/>
  <c r="L383" s="1"/>
  <c r="C388" i="21" s="1"/>
  <c r="L388" s="1"/>
  <c r="C389" i="23" s="1"/>
  <c r="L389" s="1"/>
  <c r="C389" i="25" s="1"/>
  <c r="L389" s="1"/>
  <c r="K349" i="1"/>
  <c r="F348"/>
  <c r="K348" s="1"/>
  <c r="L348" s="1"/>
  <c r="C348" i="3" s="1"/>
  <c r="L348" s="1"/>
  <c r="C348" i="5" s="1"/>
  <c r="L348" s="1"/>
  <c r="C352" i="7" s="1"/>
  <c r="L352" s="1"/>
  <c r="C354" i="9" s="1"/>
  <c r="L354" s="1"/>
  <c r="C362" i="11" s="1"/>
  <c r="L362" s="1"/>
  <c r="C365" i="13" s="1"/>
  <c r="L365" s="1"/>
  <c r="C375" i="15" s="1"/>
  <c r="L375" s="1"/>
  <c r="C379" i="17" s="1"/>
  <c r="L379" s="1"/>
  <c r="C382" i="19" s="1"/>
  <c r="L382" s="1"/>
  <c r="C387" i="21" s="1"/>
  <c r="L387" s="1"/>
  <c r="C388" i="23" s="1"/>
  <c r="L388" s="1"/>
  <c r="C388" i="25" s="1"/>
  <c r="L388" s="1"/>
  <c r="K347" i="1"/>
  <c r="L347" s="1"/>
  <c r="C347" i="3" s="1"/>
  <c r="L347" s="1"/>
  <c r="C347" i="5" s="1"/>
  <c r="L347" s="1"/>
  <c r="C351" i="7" s="1"/>
  <c r="L351" s="1"/>
  <c r="C353" i="9" s="1"/>
  <c r="L353" s="1"/>
  <c r="C361" i="11" s="1"/>
  <c r="L361" s="1"/>
  <c r="C364" i="13" s="1"/>
  <c r="L364" s="1"/>
  <c r="C374" i="15" s="1"/>
  <c r="L374" s="1"/>
  <c r="C378" i="17" s="1"/>
  <c r="L378" s="1"/>
  <c r="C381" i="19" s="1"/>
  <c r="L381" s="1"/>
  <c r="C386" i="21" s="1"/>
  <c r="L386" s="1"/>
  <c r="C387" i="23" s="1"/>
  <c r="L387" s="1"/>
  <c r="C387" i="25" s="1"/>
  <c r="L387" s="1"/>
  <c r="K346" i="1"/>
  <c r="L346" s="1"/>
  <c r="C346" i="3" s="1"/>
  <c r="L346" s="1"/>
  <c r="C346" i="5" s="1"/>
  <c r="L346" s="1"/>
  <c r="C350" i="7" s="1"/>
  <c r="L350" s="1"/>
  <c r="C352" i="9" s="1"/>
  <c r="L352" s="1"/>
  <c r="C360" i="11" s="1"/>
  <c r="L360" s="1"/>
  <c r="C363" i="13" s="1"/>
  <c r="L363" s="1"/>
  <c r="C373" i="15" s="1"/>
  <c r="L373" s="1"/>
  <c r="C377" i="17" s="1"/>
  <c r="L377" s="1"/>
  <c r="C380" i="19" s="1"/>
  <c r="L380" s="1"/>
  <c r="C383" i="21" s="1"/>
  <c r="L383" s="1"/>
  <c r="C384" i="23" s="1"/>
  <c r="L384" s="1"/>
  <c r="C384" i="25" s="1"/>
  <c r="L384" s="1"/>
  <c r="F346" i="1"/>
  <c r="L345"/>
  <c r="C345" i="3" s="1"/>
  <c r="L345" s="1"/>
  <c r="C345" i="5" s="1"/>
  <c r="L345" s="1"/>
  <c r="C349" i="7" s="1"/>
  <c r="L349" s="1"/>
  <c r="C351" i="9" s="1"/>
  <c r="L351" s="1"/>
  <c r="C359" i="11" s="1"/>
  <c r="L359" s="1"/>
  <c r="C361" i="13" s="1"/>
  <c r="L361" s="1"/>
  <c r="C371" i="15" s="1"/>
  <c r="L371" s="1"/>
  <c r="C375" i="17" s="1"/>
  <c r="L375" s="1"/>
  <c r="C378" i="19" s="1"/>
  <c r="L378" s="1"/>
  <c r="C381" i="21" s="1"/>
  <c r="L381" s="1"/>
  <c r="C382" i="23" s="1"/>
  <c r="L382" s="1"/>
  <c r="C382" i="25" s="1"/>
  <c r="L382" s="1"/>
  <c r="K345" i="1"/>
  <c r="L344"/>
  <c r="C344" i="3" s="1"/>
  <c r="L344" s="1"/>
  <c r="C344" i="5" s="1"/>
  <c r="L344" s="1"/>
  <c r="C348" i="7" s="1"/>
  <c r="L348" s="1"/>
  <c r="C350" i="9" s="1"/>
  <c r="L350" s="1"/>
  <c r="C358" i="11" s="1"/>
  <c r="L358" s="1"/>
  <c r="C360" i="13" s="1"/>
  <c r="L360" s="1"/>
  <c r="C370" i="15" s="1"/>
  <c r="L370" s="1"/>
  <c r="C374" i="17" s="1"/>
  <c r="L374" s="1"/>
  <c r="C377" i="19" s="1"/>
  <c r="L377" s="1"/>
  <c r="C380" i="21" s="1"/>
  <c r="L380" s="1"/>
  <c r="C381" i="23" s="1"/>
  <c r="L381" s="1"/>
  <c r="C381" i="25" s="1"/>
  <c r="L381" s="1"/>
  <c r="K344" i="1"/>
  <c r="L343"/>
  <c r="C343" i="3" s="1"/>
  <c r="L343" s="1"/>
  <c r="C343" i="5" s="1"/>
  <c r="L343" s="1"/>
  <c r="C347" i="7" s="1"/>
  <c r="L347" s="1"/>
  <c r="C349" i="9" s="1"/>
  <c r="L349" s="1"/>
  <c r="C357" i="11" s="1"/>
  <c r="L357" s="1"/>
  <c r="C359" i="13" s="1"/>
  <c r="L359" s="1"/>
  <c r="C369" i="15" s="1"/>
  <c r="L369" s="1"/>
  <c r="C373" i="17" s="1"/>
  <c r="L373" s="1"/>
  <c r="C376" i="19" s="1"/>
  <c r="L376" s="1"/>
  <c r="C379" i="21" s="1"/>
  <c r="L379" s="1"/>
  <c r="C380" i="23" s="1"/>
  <c r="L380" s="1"/>
  <c r="C380" i="25" s="1"/>
  <c r="L380" s="1"/>
  <c r="K343" i="1"/>
  <c r="L342"/>
  <c r="C342" i="3" s="1"/>
  <c r="L342" s="1"/>
  <c r="C342" i="5" s="1"/>
  <c r="L342" s="1"/>
  <c r="C346" i="7" s="1"/>
  <c r="L346" s="1"/>
  <c r="C348" i="9" s="1"/>
  <c r="L348" s="1"/>
  <c r="C356" i="11" s="1"/>
  <c r="L356" s="1"/>
  <c r="C358" i="13" s="1"/>
  <c r="L358" s="1"/>
  <c r="C368" i="15" s="1"/>
  <c r="L368" s="1"/>
  <c r="C372" i="17" s="1"/>
  <c r="L372" s="1"/>
  <c r="C375" i="19" s="1"/>
  <c r="L375" s="1"/>
  <c r="C378" i="21" s="1"/>
  <c r="L378" s="1"/>
  <c r="C379" i="23" s="1"/>
  <c r="L379" s="1"/>
  <c r="C379" i="25" s="1"/>
  <c r="L379" s="1"/>
  <c r="K342" i="1"/>
  <c r="L341"/>
  <c r="C341" i="3" s="1"/>
  <c r="L341" s="1"/>
  <c r="C341" i="5" s="1"/>
  <c r="L341" s="1"/>
  <c r="C345" i="7" s="1"/>
  <c r="L345" s="1"/>
  <c r="C347" i="9" s="1"/>
  <c r="L347" s="1"/>
  <c r="C355" i="11" s="1"/>
  <c r="L355" s="1"/>
  <c r="C357" i="13" s="1"/>
  <c r="L357" s="1"/>
  <c r="C367" i="15" s="1"/>
  <c r="L367" s="1"/>
  <c r="C371" i="17" s="1"/>
  <c r="L371" s="1"/>
  <c r="C374" i="19" s="1"/>
  <c r="L374" s="1"/>
  <c r="C377" i="21" s="1"/>
  <c r="L377" s="1"/>
  <c r="C378" i="23" s="1"/>
  <c r="L378" s="1"/>
  <c r="C378" i="25" s="1"/>
  <c r="L378" s="1"/>
  <c r="K341" i="1"/>
  <c r="L340"/>
  <c r="C340" i="3" s="1"/>
  <c r="L340" s="1"/>
  <c r="C340" i="5" s="1"/>
  <c r="L340" s="1"/>
  <c r="C344" i="7" s="1"/>
  <c r="L344" s="1"/>
  <c r="C346" i="9" s="1"/>
  <c r="L346" s="1"/>
  <c r="C354" i="11" s="1"/>
  <c r="L354" s="1"/>
  <c r="C356" i="13" s="1"/>
  <c r="L356" s="1"/>
  <c r="C366" i="15" s="1"/>
  <c r="L366" s="1"/>
  <c r="C370" i="17" s="1"/>
  <c r="L370" s="1"/>
  <c r="C373" i="19" s="1"/>
  <c r="L373" s="1"/>
  <c r="C376" i="21" s="1"/>
  <c r="L376" s="1"/>
  <c r="C377" i="23" s="1"/>
  <c r="L377" s="1"/>
  <c r="C377" i="25" s="1"/>
  <c r="L377" s="1"/>
  <c r="K340" i="1"/>
  <c r="L339"/>
  <c r="C339" i="3" s="1"/>
  <c r="L339" s="1"/>
  <c r="C339" i="5" s="1"/>
  <c r="L339" s="1"/>
  <c r="C343" i="7" s="1"/>
  <c r="L343" s="1"/>
  <c r="C345" i="9" s="1"/>
  <c r="L345" s="1"/>
  <c r="C353" i="11" s="1"/>
  <c r="L353" s="1"/>
  <c r="C355" i="13" s="1"/>
  <c r="L355" s="1"/>
  <c r="C365" i="15" s="1"/>
  <c r="L365" s="1"/>
  <c r="C369" i="17" s="1"/>
  <c r="L369" s="1"/>
  <c r="C372" i="19" s="1"/>
  <c r="L372" s="1"/>
  <c r="C375" i="21" s="1"/>
  <c r="L375" s="1"/>
  <c r="C376" i="23" s="1"/>
  <c r="L376" s="1"/>
  <c r="C376" i="25" s="1"/>
  <c r="L376" s="1"/>
  <c r="K339" i="1"/>
  <c r="L338"/>
  <c r="C338" i="3" s="1"/>
  <c r="L338" s="1"/>
  <c r="C338" i="5" s="1"/>
  <c r="L338" s="1"/>
  <c r="C342" i="7" s="1"/>
  <c r="L342" s="1"/>
  <c r="C344" i="9" s="1"/>
  <c r="L344" s="1"/>
  <c r="C352" i="11" s="1"/>
  <c r="L352" s="1"/>
  <c r="C354" i="13" s="1"/>
  <c r="L354" s="1"/>
  <c r="C364" i="15" s="1"/>
  <c r="L364" s="1"/>
  <c r="C368" i="17" s="1"/>
  <c r="L368" s="1"/>
  <c r="C371" i="19" s="1"/>
  <c r="L371" s="1"/>
  <c r="C374" i="21" s="1"/>
  <c r="L374" s="1"/>
  <c r="C375" i="23" s="1"/>
  <c r="L375" s="1"/>
  <c r="C375" i="25" s="1"/>
  <c r="L375" s="1"/>
  <c r="K338" i="1"/>
  <c r="L337"/>
  <c r="C337" i="3" s="1"/>
  <c r="L337" s="1"/>
  <c r="C337" i="5" s="1"/>
  <c r="L337" s="1"/>
  <c r="C341" i="7" s="1"/>
  <c r="L341" s="1"/>
  <c r="C343" i="9" s="1"/>
  <c r="L343" s="1"/>
  <c r="C351" i="11" s="1"/>
  <c r="L351" s="1"/>
  <c r="C353" i="13" s="1"/>
  <c r="L353" s="1"/>
  <c r="C363" i="15" s="1"/>
  <c r="L363" s="1"/>
  <c r="C367" i="17" s="1"/>
  <c r="L367" s="1"/>
  <c r="C370" i="19" s="1"/>
  <c r="L370" s="1"/>
  <c r="C373" i="21" s="1"/>
  <c r="L373" s="1"/>
  <c r="C374" i="23" s="1"/>
  <c r="L374" s="1"/>
  <c r="C374" i="25" s="1"/>
  <c r="L374" s="1"/>
  <c r="K337" i="1"/>
  <c r="L336"/>
  <c r="C336" i="3" s="1"/>
  <c r="L336" s="1"/>
  <c r="C336" i="5" s="1"/>
  <c r="L336" s="1"/>
  <c r="C340" i="7" s="1"/>
  <c r="L340" s="1"/>
  <c r="C342" i="9" s="1"/>
  <c r="L342" s="1"/>
  <c r="C350" i="11" s="1"/>
  <c r="L350" s="1"/>
  <c r="C352" i="13" s="1"/>
  <c r="L352" s="1"/>
  <c r="C361" i="15" s="1"/>
  <c r="L361" s="1"/>
  <c r="C365" i="17" s="1"/>
  <c r="L365" s="1"/>
  <c r="C368" i="19" s="1"/>
  <c r="L368" s="1"/>
  <c r="C371" i="21" s="1"/>
  <c r="L371" s="1"/>
  <c r="C372" i="23" s="1"/>
  <c r="L372" s="1"/>
  <c r="C372" i="25" s="1"/>
  <c r="L372" s="1"/>
  <c r="K336" i="1"/>
  <c r="L335"/>
  <c r="C335" i="3" s="1"/>
  <c r="L335" s="1"/>
  <c r="C335" i="5" s="1"/>
  <c r="L335" s="1"/>
  <c r="C339" i="7" s="1"/>
  <c r="L339" s="1"/>
  <c r="C341" i="9" s="1"/>
  <c r="L341" s="1"/>
  <c r="C349" i="11" s="1"/>
  <c r="L349" s="1"/>
  <c r="C351" i="13" s="1"/>
  <c r="L351" s="1"/>
  <c r="C360" i="15" s="1"/>
  <c r="L360" s="1"/>
  <c r="C364" i="17" s="1"/>
  <c r="L364" s="1"/>
  <c r="C367" i="19" s="1"/>
  <c r="L367" s="1"/>
  <c r="C370" i="21" s="1"/>
  <c r="L370" s="1"/>
  <c r="C371" i="23" s="1"/>
  <c r="L371" s="1"/>
  <c r="C371" i="25" s="1"/>
  <c r="L371" s="1"/>
  <c r="K335" i="1"/>
  <c r="L334"/>
  <c r="C334" i="3" s="1"/>
  <c r="L334" s="1"/>
  <c r="C334" i="5" s="1"/>
  <c r="L334" s="1"/>
  <c r="C338" i="7" s="1"/>
  <c r="L338" s="1"/>
  <c r="C340" i="9" s="1"/>
  <c r="L340" s="1"/>
  <c r="C348" i="11" s="1"/>
  <c r="L348" s="1"/>
  <c r="C350" i="13" s="1"/>
  <c r="L350" s="1"/>
  <c r="C359" i="15" s="1"/>
  <c r="L359" s="1"/>
  <c r="C363" i="17" s="1"/>
  <c r="L363" s="1"/>
  <c r="C366" i="19" s="1"/>
  <c r="L366" s="1"/>
  <c r="C369" i="21" s="1"/>
  <c r="L369" s="1"/>
  <c r="C370" i="23" s="1"/>
  <c r="L370" s="1"/>
  <c r="C370" i="25" s="1"/>
  <c r="L370" s="1"/>
  <c r="K334" i="1"/>
  <c r="L333"/>
  <c r="C333" i="3" s="1"/>
  <c r="L333" s="1"/>
  <c r="C333" i="5" s="1"/>
  <c r="L333" s="1"/>
  <c r="C337" i="7" s="1"/>
  <c r="L337" s="1"/>
  <c r="C339" i="9" s="1"/>
  <c r="L339" s="1"/>
  <c r="C347" i="11" s="1"/>
  <c r="L347" s="1"/>
  <c r="C349" i="13" s="1"/>
  <c r="L349" s="1"/>
  <c r="C358" i="15" s="1"/>
  <c r="L358" s="1"/>
  <c r="C362" i="17" s="1"/>
  <c r="L362" s="1"/>
  <c r="C365" i="19" s="1"/>
  <c r="L365" s="1"/>
  <c r="C368" i="21" s="1"/>
  <c r="L368" s="1"/>
  <c r="C369" i="23" s="1"/>
  <c r="L369" s="1"/>
  <c r="C369" i="25" s="1"/>
  <c r="L369" s="1"/>
  <c r="K333" i="1"/>
  <c r="L332"/>
  <c r="C332" i="3" s="1"/>
  <c r="L332" s="1"/>
  <c r="C332" i="5" s="1"/>
  <c r="L332" s="1"/>
  <c r="C335" i="7" s="1"/>
  <c r="L335" s="1"/>
  <c r="C337" i="9" s="1"/>
  <c r="L337" s="1"/>
  <c r="C345" i="11" s="1"/>
  <c r="L345" s="1"/>
  <c r="C347" i="13" s="1"/>
  <c r="L347" s="1"/>
  <c r="C356" i="15" s="1"/>
  <c r="L356" s="1"/>
  <c r="C360" i="17" s="1"/>
  <c r="L360" s="1"/>
  <c r="C363" i="19" s="1"/>
  <c r="L363" s="1"/>
  <c r="C366" i="21" s="1"/>
  <c r="L366" s="1"/>
  <c r="C367" i="23" s="1"/>
  <c r="L367" s="1"/>
  <c r="C367" i="25" s="1"/>
  <c r="L367" s="1"/>
  <c r="K332" i="1"/>
  <c r="L331"/>
  <c r="C331" i="3" s="1"/>
  <c r="L331" s="1"/>
  <c r="C331" i="5" s="1"/>
  <c r="L331" s="1"/>
  <c r="C333" i="7" s="1"/>
  <c r="L333" s="1"/>
  <c r="C335" i="9" s="1"/>
  <c r="L335" s="1"/>
  <c r="C343" i="11" s="1"/>
  <c r="L343" s="1"/>
  <c r="C345" i="13" s="1"/>
  <c r="L345" s="1"/>
  <c r="C354" i="15" s="1"/>
  <c r="L354" s="1"/>
  <c r="C358" i="17" s="1"/>
  <c r="L358" s="1"/>
  <c r="C362" i="19" s="1"/>
  <c r="L362" s="1"/>
  <c r="C365" i="21" s="1"/>
  <c r="L365" s="1"/>
  <c r="C366" i="23" s="1"/>
  <c r="L366" s="1"/>
  <c r="C366" i="25" s="1"/>
  <c r="L366" s="1"/>
  <c r="K331" i="1"/>
  <c r="L330"/>
  <c r="C330" i="3" s="1"/>
  <c r="L330" s="1"/>
  <c r="C330" i="5" s="1"/>
  <c r="L330" s="1"/>
  <c r="C332" i="7" s="1"/>
  <c r="L332" s="1"/>
  <c r="C334" i="9" s="1"/>
  <c r="L334" s="1"/>
  <c r="C342" i="11" s="1"/>
  <c r="L342" s="1"/>
  <c r="C344" i="13" s="1"/>
  <c r="L344" s="1"/>
  <c r="C353" i="15" s="1"/>
  <c r="L353" s="1"/>
  <c r="C357" i="17" s="1"/>
  <c r="L357" s="1"/>
  <c r="C361" i="19" s="1"/>
  <c r="L361" s="1"/>
  <c r="C364" i="21" s="1"/>
  <c r="L364" s="1"/>
  <c r="C365" i="23" s="1"/>
  <c r="L365" s="1"/>
  <c r="C365" i="25" s="1"/>
  <c r="L365" s="1"/>
  <c r="K330" i="1"/>
  <c r="L329"/>
  <c r="C329" i="3" s="1"/>
  <c r="L329" s="1"/>
  <c r="C329" i="5" s="1"/>
  <c r="L329" s="1"/>
  <c r="C331" i="7" s="1"/>
  <c r="L331" s="1"/>
  <c r="C333" i="9" s="1"/>
  <c r="L333" s="1"/>
  <c r="C341" i="11" s="1"/>
  <c r="L341" s="1"/>
  <c r="C343" i="13" s="1"/>
  <c r="L343" s="1"/>
  <c r="C352" i="15" s="1"/>
  <c r="L352" s="1"/>
  <c r="C356" i="17" s="1"/>
  <c r="L356" s="1"/>
  <c r="C360" i="19" s="1"/>
  <c r="L360" s="1"/>
  <c r="C363" i="21" s="1"/>
  <c r="L363" s="1"/>
  <c r="C364" i="23" s="1"/>
  <c r="L364" s="1"/>
  <c r="C364" i="25" s="1"/>
  <c r="L364" s="1"/>
  <c r="K329" i="1"/>
  <c r="F328"/>
  <c r="K328" s="1"/>
  <c r="L328" s="1"/>
  <c r="C328" i="3" s="1"/>
  <c r="L328" s="1"/>
  <c r="C328" i="5" s="1"/>
  <c r="L328" s="1"/>
  <c r="C330" i="7" s="1"/>
  <c r="L330" s="1"/>
  <c r="C332" i="9" s="1"/>
  <c r="L332" s="1"/>
  <c r="C340" i="11" s="1"/>
  <c r="L340" s="1"/>
  <c r="C342" i="13" s="1"/>
  <c r="L342" s="1"/>
  <c r="C351" i="15" s="1"/>
  <c r="L351" s="1"/>
  <c r="C355" i="17" s="1"/>
  <c r="L355" s="1"/>
  <c r="C359" i="19" s="1"/>
  <c r="L359" s="1"/>
  <c r="C362" i="21" s="1"/>
  <c r="L362" s="1"/>
  <c r="C363" i="23" s="1"/>
  <c r="L363" s="1"/>
  <c r="C363" i="25" s="1"/>
  <c r="L363" s="1"/>
  <c r="K327" i="1"/>
  <c r="L327" s="1"/>
  <c r="C327" i="3" s="1"/>
  <c r="L327" s="1"/>
  <c r="C327" i="5" s="1"/>
  <c r="L327" s="1"/>
  <c r="C329" i="7" s="1"/>
  <c r="L329" s="1"/>
  <c r="C331" i="9" s="1"/>
  <c r="L331" s="1"/>
  <c r="C339" i="11" s="1"/>
  <c r="L339" s="1"/>
  <c r="C341" i="13" s="1"/>
  <c r="L341" s="1"/>
  <c r="C350" i="15" s="1"/>
  <c r="L350" s="1"/>
  <c r="C354" i="17" s="1"/>
  <c r="L354" s="1"/>
  <c r="C358" i="19" s="1"/>
  <c r="L358" s="1"/>
  <c r="C361" i="21" s="1"/>
  <c r="L361" s="1"/>
  <c r="C362" i="23" s="1"/>
  <c r="L362" s="1"/>
  <c r="C362" i="25" s="1"/>
  <c r="L362" s="1"/>
  <c r="K326" i="1"/>
  <c r="L326" s="1"/>
  <c r="C326" i="3" s="1"/>
  <c r="L326" s="1"/>
  <c r="C326" i="5" s="1"/>
  <c r="L326" s="1"/>
  <c r="C328" i="7" s="1"/>
  <c r="L328" s="1"/>
  <c r="C330" i="9" s="1"/>
  <c r="L330" s="1"/>
  <c r="C338" i="11" s="1"/>
  <c r="L338" s="1"/>
  <c r="C340" i="13" s="1"/>
  <c r="L340" s="1"/>
  <c r="C349" i="15" s="1"/>
  <c r="L349" s="1"/>
  <c r="C353" i="17" s="1"/>
  <c r="L353" s="1"/>
  <c r="C357" i="19" s="1"/>
  <c r="L357" s="1"/>
  <c r="C360" i="21" s="1"/>
  <c r="L360" s="1"/>
  <c r="C361" i="23" s="1"/>
  <c r="L361" s="1"/>
  <c r="C361" i="25" s="1"/>
  <c r="L361" s="1"/>
  <c r="K325" i="1"/>
  <c r="L325" s="1"/>
  <c r="C325" i="3" s="1"/>
  <c r="L325" s="1"/>
  <c r="C325" i="5" s="1"/>
  <c r="L325" s="1"/>
  <c r="C327" i="7" s="1"/>
  <c r="L327" s="1"/>
  <c r="C329" i="9" s="1"/>
  <c r="L329" s="1"/>
  <c r="C337" i="11" s="1"/>
  <c r="L337" s="1"/>
  <c r="C339" i="13" s="1"/>
  <c r="L339" s="1"/>
  <c r="C348" i="15" s="1"/>
  <c r="L348" s="1"/>
  <c r="C352" i="17" s="1"/>
  <c r="L352" s="1"/>
  <c r="C356" i="19" s="1"/>
  <c r="L356" s="1"/>
  <c r="C359" i="21" s="1"/>
  <c r="L359" s="1"/>
  <c r="C360" i="23" s="1"/>
  <c r="L360" s="1"/>
  <c r="C360" i="25" s="1"/>
  <c r="L360" s="1"/>
  <c r="K324" i="1"/>
  <c r="L324" s="1"/>
  <c r="C324" i="3" s="1"/>
  <c r="L324" s="1"/>
  <c r="C324" i="5" s="1"/>
  <c r="L324" s="1"/>
  <c r="C326" i="7" s="1"/>
  <c r="L326" s="1"/>
  <c r="C328" i="9" s="1"/>
  <c r="L328" s="1"/>
  <c r="C332" i="11" s="1"/>
  <c r="L332" s="1"/>
  <c r="C334" i="13" s="1"/>
  <c r="L334" s="1"/>
  <c r="C342" i="15" s="1"/>
  <c r="L342" s="1"/>
  <c r="C346" i="17" s="1"/>
  <c r="L346" s="1"/>
  <c r="C350" i="19" s="1"/>
  <c r="L350" s="1"/>
  <c r="C353" i="21" s="1"/>
  <c r="L353" s="1"/>
  <c r="C354" i="23" s="1"/>
  <c r="L354" s="1"/>
  <c r="C354" i="25" s="1"/>
  <c r="L354" s="1"/>
  <c r="F324" i="1"/>
  <c r="L323"/>
  <c r="C323" i="3" s="1"/>
  <c r="L323" s="1"/>
  <c r="C323" i="5" s="1"/>
  <c r="L323" s="1"/>
  <c r="C325" i="7" s="1"/>
  <c r="L325" s="1"/>
  <c r="C327" i="9" s="1"/>
  <c r="L327" s="1"/>
  <c r="C331" i="11" s="1"/>
  <c r="L331" s="1"/>
  <c r="C333" i="13" s="1"/>
  <c r="L333" s="1"/>
  <c r="C341" i="15" s="1"/>
  <c r="L341" s="1"/>
  <c r="C345" i="17" s="1"/>
  <c r="L345" s="1"/>
  <c r="C349" i="19" s="1"/>
  <c r="L349" s="1"/>
  <c r="C352" i="21" s="1"/>
  <c r="L352" s="1"/>
  <c r="C353" i="23" s="1"/>
  <c r="L353" s="1"/>
  <c r="C353" i="25" s="1"/>
  <c r="L353" s="1"/>
  <c r="K323" i="1"/>
  <c r="L322"/>
  <c r="C322" i="3" s="1"/>
  <c r="L322" s="1"/>
  <c r="C322" i="5" s="1"/>
  <c r="L322" s="1"/>
  <c r="C324" i="7" s="1"/>
  <c r="L324" s="1"/>
  <c r="C326" i="9" s="1"/>
  <c r="L326" s="1"/>
  <c r="C330" i="11" s="1"/>
  <c r="L330" s="1"/>
  <c r="C332" i="13" s="1"/>
  <c r="L332" s="1"/>
  <c r="C340" i="15" s="1"/>
  <c r="L340" s="1"/>
  <c r="C344" i="17" s="1"/>
  <c r="L344" s="1"/>
  <c r="C348" i="19" s="1"/>
  <c r="L348" s="1"/>
  <c r="C351" i="21" s="1"/>
  <c r="L351" s="1"/>
  <c r="C352" i="23" s="1"/>
  <c r="L352" s="1"/>
  <c r="C352" i="25" s="1"/>
  <c r="L352" s="1"/>
  <c r="K322" i="1"/>
  <c r="L321"/>
  <c r="C321" i="3" s="1"/>
  <c r="L321" s="1"/>
  <c r="C321" i="5" s="1"/>
  <c r="L321" s="1"/>
  <c r="C323" i="7" s="1"/>
  <c r="L323" s="1"/>
  <c r="C325" i="9" s="1"/>
  <c r="L325" s="1"/>
  <c r="C329" i="11" s="1"/>
  <c r="L329" s="1"/>
  <c r="C331" i="13" s="1"/>
  <c r="L331" s="1"/>
  <c r="C339" i="15" s="1"/>
  <c r="L339" s="1"/>
  <c r="C343" i="17" s="1"/>
  <c r="L343" s="1"/>
  <c r="C347" i="19" s="1"/>
  <c r="L347" s="1"/>
  <c r="C350" i="21" s="1"/>
  <c r="L350" s="1"/>
  <c r="C351" i="23" s="1"/>
  <c r="L351" s="1"/>
  <c r="C351" i="25" s="1"/>
  <c r="L351" s="1"/>
  <c r="K321" i="1"/>
  <c r="L320"/>
  <c r="C320" i="3" s="1"/>
  <c r="L320" s="1"/>
  <c r="C320" i="5" s="1"/>
  <c r="L320" s="1"/>
  <c r="C322" i="7" s="1"/>
  <c r="L322" s="1"/>
  <c r="C324" i="9" s="1"/>
  <c r="L324" s="1"/>
  <c r="C328" i="11" s="1"/>
  <c r="L328" s="1"/>
  <c r="C330" i="13" s="1"/>
  <c r="L330" s="1"/>
  <c r="C338" i="15" s="1"/>
  <c r="L338" s="1"/>
  <c r="C342" i="17" s="1"/>
  <c r="L342" s="1"/>
  <c r="C346" i="19" s="1"/>
  <c r="L346" s="1"/>
  <c r="C349" i="21" s="1"/>
  <c r="L349" s="1"/>
  <c r="C350" i="23" s="1"/>
  <c r="L350" s="1"/>
  <c r="C350" i="25" s="1"/>
  <c r="L350" s="1"/>
  <c r="K320" i="1"/>
  <c r="L319"/>
  <c r="C319" i="3" s="1"/>
  <c r="L319" s="1"/>
  <c r="C319" i="5" s="1"/>
  <c r="L319" s="1"/>
  <c r="C321" i="7" s="1"/>
  <c r="L321" s="1"/>
  <c r="C323" i="9" s="1"/>
  <c r="L323" s="1"/>
  <c r="C327" i="11" s="1"/>
  <c r="L327" s="1"/>
  <c r="C329" i="13" s="1"/>
  <c r="L329" s="1"/>
  <c r="C337" i="15" s="1"/>
  <c r="L337" s="1"/>
  <c r="C341" i="17" s="1"/>
  <c r="L341" s="1"/>
  <c r="C345" i="19" s="1"/>
  <c r="L345" s="1"/>
  <c r="C348" i="21" s="1"/>
  <c r="L348" s="1"/>
  <c r="C349" i="23" s="1"/>
  <c r="L349" s="1"/>
  <c r="C349" i="25" s="1"/>
  <c r="L349" s="1"/>
  <c r="K319" i="1"/>
  <c r="L318"/>
  <c r="C318" i="3" s="1"/>
  <c r="L318" s="1"/>
  <c r="C318" i="5" s="1"/>
  <c r="L318" s="1"/>
  <c r="C320" i="7" s="1"/>
  <c r="L320" s="1"/>
  <c r="C322" i="9" s="1"/>
  <c r="L322" s="1"/>
  <c r="C326" i="11" s="1"/>
  <c r="L326" s="1"/>
  <c r="C328" i="13" s="1"/>
  <c r="L328" s="1"/>
  <c r="C336" i="15" s="1"/>
  <c r="L336" s="1"/>
  <c r="C340" i="17" s="1"/>
  <c r="L340" s="1"/>
  <c r="C344" i="19" s="1"/>
  <c r="L344" s="1"/>
  <c r="C347" i="21" s="1"/>
  <c r="L347" s="1"/>
  <c r="C348" i="23" s="1"/>
  <c r="L348" s="1"/>
  <c r="C348" i="25" s="1"/>
  <c r="L348" s="1"/>
  <c r="K318" i="1"/>
  <c r="L317"/>
  <c r="C317" i="3" s="1"/>
  <c r="L317" s="1"/>
  <c r="C317" i="5" s="1"/>
  <c r="L317" s="1"/>
  <c r="C319" i="7" s="1"/>
  <c r="L319" s="1"/>
  <c r="C321" i="9" s="1"/>
  <c r="L321" s="1"/>
  <c r="C325" i="11" s="1"/>
  <c r="L325" s="1"/>
  <c r="C327" i="13" s="1"/>
  <c r="L327" s="1"/>
  <c r="C335" i="15" s="1"/>
  <c r="L335" s="1"/>
  <c r="C339" i="17" s="1"/>
  <c r="L339" s="1"/>
  <c r="C343" i="19" s="1"/>
  <c r="L343" s="1"/>
  <c r="C346" i="21" s="1"/>
  <c r="L346" s="1"/>
  <c r="C347" i="23" s="1"/>
  <c r="L347" s="1"/>
  <c r="C347" i="25" s="1"/>
  <c r="L347" s="1"/>
  <c r="K317" i="1"/>
  <c r="F316"/>
  <c r="K316" s="1"/>
  <c r="L316" s="1"/>
  <c r="C316" i="3" s="1"/>
  <c r="L316" s="1"/>
  <c r="C316" i="5" s="1"/>
  <c r="L316" s="1"/>
  <c r="C318" i="7" s="1"/>
  <c r="L318" s="1"/>
  <c r="C320" i="9" s="1"/>
  <c r="L320" s="1"/>
  <c r="C324" i="11" s="1"/>
  <c r="L324" s="1"/>
  <c r="C326" i="13" s="1"/>
  <c r="L326" s="1"/>
  <c r="C334" i="15" s="1"/>
  <c r="L334" s="1"/>
  <c r="C338" i="17" s="1"/>
  <c r="L338" s="1"/>
  <c r="C342" i="19" s="1"/>
  <c r="L342" s="1"/>
  <c r="C345" i="21" s="1"/>
  <c r="L345" s="1"/>
  <c r="C346" i="23" s="1"/>
  <c r="L346" s="1"/>
  <c r="C346" i="25" s="1"/>
  <c r="L346" s="1"/>
  <c r="K315" i="1"/>
  <c r="L315" s="1"/>
  <c r="C315" i="3" s="1"/>
  <c r="L315" s="1"/>
  <c r="C315" i="5" s="1"/>
  <c r="L315" s="1"/>
  <c r="C317" i="7" s="1"/>
  <c r="L317" s="1"/>
  <c r="C319" i="9" s="1"/>
  <c r="L319" s="1"/>
  <c r="C323" i="11" s="1"/>
  <c r="L323" s="1"/>
  <c r="C325" i="13" s="1"/>
  <c r="L325" s="1"/>
  <c r="C333" i="15" s="1"/>
  <c r="L333" s="1"/>
  <c r="C337" i="17" s="1"/>
  <c r="L337" s="1"/>
  <c r="C341" i="19" s="1"/>
  <c r="L341" s="1"/>
  <c r="C344" i="21" s="1"/>
  <c r="L344" s="1"/>
  <c r="C345" i="23" s="1"/>
  <c r="L345" s="1"/>
  <c r="C345" i="25" s="1"/>
  <c r="L345" s="1"/>
  <c r="K314" i="1"/>
  <c r="L314" s="1"/>
  <c r="C314" i="3" s="1"/>
  <c r="L314" s="1"/>
  <c r="C314" i="5" s="1"/>
  <c r="L314" s="1"/>
  <c r="C316" i="7" s="1"/>
  <c r="L316" s="1"/>
  <c r="C318" i="9" s="1"/>
  <c r="L318" s="1"/>
  <c r="C322" i="11" s="1"/>
  <c r="L322" s="1"/>
  <c r="C324" i="13" s="1"/>
  <c r="L324" s="1"/>
  <c r="C332" i="15" s="1"/>
  <c r="L332" s="1"/>
  <c r="C336" i="17" s="1"/>
  <c r="L336" s="1"/>
  <c r="C340" i="19" s="1"/>
  <c r="L340" s="1"/>
  <c r="C343" i="21" s="1"/>
  <c r="L343" s="1"/>
  <c r="C344" i="23" s="1"/>
  <c r="L344" s="1"/>
  <c r="C344" i="25" s="1"/>
  <c r="L344" s="1"/>
  <c r="K313" i="1"/>
  <c r="L313" s="1"/>
  <c r="C313" i="3" s="1"/>
  <c r="L313" s="1"/>
  <c r="C313" i="5" s="1"/>
  <c r="L313" s="1"/>
  <c r="C315" i="7" s="1"/>
  <c r="L315" s="1"/>
  <c r="C317" i="9" s="1"/>
  <c r="L317" s="1"/>
  <c r="C321" i="11" s="1"/>
  <c r="L321" s="1"/>
  <c r="C323" i="13" s="1"/>
  <c r="L323" s="1"/>
  <c r="C331" i="15" s="1"/>
  <c r="L331" s="1"/>
  <c r="C335" i="17" s="1"/>
  <c r="L335" s="1"/>
  <c r="C339" i="19" s="1"/>
  <c r="L339" s="1"/>
  <c r="C342" i="21" s="1"/>
  <c r="L342" s="1"/>
  <c r="C343" i="23" s="1"/>
  <c r="L343" s="1"/>
  <c r="C343" i="25" s="1"/>
  <c r="L343" s="1"/>
  <c r="K312" i="1"/>
  <c r="L312" s="1"/>
  <c r="C312" i="3" s="1"/>
  <c r="L312" s="1"/>
  <c r="C312" i="5" s="1"/>
  <c r="L312" s="1"/>
  <c r="C314" i="7" s="1"/>
  <c r="L314" s="1"/>
  <c r="C316" i="9" s="1"/>
  <c r="L316" s="1"/>
  <c r="C319" i="11" s="1"/>
  <c r="L319" s="1"/>
  <c r="C321" i="13" s="1"/>
  <c r="L321" s="1"/>
  <c r="C329" i="15" s="1"/>
  <c r="L329" s="1"/>
  <c r="C333" i="17" s="1"/>
  <c r="L333" s="1"/>
  <c r="C337" i="19" s="1"/>
  <c r="L337" s="1"/>
  <c r="C340" i="21" s="1"/>
  <c r="L340" s="1"/>
  <c r="C341" i="23" s="1"/>
  <c r="L341" s="1"/>
  <c r="C341" i="25" s="1"/>
  <c r="L341" s="1"/>
  <c r="F312" i="1"/>
  <c r="L311"/>
  <c r="C311" i="3" s="1"/>
  <c r="L311" s="1"/>
  <c r="C311" i="5" s="1"/>
  <c r="L311" s="1"/>
  <c r="C313" i="7" s="1"/>
  <c r="L313" s="1"/>
  <c r="C315" i="9" s="1"/>
  <c r="L315" s="1"/>
  <c r="C318" i="11" s="1"/>
  <c r="L318" s="1"/>
  <c r="C320" i="13" s="1"/>
  <c r="L320" s="1"/>
  <c r="C328" i="15" s="1"/>
  <c r="L328" s="1"/>
  <c r="C332" i="17" s="1"/>
  <c r="L332" s="1"/>
  <c r="C336" i="19" s="1"/>
  <c r="L336" s="1"/>
  <c r="C339" i="21" s="1"/>
  <c r="L339" s="1"/>
  <c r="C340" i="23" s="1"/>
  <c r="L340" s="1"/>
  <c r="C340" i="25" s="1"/>
  <c r="L340" s="1"/>
  <c r="K311" i="1"/>
  <c r="F310"/>
  <c r="K310" s="1"/>
  <c r="L310" s="1"/>
  <c r="C310" i="3" s="1"/>
  <c r="L310" s="1"/>
  <c r="C310" i="5" s="1"/>
  <c r="L310" s="1"/>
  <c r="C312" i="7" s="1"/>
  <c r="L312" s="1"/>
  <c r="C314" i="9" s="1"/>
  <c r="L314" s="1"/>
  <c r="C317" i="11" s="1"/>
  <c r="L317" s="1"/>
  <c r="C319" i="13" s="1"/>
  <c r="L319" s="1"/>
  <c r="C327" i="15" s="1"/>
  <c r="L327" s="1"/>
  <c r="C331" i="17" s="1"/>
  <c r="L331" s="1"/>
  <c r="C335" i="19" s="1"/>
  <c r="L335" s="1"/>
  <c r="C338" i="21" s="1"/>
  <c r="L338" s="1"/>
  <c r="C339" i="23" s="1"/>
  <c r="L339" s="1"/>
  <c r="C339" i="25" s="1"/>
  <c r="L339" s="1"/>
  <c r="K309" i="1"/>
  <c r="L309" s="1"/>
  <c r="C309" i="3" s="1"/>
  <c r="L309" s="1"/>
  <c r="C309" i="5" s="1"/>
  <c r="L309" s="1"/>
  <c r="C311" i="7" s="1"/>
  <c r="L311" s="1"/>
  <c r="C313" i="9" s="1"/>
  <c r="L313" s="1"/>
  <c r="C316" i="11" s="1"/>
  <c r="L316" s="1"/>
  <c r="C318" i="13" s="1"/>
  <c r="L318" s="1"/>
  <c r="C326" i="15" s="1"/>
  <c r="L326" s="1"/>
  <c r="C330" i="17" s="1"/>
  <c r="L330" s="1"/>
  <c r="C334" i="19" s="1"/>
  <c r="L334" s="1"/>
  <c r="C337" i="21" s="1"/>
  <c r="L337" s="1"/>
  <c r="C338" i="23" s="1"/>
  <c r="L338" s="1"/>
  <c r="C338" i="25" s="1"/>
  <c r="L338" s="1"/>
  <c r="K308" i="1"/>
  <c r="L308" s="1"/>
  <c r="C308" i="3" s="1"/>
  <c r="L308" s="1"/>
  <c r="C308" i="5" s="1"/>
  <c r="L308" s="1"/>
  <c r="C310" i="7" s="1"/>
  <c r="L310" s="1"/>
  <c r="C312" i="9" s="1"/>
  <c r="L312" s="1"/>
  <c r="C315" i="11" s="1"/>
  <c r="L315" s="1"/>
  <c r="C317" i="13" s="1"/>
  <c r="L317" s="1"/>
  <c r="C325" i="15" s="1"/>
  <c r="L325" s="1"/>
  <c r="C329" i="17" s="1"/>
  <c r="L329" s="1"/>
  <c r="C333" i="19" s="1"/>
  <c r="L333" s="1"/>
  <c r="C336" i="21" s="1"/>
  <c r="L336" s="1"/>
  <c r="C337" i="23" s="1"/>
  <c r="L337" s="1"/>
  <c r="C337" i="25" s="1"/>
  <c r="L337" s="1"/>
  <c r="K307" i="1"/>
  <c r="L307" s="1"/>
  <c r="C307" i="3" s="1"/>
  <c r="L307" s="1"/>
  <c r="C307" i="5" s="1"/>
  <c r="L307" s="1"/>
  <c r="C309" i="7" s="1"/>
  <c r="L309" s="1"/>
  <c r="C311" i="9" s="1"/>
  <c r="L311" s="1"/>
  <c r="C314" i="11" s="1"/>
  <c r="L314" s="1"/>
  <c r="C316" i="13" s="1"/>
  <c r="L316" s="1"/>
  <c r="C324" i="15" s="1"/>
  <c r="L324" s="1"/>
  <c r="C328" i="17" s="1"/>
  <c r="L328" s="1"/>
  <c r="C332" i="19" s="1"/>
  <c r="L332" s="1"/>
  <c r="C335" i="21" s="1"/>
  <c r="L335" s="1"/>
  <c r="C336" i="23" s="1"/>
  <c r="L336" s="1"/>
  <c r="C336" i="25" s="1"/>
  <c r="L336" s="1"/>
  <c r="K306" i="1"/>
  <c r="L306" s="1"/>
  <c r="C306" i="3" s="1"/>
  <c r="L306" s="1"/>
  <c r="C306" i="5" s="1"/>
  <c r="L306" s="1"/>
  <c r="C308" i="7" s="1"/>
  <c r="L308" s="1"/>
  <c r="C310" i="9" s="1"/>
  <c r="L310" s="1"/>
  <c r="C313" i="11" s="1"/>
  <c r="L313" s="1"/>
  <c r="C315" i="13" s="1"/>
  <c r="L315" s="1"/>
  <c r="C323" i="15" s="1"/>
  <c r="L323" s="1"/>
  <c r="C327" i="17" s="1"/>
  <c r="L327" s="1"/>
  <c r="C331" i="19" s="1"/>
  <c r="L331" s="1"/>
  <c r="C334" i="21" s="1"/>
  <c r="L334" s="1"/>
  <c r="C335" i="23" s="1"/>
  <c r="L335" s="1"/>
  <c r="C335" i="25" s="1"/>
  <c r="L335" s="1"/>
  <c r="K305" i="1"/>
  <c r="L305" s="1"/>
  <c r="C305" i="3" s="1"/>
  <c r="L305" s="1"/>
  <c r="C305" i="5" s="1"/>
  <c r="L305" s="1"/>
  <c r="C307" i="7" s="1"/>
  <c r="L307" s="1"/>
  <c r="C309" i="9" s="1"/>
  <c r="L309" s="1"/>
  <c r="C312" i="11" s="1"/>
  <c r="L312" s="1"/>
  <c r="C314" i="13" s="1"/>
  <c r="L314" s="1"/>
  <c r="C322" i="15" s="1"/>
  <c r="L322" s="1"/>
  <c r="C326" i="17" s="1"/>
  <c r="L326" s="1"/>
  <c r="C330" i="19" s="1"/>
  <c r="L330" s="1"/>
  <c r="C333" i="21" s="1"/>
  <c r="L333" s="1"/>
  <c r="C334" i="23" s="1"/>
  <c r="L334" s="1"/>
  <c r="C334" i="25" s="1"/>
  <c r="L334" s="1"/>
  <c r="K304" i="1"/>
  <c r="L304" s="1"/>
  <c r="C304" i="3" s="1"/>
  <c r="L304" s="1"/>
  <c r="C304" i="5" s="1"/>
  <c r="L304" s="1"/>
  <c r="C306" i="7" s="1"/>
  <c r="L306" s="1"/>
  <c r="C308" i="9" s="1"/>
  <c r="L308" s="1"/>
  <c r="C311" i="11" s="1"/>
  <c r="L311" s="1"/>
  <c r="C313" i="13" s="1"/>
  <c r="L313" s="1"/>
  <c r="C321" i="15" s="1"/>
  <c r="L321" s="1"/>
  <c r="C325" i="17" s="1"/>
  <c r="L325" s="1"/>
  <c r="C329" i="19" s="1"/>
  <c r="L329" s="1"/>
  <c r="C332" i="21" s="1"/>
  <c r="L332" s="1"/>
  <c r="C333" i="23" s="1"/>
  <c r="L333" s="1"/>
  <c r="C333" i="25" s="1"/>
  <c r="L333" s="1"/>
  <c r="K303" i="1"/>
  <c r="L303" s="1"/>
  <c r="C303" i="3" s="1"/>
  <c r="L303" s="1"/>
  <c r="C303" i="5" s="1"/>
  <c r="L303" s="1"/>
  <c r="C305" i="7" s="1"/>
  <c r="L305" s="1"/>
  <c r="C307" i="9" s="1"/>
  <c r="L307" s="1"/>
  <c r="C310" i="11" s="1"/>
  <c r="L310" s="1"/>
  <c r="C312" i="13" s="1"/>
  <c r="L312" s="1"/>
  <c r="C320" i="15" s="1"/>
  <c r="L320" s="1"/>
  <c r="C324" i="17" s="1"/>
  <c r="L324" s="1"/>
  <c r="C328" i="19" s="1"/>
  <c r="L328" s="1"/>
  <c r="C331" i="21" s="1"/>
  <c r="L331" s="1"/>
  <c r="C332" i="23" s="1"/>
  <c r="L332" s="1"/>
  <c r="C332" i="25" s="1"/>
  <c r="L332" s="1"/>
  <c r="K302" i="1"/>
  <c r="L302" s="1"/>
  <c r="C302" i="3" s="1"/>
  <c r="L302" s="1"/>
  <c r="C302" i="5" s="1"/>
  <c r="L302" s="1"/>
  <c r="C304" i="7" s="1"/>
  <c r="L304" s="1"/>
  <c r="C306" i="9" s="1"/>
  <c r="L306" s="1"/>
  <c r="C309" i="11" s="1"/>
  <c r="L309" s="1"/>
  <c r="C311" i="13" s="1"/>
  <c r="L311" s="1"/>
  <c r="C319" i="15" s="1"/>
  <c r="L319" s="1"/>
  <c r="C323" i="17" s="1"/>
  <c r="L323" s="1"/>
  <c r="C327" i="19" s="1"/>
  <c r="L327" s="1"/>
  <c r="C330" i="21" s="1"/>
  <c r="L330" s="1"/>
  <c r="C331" i="23" s="1"/>
  <c r="L331" s="1"/>
  <c r="C331" i="25" s="1"/>
  <c r="L331" s="1"/>
  <c r="K301" i="1"/>
  <c r="L301" s="1"/>
  <c r="C301" i="3" s="1"/>
  <c r="L301" s="1"/>
  <c r="C301" i="5" s="1"/>
  <c r="L301" s="1"/>
  <c r="C303" i="7" s="1"/>
  <c r="L303" s="1"/>
  <c r="C305" i="9" s="1"/>
  <c r="L305" s="1"/>
  <c r="C308" i="11" s="1"/>
  <c r="L308" s="1"/>
  <c r="C310" i="13" s="1"/>
  <c r="L310" s="1"/>
  <c r="C318" i="15" s="1"/>
  <c r="L318" s="1"/>
  <c r="C322" i="17" s="1"/>
  <c r="L322" s="1"/>
  <c r="C326" i="19" s="1"/>
  <c r="L326" s="1"/>
  <c r="C329" i="21" s="1"/>
  <c r="L329" s="1"/>
  <c r="C330" i="23" s="1"/>
  <c r="L330" s="1"/>
  <c r="C330" i="25" s="1"/>
  <c r="L330" s="1"/>
  <c r="F301" i="1"/>
  <c r="L300"/>
  <c r="C300" i="3" s="1"/>
  <c r="L300" s="1"/>
  <c r="C300" i="5" s="1"/>
  <c r="L300" s="1"/>
  <c r="C302" i="7" s="1"/>
  <c r="L302" s="1"/>
  <c r="C304" i="9" s="1"/>
  <c r="L304" s="1"/>
  <c r="C307" i="11" s="1"/>
  <c r="L307" s="1"/>
  <c r="K300" i="1"/>
  <c r="L299"/>
  <c r="C299" i="3" s="1"/>
  <c r="L299" s="1"/>
  <c r="C299" i="5" s="1"/>
  <c r="L299" s="1"/>
  <c r="C301" i="7" s="1"/>
  <c r="L301" s="1"/>
  <c r="C303" i="9" s="1"/>
  <c r="L303" s="1"/>
  <c r="C306" i="11" s="1"/>
  <c r="L306" s="1"/>
  <c r="C309" i="13" s="1"/>
  <c r="L309" s="1"/>
  <c r="C317" i="15" s="1"/>
  <c r="L317" s="1"/>
  <c r="C321" i="17" s="1"/>
  <c r="L321" s="1"/>
  <c r="C325" i="19" s="1"/>
  <c r="L325" s="1"/>
  <c r="C328" i="21" s="1"/>
  <c r="L328" s="1"/>
  <c r="C329" i="23" s="1"/>
  <c r="L329" s="1"/>
  <c r="C329" i="25" s="1"/>
  <c r="L329" s="1"/>
  <c r="K299" i="1"/>
  <c r="L298"/>
  <c r="C298" i="3" s="1"/>
  <c r="L298" s="1"/>
  <c r="C298" i="5" s="1"/>
  <c r="L298" s="1"/>
  <c r="C300" i="7" s="1"/>
  <c r="L300" s="1"/>
  <c r="C302" i="9" s="1"/>
  <c r="L302" s="1"/>
  <c r="C305" i="11" s="1"/>
  <c r="L305" s="1"/>
  <c r="C308" i="13" s="1"/>
  <c r="L308" s="1"/>
  <c r="C316" i="15" s="1"/>
  <c r="L316" s="1"/>
  <c r="C320" i="17" s="1"/>
  <c r="L320" s="1"/>
  <c r="C324" i="19" s="1"/>
  <c r="L324" s="1"/>
  <c r="C327" i="21" s="1"/>
  <c r="L327" s="1"/>
  <c r="C328" i="23" s="1"/>
  <c r="L328" s="1"/>
  <c r="C328" i="25" s="1"/>
  <c r="L328" s="1"/>
  <c r="K298" i="1"/>
  <c r="L297"/>
  <c r="C297" i="3" s="1"/>
  <c r="L297" s="1"/>
  <c r="C297" i="5" s="1"/>
  <c r="L297" s="1"/>
  <c r="C299" i="7" s="1"/>
  <c r="L299" s="1"/>
  <c r="C301" i="9" s="1"/>
  <c r="L301" s="1"/>
  <c r="C304" i="11" s="1"/>
  <c r="L304" s="1"/>
  <c r="C307" i="13" s="1"/>
  <c r="L307" s="1"/>
  <c r="C315" i="15" s="1"/>
  <c r="L315" s="1"/>
  <c r="C319" i="17" s="1"/>
  <c r="L319" s="1"/>
  <c r="C323" i="19" s="1"/>
  <c r="L323" s="1"/>
  <c r="C326" i="21" s="1"/>
  <c r="L326" s="1"/>
  <c r="C327" i="23" s="1"/>
  <c r="L327" s="1"/>
  <c r="C327" i="25" s="1"/>
  <c r="L327" s="1"/>
  <c r="K297" i="1"/>
  <c r="L296"/>
  <c r="C296" i="3" s="1"/>
  <c r="L296" s="1"/>
  <c r="C296" i="5" s="1"/>
  <c r="L296" s="1"/>
  <c r="C298" i="7" s="1"/>
  <c r="L298" s="1"/>
  <c r="C300" i="9" s="1"/>
  <c r="L300" s="1"/>
  <c r="C303" i="11" s="1"/>
  <c r="L303" s="1"/>
  <c r="C306" i="13" s="1"/>
  <c r="L306" s="1"/>
  <c r="C314" i="15" s="1"/>
  <c r="L314" s="1"/>
  <c r="C318" i="17" s="1"/>
  <c r="L318" s="1"/>
  <c r="C322" i="19" s="1"/>
  <c r="L322" s="1"/>
  <c r="C325" i="21" s="1"/>
  <c r="L325" s="1"/>
  <c r="C326" i="23" s="1"/>
  <c r="L326" s="1"/>
  <c r="C326" i="25" s="1"/>
  <c r="L326" s="1"/>
  <c r="K296" i="1"/>
  <c r="L295"/>
  <c r="C295" i="3" s="1"/>
  <c r="L295" s="1"/>
  <c r="C295" i="5" s="1"/>
  <c r="L295" s="1"/>
  <c r="C297" i="7" s="1"/>
  <c r="L297" s="1"/>
  <c r="C299" i="9" s="1"/>
  <c r="L299" s="1"/>
  <c r="C302" i="11" s="1"/>
  <c r="L302" s="1"/>
  <c r="C305" i="13" s="1"/>
  <c r="L305" s="1"/>
  <c r="C313" i="15" s="1"/>
  <c r="L313" s="1"/>
  <c r="C317" i="17" s="1"/>
  <c r="L317" s="1"/>
  <c r="C321" i="19" s="1"/>
  <c r="L321" s="1"/>
  <c r="C324" i="21" s="1"/>
  <c r="L324" s="1"/>
  <c r="C325" i="23" s="1"/>
  <c r="L325" s="1"/>
  <c r="C325" i="25" s="1"/>
  <c r="L325" s="1"/>
  <c r="K295" i="1"/>
  <c r="L294"/>
  <c r="C294" i="3" s="1"/>
  <c r="L294" s="1"/>
  <c r="C294" i="5" s="1"/>
  <c r="L294" s="1"/>
  <c r="C296" i="7" s="1"/>
  <c r="L296" s="1"/>
  <c r="C298" i="9" s="1"/>
  <c r="L298" s="1"/>
  <c r="C301" i="11" s="1"/>
  <c r="L301" s="1"/>
  <c r="C304" i="13" s="1"/>
  <c r="L304" s="1"/>
  <c r="C312" i="15" s="1"/>
  <c r="L312" s="1"/>
  <c r="C316" i="17" s="1"/>
  <c r="L316" s="1"/>
  <c r="C320" i="19" s="1"/>
  <c r="L320" s="1"/>
  <c r="C323" i="21" s="1"/>
  <c r="L323" s="1"/>
  <c r="C324" i="23" s="1"/>
  <c r="L324" s="1"/>
  <c r="C324" i="25" s="1"/>
  <c r="L324" s="1"/>
  <c r="K294" i="1"/>
  <c r="L293"/>
  <c r="C293" i="3" s="1"/>
  <c r="L293" s="1"/>
  <c r="C293" i="5" s="1"/>
  <c r="L293" s="1"/>
  <c r="C295" i="7" s="1"/>
  <c r="L295" s="1"/>
  <c r="C297" i="9" s="1"/>
  <c r="L297" s="1"/>
  <c r="C300" i="11" s="1"/>
  <c r="L300" s="1"/>
  <c r="C302" i="13" s="1"/>
  <c r="L302" s="1"/>
  <c r="C310" i="15" s="1"/>
  <c r="L310" s="1"/>
  <c r="C314" i="17" s="1"/>
  <c r="L314" s="1"/>
  <c r="C318" i="19" s="1"/>
  <c r="L318" s="1"/>
  <c r="C321" i="21" s="1"/>
  <c r="L321" s="1"/>
  <c r="C322" i="23" s="1"/>
  <c r="L322" s="1"/>
  <c r="C322" i="25" s="1"/>
  <c r="L322" s="1"/>
  <c r="K293" i="1"/>
  <c r="L292"/>
  <c r="C292" i="3" s="1"/>
  <c r="L292" s="1"/>
  <c r="C292" i="5" s="1"/>
  <c r="L292" s="1"/>
  <c r="C294" i="7" s="1"/>
  <c r="L294" s="1"/>
  <c r="C296" i="9" s="1"/>
  <c r="L296" s="1"/>
  <c r="C299" i="11" s="1"/>
  <c r="L299" s="1"/>
  <c r="C301" i="13" s="1"/>
  <c r="L301" s="1"/>
  <c r="C309" i="15" s="1"/>
  <c r="L309" s="1"/>
  <c r="C313" i="17" s="1"/>
  <c r="L313" s="1"/>
  <c r="C317" i="19" s="1"/>
  <c r="L317" s="1"/>
  <c r="C320" i="21" s="1"/>
  <c r="L320" s="1"/>
  <c r="C321" i="23" s="1"/>
  <c r="L321" s="1"/>
  <c r="C321" i="25" s="1"/>
  <c r="L321" s="1"/>
  <c r="K292" i="1"/>
  <c r="L291"/>
  <c r="C291" i="3" s="1"/>
  <c r="L291" s="1"/>
  <c r="C291" i="5" s="1"/>
  <c r="L291" s="1"/>
  <c r="C293" i="7" s="1"/>
  <c r="L293" s="1"/>
  <c r="C295" i="9" s="1"/>
  <c r="L295" s="1"/>
  <c r="C298" i="11" s="1"/>
  <c r="L298" s="1"/>
  <c r="C300" i="13" s="1"/>
  <c r="L300" s="1"/>
  <c r="C308" i="15" s="1"/>
  <c r="L308" s="1"/>
  <c r="C312" i="17" s="1"/>
  <c r="L312" s="1"/>
  <c r="C316" i="19" s="1"/>
  <c r="L316" s="1"/>
  <c r="C319" i="21" s="1"/>
  <c r="L319" s="1"/>
  <c r="C320" i="23" s="1"/>
  <c r="L320" s="1"/>
  <c r="C320" i="25" s="1"/>
  <c r="L320" s="1"/>
  <c r="K291" i="1"/>
  <c r="L290"/>
  <c r="C290" i="3" s="1"/>
  <c r="L290" s="1"/>
  <c r="C290" i="5" s="1"/>
  <c r="L290" s="1"/>
  <c r="C292" i="7" s="1"/>
  <c r="L292" s="1"/>
  <c r="C294" i="9" s="1"/>
  <c r="L294" s="1"/>
  <c r="C297" i="11" s="1"/>
  <c r="L297" s="1"/>
  <c r="C299" i="13" s="1"/>
  <c r="L299" s="1"/>
  <c r="C307" i="15" s="1"/>
  <c r="L307" s="1"/>
  <c r="C311" i="17" s="1"/>
  <c r="L311" s="1"/>
  <c r="C315" i="19" s="1"/>
  <c r="L315" s="1"/>
  <c r="C318" i="21" s="1"/>
  <c r="L318" s="1"/>
  <c r="C319" i="23" s="1"/>
  <c r="L319" s="1"/>
  <c r="C319" i="25" s="1"/>
  <c r="L319" s="1"/>
  <c r="K290" i="1"/>
  <c r="L289"/>
  <c r="C289" i="3" s="1"/>
  <c r="L289" s="1"/>
  <c r="C289" i="5" s="1"/>
  <c r="L289" s="1"/>
  <c r="C291" i="7" s="1"/>
  <c r="L291" s="1"/>
  <c r="C293" i="9" s="1"/>
  <c r="L293" s="1"/>
  <c r="C296" i="11" s="1"/>
  <c r="L296" s="1"/>
  <c r="C298" i="13" s="1"/>
  <c r="L298" s="1"/>
  <c r="C306" i="15" s="1"/>
  <c r="L306" s="1"/>
  <c r="C310" i="17" s="1"/>
  <c r="L310" s="1"/>
  <c r="C314" i="19" s="1"/>
  <c r="L314" s="1"/>
  <c r="C317" i="21" s="1"/>
  <c r="L317" s="1"/>
  <c r="C318" i="23" s="1"/>
  <c r="L318" s="1"/>
  <c r="C318" i="25" s="1"/>
  <c r="L318" s="1"/>
  <c r="K289" i="1"/>
  <c r="F288"/>
  <c r="K288" s="1"/>
  <c r="L288" s="1"/>
  <c r="C288" i="3" s="1"/>
  <c r="L288" s="1"/>
  <c r="C288" i="5" s="1"/>
  <c r="L288" s="1"/>
  <c r="C290" i="7" s="1"/>
  <c r="L290" s="1"/>
  <c r="C292" i="9" s="1"/>
  <c r="L292" s="1"/>
  <c r="C295" i="11" s="1"/>
  <c r="L295" s="1"/>
  <c r="C297" i="13" s="1"/>
  <c r="L297" s="1"/>
  <c r="C305" i="15" s="1"/>
  <c r="L305" s="1"/>
  <c r="C309" i="17" s="1"/>
  <c r="L309" s="1"/>
  <c r="C313" i="19" s="1"/>
  <c r="L313" s="1"/>
  <c r="C316" i="21" s="1"/>
  <c r="L316" s="1"/>
  <c r="C317" i="23" s="1"/>
  <c r="L317" s="1"/>
  <c r="C317" i="25" s="1"/>
  <c r="L317" s="1"/>
  <c r="K287" i="1"/>
  <c r="L287" s="1"/>
  <c r="C287" i="3" s="1"/>
  <c r="L287" s="1"/>
  <c r="C287" i="5" s="1"/>
  <c r="L287" s="1"/>
  <c r="C289" i="7" s="1"/>
  <c r="L289" s="1"/>
  <c r="C291" i="9" s="1"/>
  <c r="L291" s="1"/>
  <c r="C294" i="11" s="1"/>
  <c r="L294" s="1"/>
  <c r="C296" i="13" s="1"/>
  <c r="L296" s="1"/>
  <c r="C304" i="15" s="1"/>
  <c r="L304" s="1"/>
  <c r="C308" i="17" s="1"/>
  <c r="L308" s="1"/>
  <c r="C312" i="19" s="1"/>
  <c r="L312" s="1"/>
  <c r="C315" i="21" s="1"/>
  <c r="L315" s="1"/>
  <c r="C316" i="23" s="1"/>
  <c r="L316" s="1"/>
  <c r="C316" i="25" s="1"/>
  <c r="L316" s="1"/>
  <c r="K286" i="1"/>
  <c r="L286" s="1"/>
  <c r="C286" i="3" s="1"/>
  <c r="L286" s="1"/>
  <c r="C286" i="5" s="1"/>
  <c r="L286" s="1"/>
  <c r="C288" i="7" s="1"/>
  <c r="L288" s="1"/>
  <c r="C290" i="9" s="1"/>
  <c r="L290" s="1"/>
  <c r="C293" i="11" s="1"/>
  <c r="L293" s="1"/>
  <c r="C295" i="13" s="1"/>
  <c r="L295" s="1"/>
  <c r="C303" i="15" s="1"/>
  <c r="L303" s="1"/>
  <c r="C307" i="17" s="1"/>
  <c r="L307" s="1"/>
  <c r="C311" i="19" s="1"/>
  <c r="L311" s="1"/>
  <c r="C314" i="21" s="1"/>
  <c r="L314" s="1"/>
  <c r="C315" i="23" s="1"/>
  <c r="L315" s="1"/>
  <c r="C315" i="25" s="1"/>
  <c r="L315" s="1"/>
  <c r="K285" i="1"/>
  <c r="L285" s="1"/>
  <c r="C285" i="3" s="1"/>
  <c r="L285" s="1"/>
  <c r="C285" i="5" s="1"/>
  <c r="L285" s="1"/>
  <c r="C287" i="7" s="1"/>
  <c r="L287" s="1"/>
  <c r="C289" i="9" s="1"/>
  <c r="L289" s="1"/>
  <c r="C292" i="11" s="1"/>
  <c r="L292" s="1"/>
  <c r="C294" i="13" s="1"/>
  <c r="L294" s="1"/>
  <c r="C302" i="15" s="1"/>
  <c r="L302" s="1"/>
  <c r="C306" i="17" s="1"/>
  <c r="L306" s="1"/>
  <c r="C310" i="19" s="1"/>
  <c r="L310" s="1"/>
  <c r="C313" i="21" s="1"/>
  <c r="L313" s="1"/>
  <c r="C314" i="23" s="1"/>
  <c r="L314" s="1"/>
  <c r="C314" i="25" s="1"/>
  <c r="L314" s="1"/>
  <c r="F285" i="1"/>
  <c r="L284"/>
  <c r="C284" i="3" s="1"/>
  <c r="L284" s="1"/>
  <c r="C284" i="5" s="1"/>
  <c r="L284" s="1"/>
  <c r="C286" i="7" s="1"/>
  <c r="L286" s="1"/>
  <c r="C288" i="9" s="1"/>
  <c r="L288" s="1"/>
  <c r="C291" i="11" s="1"/>
  <c r="L291" s="1"/>
  <c r="C293" i="13" s="1"/>
  <c r="L293" s="1"/>
  <c r="C301" i="15" s="1"/>
  <c r="L301" s="1"/>
  <c r="C305" i="17" s="1"/>
  <c r="L305" s="1"/>
  <c r="C309" i="19" s="1"/>
  <c r="L309" s="1"/>
  <c r="C312" i="21" s="1"/>
  <c r="L312" s="1"/>
  <c r="C313" i="23" s="1"/>
  <c r="L313" s="1"/>
  <c r="C313" i="25" s="1"/>
  <c r="L313" s="1"/>
  <c r="K284" i="1"/>
  <c r="L283"/>
  <c r="C283" i="3" s="1"/>
  <c r="L283" s="1"/>
  <c r="C283" i="5" s="1"/>
  <c r="L283" s="1"/>
  <c r="C285" i="7" s="1"/>
  <c r="L285" s="1"/>
  <c r="C287" i="9" s="1"/>
  <c r="L287" s="1"/>
  <c r="C290" i="11" s="1"/>
  <c r="L290" s="1"/>
  <c r="C292" i="13" s="1"/>
  <c r="L292" s="1"/>
  <c r="C300" i="15" s="1"/>
  <c r="L300" s="1"/>
  <c r="C304" i="17" s="1"/>
  <c r="L304" s="1"/>
  <c r="C308" i="19" s="1"/>
  <c r="L308" s="1"/>
  <c r="C311" i="21" s="1"/>
  <c r="L311" s="1"/>
  <c r="C312" i="23" s="1"/>
  <c r="L312" s="1"/>
  <c r="C312" i="25" s="1"/>
  <c r="L312" s="1"/>
  <c r="K283" i="1"/>
  <c r="L282"/>
  <c r="C282" i="3" s="1"/>
  <c r="L282" s="1"/>
  <c r="C282" i="5" s="1"/>
  <c r="L282" s="1"/>
  <c r="C284" i="7" s="1"/>
  <c r="L284" s="1"/>
  <c r="C286" i="9" s="1"/>
  <c r="L286" s="1"/>
  <c r="C289" i="11" s="1"/>
  <c r="L289" s="1"/>
  <c r="C291" i="13" s="1"/>
  <c r="L291" s="1"/>
  <c r="C299" i="15" s="1"/>
  <c r="L299" s="1"/>
  <c r="C303" i="17" s="1"/>
  <c r="L303" s="1"/>
  <c r="C307" i="19" s="1"/>
  <c r="L307" s="1"/>
  <c r="C310" i="21" s="1"/>
  <c r="L310" s="1"/>
  <c r="C311" i="23" s="1"/>
  <c r="L311" s="1"/>
  <c r="C311" i="25" s="1"/>
  <c r="L311" s="1"/>
  <c r="K282" i="1"/>
  <c r="H281"/>
  <c r="F281"/>
  <c r="K281" s="1"/>
  <c r="L281" s="1"/>
  <c r="C281" i="3" s="1"/>
  <c r="L281" s="1"/>
  <c r="C281" i="5" s="1"/>
  <c r="L281" s="1"/>
  <c r="C283" i="7" s="1"/>
  <c r="L283" s="1"/>
  <c r="C285" i="9" s="1"/>
  <c r="L285" s="1"/>
  <c r="C288" i="11" s="1"/>
  <c r="L288" s="1"/>
  <c r="C290" i="13" s="1"/>
  <c r="L290" s="1"/>
  <c r="C298" i="15" s="1"/>
  <c r="L298" s="1"/>
  <c r="C302" i="17" s="1"/>
  <c r="L302" s="1"/>
  <c r="C306" i="19" s="1"/>
  <c r="L306" s="1"/>
  <c r="C309" i="21" s="1"/>
  <c r="L309" s="1"/>
  <c r="C310" i="23" s="1"/>
  <c r="L310" s="1"/>
  <c r="C310" i="25" s="1"/>
  <c r="L310" s="1"/>
  <c r="L280" i="1"/>
  <c r="C280" i="3" s="1"/>
  <c r="L280" s="1"/>
  <c r="C280" i="5" s="1"/>
  <c r="L280" s="1"/>
  <c r="C282" i="7" s="1"/>
  <c r="L282" s="1"/>
  <c r="C284" i="9" s="1"/>
  <c r="L284" s="1"/>
  <c r="C287" i="11" s="1"/>
  <c r="L287" s="1"/>
  <c r="C289" i="13" s="1"/>
  <c r="L289" s="1"/>
  <c r="C297" i="15" s="1"/>
  <c r="L297" s="1"/>
  <c r="C301" i="17" s="1"/>
  <c r="L301" s="1"/>
  <c r="C305" i="19" s="1"/>
  <c r="L305" s="1"/>
  <c r="C308" i="21" s="1"/>
  <c r="L308" s="1"/>
  <c r="C309" i="23" s="1"/>
  <c r="L309" s="1"/>
  <c r="C309" i="25" s="1"/>
  <c r="L309" s="1"/>
  <c r="K280" i="1"/>
  <c r="L279"/>
  <c r="C279" i="3" s="1"/>
  <c r="L279" s="1"/>
  <c r="C279" i="5" s="1"/>
  <c r="L279" s="1"/>
  <c r="C281" i="7" s="1"/>
  <c r="L281" s="1"/>
  <c r="C283" i="9" s="1"/>
  <c r="L283" s="1"/>
  <c r="C286" i="11" s="1"/>
  <c r="L286" s="1"/>
  <c r="C288" i="13" s="1"/>
  <c r="L288" s="1"/>
  <c r="C296" i="15" s="1"/>
  <c r="L296" s="1"/>
  <c r="C300" i="17" s="1"/>
  <c r="L300" s="1"/>
  <c r="C304" i="19" s="1"/>
  <c r="L304" s="1"/>
  <c r="C307" i="21" s="1"/>
  <c r="L307" s="1"/>
  <c r="C308" i="23" s="1"/>
  <c r="L308" s="1"/>
  <c r="C308" i="25" s="1"/>
  <c r="L308" s="1"/>
  <c r="K279" i="1"/>
  <c r="L278"/>
  <c r="C278" i="3" s="1"/>
  <c r="L278" s="1"/>
  <c r="C278" i="5" s="1"/>
  <c r="L278" s="1"/>
  <c r="C280" i="7" s="1"/>
  <c r="L280" s="1"/>
  <c r="C282" i="9" s="1"/>
  <c r="L282" s="1"/>
  <c r="C285" i="11" s="1"/>
  <c r="L285" s="1"/>
  <c r="C287" i="13" s="1"/>
  <c r="L287" s="1"/>
  <c r="C295" i="15" s="1"/>
  <c r="L295" s="1"/>
  <c r="C299" i="17" s="1"/>
  <c r="L299" s="1"/>
  <c r="C303" i="19" s="1"/>
  <c r="L303" s="1"/>
  <c r="C306" i="21" s="1"/>
  <c r="L306" s="1"/>
  <c r="C307" i="23" s="1"/>
  <c r="L307" s="1"/>
  <c r="C307" i="25" s="1"/>
  <c r="L307" s="1"/>
  <c r="K278" i="1"/>
  <c r="F277"/>
  <c r="K277" s="1"/>
  <c r="L277" s="1"/>
  <c r="C277" i="3" s="1"/>
  <c r="L277" s="1"/>
  <c r="C277" i="5" s="1"/>
  <c r="L277" s="1"/>
  <c r="C279" i="7" s="1"/>
  <c r="L279" s="1"/>
  <c r="C281" i="9" s="1"/>
  <c r="L281" s="1"/>
  <c r="C284" i="11" s="1"/>
  <c r="L284" s="1"/>
  <c r="C286" i="13" s="1"/>
  <c r="L286" s="1"/>
  <c r="C294" i="15" s="1"/>
  <c r="L294" s="1"/>
  <c r="C298" i="17" s="1"/>
  <c r="L298" s="1"/>
  <c r="C302" i="19" s="1"/>
  <c r="L302" s="1"/>
  <c r="C305" i="21" s="1"/>
  <c r="L305" s="1"/>
  <c r="C306" i="23" s="1"/>
  <c r="L306" s="1"/>
  <c r="C306" i="25" s="1"/>
  <c r="L306" s="1"/>
  <c r="K276" i="1"/>
  <c r="L276" s="1"/>
  <c r="C276" i="3" s="1"/>
  <c r="L276" s="1"/>
  <c r="C276" i="5" s="1"/>
  <c r="L276" s="1"/>
  <c r="C278" i="7" s="1"/>
  <c r="L278" s="1"/>
  <c r="C280" i="9" s="1"/>
  <c r="L280" s="1"/>
  <c r="C283" i="11" s="1"/>
  <c r="L283" s="1"/>
  <c r="C285" i="13" s="1"/>
  <c r="L285" s="1"/>
  <c r="C293" i="15" s="1"/>
  <c r="L293" s="1"/>
  <c r="C297" i="17" s="1"/>
  <c r="L297" s="1"/>
  <c r="C301" i="19" s="1"/>
  <c r="L301" s="1"/>
  <c r="C304" i="21" s="1"/>
  <c r="L304" s="1"/>
  <c r="C305" i="23" s="1"/>
  <c r="L305" s="1"/>
  <c r="C305" i="25" s="1"/>
  <c r="L305" s="1"/>
  <c r="F276" i="1"/>
  <c r="L275"/>
  <c r="C275" i="3" s="1"/>
  <c r="L275" s="1"/>
  <c r="C275" i="5" s="1"/>
  <c r="L275" s="1"/>
  <c r="C277" i="7" s="1"/>
  <c r="L277" s="1"/>
  <c r="C279" i="9" s="1"/>
  <c r="L279" s="1"/>
  <c r="C282" i="11" s="1"/>
  <c r="L282" s="1"/>
  <c r="C284" i="13" s="1"/>
  <c r="L284" s="1"/>
  <c r="C292" i="15" s="1"/>
  <c r="L292" s="1"/>
  <c r="C296" i="17" s="1"/>
  <c r="L296" s="1"/>
  <c r="C300" i="19" s="1"/>
  <c r="L300" s="1"/>
  <c r="C303" i="21" s="1"/>
  <c r="L303" s="1"/>
  <c r="C304" i="23" s="1"/>
  <c r="L304" s="1"/>
  <c r="C304" i="25" s="1"/>
  <c r="L304" s="1"/>
  <c r="K275" i="1"/>
  <c r="L274"/>
  <c r="C274" i="3" s="1"/>
  <c r="L274" s="1"/>
  <c r="C274" i="5" s="1"/>
  <c r="L274" s="1"/>
  <c r="C276" i="7" s="1"/>
  <c r="L276" s="1"/>
  <c r="C278" i="9" s="1"/>
  <c r="L278" s="1"/>
  <c r="C281" i="11" s="1"/>
  <c r="L281" s="1"/>
  <c r="C283" i="13" s="1"/>
  <c r="L283" s="1"/>
  <c r="C291" i="15" s="1"/>
  <c r="L291" s="1"/>
  <c r="C295" i="17" s="1"/>
  <c r="L295" s="1"/>
  <c r="C299" i="19" s="1"/>
  <c r="L299" s="1"/>
  <c r="C302" i="21" s="1"/>
  <c r="L302" s="1"/>
  <c r="C303" i="23" s="1"/>
  <c r="L303" s="1"/>
  <c r="C303" i="25" s="1"/>
  <c r="L303" s="1"/>
  <c r="K274" i="1"/>
  <c r="L273"/>
  <c r="C273" i="3" s="1"/>
  <c r="L273" s="1"/>
  <c r="C273" i="5" s="1"/>
  <c r="L273" s="1"/>
  <c r="C275" i="7" s="1"/>
  <c r="L275" s="1"/>
  <c r="C277" i="9" s="1"/>
  <c r="L277" s="1"/>
  <c r="C280" i="11" s="1"/>
  <c r="L280" s="1"/>
  <c r="C282" i="13" s="1"/>
  <c r="L282" s="1"/>
  <c r="C290" i="15" s="1"/>
  <c r="L290" s="1"/>
  <c r="C294" i="17" s="1"/>
  <c r="L294" s="1"/>
  <c r="C298" i="19" s="1"/>
  <c r="L298" s="1"/>
  <c r="C301" i="21" s="1"/>
  <c r="L301" s="1"/>
  <c r="C302" i="23" s="1"/>
  <c r="L302" s="1"/>
  <c r="C302" i="25" s="1"/>
  <c r="L302" s="1"/>
  <c r="K273" i="1"/>
  <c r="F272"/>
  <c r="K272" s="1"/>
  <c r="L272" s="1"/>
  <c r="C272" i="3" s="1"/>
  <c r="L272" s="1"/>
  <c r="C272" i="5" s="1"/>
  <c r="L272" s="1"/>
  <c r="C274" i="7" s="1"/>
  <c r="L274" s="1"/>
  <c r="C276" i="9" s="1"/>
  <c r="L276" s="1"/>
  <c r="C279" i="11" s="1"/>
  <c r="L279" s="1"/>
  <c r="C281" i="13" s="1"/>
  <c r="L281" s="1"/>
  <c r="C289" i="15" s="1"/>
  <c r="L289" s="1"/>
  <c r="C293" i="17" s="1"/>
  <c r="L293" s="1"/>
  <c r="C297" i="19" s="1"/>
  <c r="L297" s="1"/>
  <c r="C300" i="21" s="1"/>
  <c r="L300" s="1"/>
  <c r="C301" i="23" s="1"/>
  <c r="L301" s="1"/>
  <c r="C301" i="25" s="1"/>
  <c r="L301" s="1"/>
  <c r="K271" i="1"/>
  <c r="L271" s="1"/>
  <c r="C271" i="3" s="1"/>
  <c r="L271" s="1"/>
  <c r="C271" i="5" s="1"/>
  <c r="L271" s="1"/>
  <c r="C273" i="7" s="1"/>
  <c r="L273" s="1"/>
  <c r="C275" i="9" s="1"/>
  <c r="L275" s="1"/>
  <c r="C278" i="11" s="1"/>
  <c r="L278" s="1"/>
  <c r="C280" i="13" s="1"/>
  <c r="L280" s="1"/>
  <c r="C288" i="15" s="1"/>
  <c r="L288" s="1"/>
  <c r="C292" i="17" s="1"/>
  <c r="L292" s="1"/>
  <c r="C296" i="19" s="1"/>
  <c r="L296" s="1"/>
  <c r="C299" i="21" s="1"/>
  <c r="L299" s="1"/>
  <c r="C300" i="23" s="1"/>
  <c r="L300" s="1"/>
  <c r="C300" i="25" s="1"/>
  <c r="L300" s="1"/>
  <c r="K270" i="1"/>
  <c r="L270" s="1"/>
  <c r="C270" i="3" s="1"/>
  <c r="L270" s="1"/>
  <c r="C270" i="5" s="1"/>
  <c r="L270" s="1"/>
  <c r="C272" i="7" s="1"/>
  <c r="L272" s="1"/>
  <c r="C274" i="9" s="1"/>
  <c r="L274" s="1"/>
  <c r="C277" i="11" s="1"/>
  <c r="L277" s="1"/>
  <c r="C279" i="13" s="1"/>
  <c r="L279" s="1"/>
  <c r="C287" i="15" s="1"/>
  <c r="L287" s="1"/>
  <c r="C291" i="17" s="1"/>
  <c r="L291" s="1"/>
  <c r="C295" i="19" s="1"/>
  <c r="L295" s="1"/>
  <c r="C298" i="21" s="1"/>
  <c r="L298" s="1"/>
  <c r="C299" i="23" s="1"/>
  <c r="L299" s="1"/>
  <c r="C299" i="25" s="1"/>
  <c r="L299" s="1"/>
  <c r="K269" i="1"/>
  <c r="L269" s="1"/>
  <c r="C269" i="3" s="1"/>
  <c r="L269" s="1"/>
  <c r="C269" i="5" s="1"/>
  <c r="L269" s="1"/>
  <c r="C271" i="7" s="1"/>
  <c r="L271" s="1"/>
  <c r="C273" i="9" s="1"/>
  <c r="L273" s="1"/>
  <c r="C276" i="11" s="1"/>
  <c r="L276" s="1"/>
  <c r="C278" i="13" s="1"/>
  <c r="L278" s="1"/>
  <c r="C286" i="15" s="1"/>
  <c r="L286" s="1"/>
  <c r="C290" i="17" s="1"/>
  <c r="L290" s="1"/>
  <c r="C294" i="19" s="1"/>
  <c r="L294" s="1"/>
  <c r="C297" i="21" s="1"/>
  <c r="L297" s="1"/>
  <c r="C298" i="23" s="1"/>
  <c r="L298" s="1"/>
  <c r="C298" i="25" s="1"/>
  <c r="L298" s="1"/>
  <c r="K268" i="1"/>
  <c r="L268" s="1"/>
  <c r="C268" i="3" s="1"/>
  <c r="L268" s="1"/>
  <c r="C268" i="5" s="1"/>
  <c r="L268" s="1"/>
  <c r="C270" i="7" s="1"/>
  <c r="L270" s="1"/>
  <c r="C272" i="9" s="1"/>
  <c r="L272" s="1"/>
  <c r="C275" i="11" s="1"/>
  <c r="L275" s="1"/>
  <c r="C277" i="13" s="1"/>
  <c r="L277" s="1"/>
  <c r="C285" i="15" s="1"/>
  <c r="L285" s="1"/>
  <c r="C289" i="17" s="1"/>
  <c r="L289" s="1"/>
  <c r="C293" i="19" s="1"/>
  <c r="L293" s="1"/>
  <c r="C296" i="21" s="1"/>
  <c r="L296" s="1"/>
  <c r="C297" i="23" s="1"/>
  <c r="L297" s="1"/>
  <c r="C297" i="25" s="1"/>
  <c r="L297" s="1"/>
  <c r="K267" i="1"/>
  <c r="L267" s="1"/>
  <c r="C267" i="3" s="1"/>
  <c r="L267" s="1"/>
  <c r="C267" i="5" s="1"/>
  <c r="L267" s="1"/>
  <c r="C269" i="7" s="1"/>
  <c r="L269" s="1"/>
  <c r="C271" i="9" s="1"/>
  <c r="L271" s="1"/>
  <c r="C273" i="11" s="1"/>
  <c r="L273" s="1"/>
  <c r="C275" i="13" s="1"/>
  <c r="L275" s="1"/>
  <c r="C283" i="15" s="1"/>
  <c r="L283" s="1"/>
  <c r="C287" i="17" s="1"/>
  <c r="L287" s="1"/>
  <c r="C291" i="19" s="1"/>
  <c r="L291" s="1"/>
  <c r="C293" i="21" s="1"/>
  <c r="L293" s="1"/>
  <c r="C294" i="23" s="1"/>
  <c r="L294" s="1"/>
  <c r="C294" i="25" s="1"/>
  <c r="L294" s="1"/>
  <c r="K266" i="1"/>
  <c r="L266" s="1"/>
  <c r="C266" i="3" s="1"/>
  <c r="L266" s="1"/>
  <c r="C266" i="5" s="1"/>
  <c r="L266" s="1"/>
  <c r="C268" i="7" s="1"/>
  <c r="L268" s="1"/>
  <c r="C270" i="9" s="1"/>
  <c r="L270" s="1"/>
  <c r="C272" i="11" s="1"/>
  <c r="L272" s="1"/>
  <c r="C274" i="13" s="1"/>
  <c r="L274" s="1"/>
  <c r="C282" i="15" s="1"/>
  <c r="L282" s="1"/>
  <c r="C286" i="17" s="1"/>
  <c r="L286" s="1"/>
  <c r="C290" i="19" s="1"/>
  <c r="L290" s="1"/>
  <c r="C292" i="21" s="1"/>
  <c r="L292" s="1"/>
  <c r="C293" i="23" s="1"/>
  <c r="L293" s="1"/>
  <c r="C293" i="25" s="1"/>
  <c r="L293" s="1"/>
  <c r="K265" i="1"/>
  <c r="L265" s="1"/>
  <c r="C265" i="3" s="1"/>
  <c r="L265" s="1"/>
  <c r="C265" i="5" s="1"/>
  <c r="L265" s="1"/>
  <c r="C267" i="7" s="1"/>
  <c r="L267" s="1"/>
  <c r="C269" i="9" s="1"/>
  <c r="L269" s="1"/>
  <c r="C271" i="11" s="1"/>
  <c r="L271" s="1"/>
  <c r="C273" i="13" s="1"/>
  <c r="L273" s="1"/>
  <c r="C281" i="15" s="1"/>
  <c r="L281" s="1"/>
  <c r="C285" i="17" s="1"/>
  <c r="L285" s="1"/>
  <c r="C289" i="19" s="1"/>
  <c r="L289" s="1"/>
  <c r="C291" i="21" s="1"/>
  <c r="L291" s="1"/>
  <c r="C292" i="23" s="1"/>
  <c r="L292" s="1"/>
  <c r="C292" i="25" s="1"/>
  <c r="L292" s="1"/>
  <c r="K264" i="1"/>
  <c r="L264" s="1"/>
  <c r="C264" i="3" s="1"/>
  <c r="L264" s="1"/>
  <c r="C264" i="5" s="1"/>
  <c r="L264" s="1"/>
  <c r="C266" i="7" s="1"/>
  <c r="L266" s="1"/>
  <c r="C268" i="9" s="1"/>
  <c r="L268" s="1"/>
  <c r="C270" i="11" s="1"/>
  <c r="L270" s="1"/>
  <c r="C272" i="13" s="1"/>
  <c r="L272" s="1"/>
  <c r="C280" i="15" s="1"/>
  <c r="L280" s="1"/>
  <c r="C284" i="17" s="1"/>
  <c r="L284" s="1"/>
  <c r="C288" i="19" s="1"/>
  <c r="L288" s="1"/>
  <c r="C290" i="21" s="1"/>
  <c r="L290" s="1"/>
  <c r="C291" i="23" s="1"/>
  <c r="L291" s="1"/>
  <c r="C291" i="25" s="1"/>
  <c r="L291" s="1"/>
  <c r="K263" i="1"/>
  <c r="L263" s="1"/>
  <c r="C263" i="3" s="1"/>
  <c r="L263" s="1"/>
  <c r="C263" i="5" s="1"/>
  <c r="L263" s="1"/>
  <c r="C265" i="7" s="1"/>
  <c r="L265" s="1"/>
  <c r="C267" i="9" s="1"/>
  <c r="L267" s="1"/>
  <c r="C269" i="11" s="1"/>
  <c r="L269" s="1"/>
  <c r="C271" i="13" s="1"/>
  <c r="L271" s="1"/>
  <c r="C279" i="15" s="1"/>
  <c r="L279" s="1"/>
  <c r="C283" i="17" s="1"/>
  <c r="L283" s="1"/>
  <c r="C287" i="19" s="1"/>
  <c r="L287" s="1"/>
  <c r="C289" i="21" s="1"/>
  <c r="L289" s="1"/>
  <c r="C290" i="23" s="1"/>
  <c r="L290" s="1"/>
  <c r="C290" i="25" s="1"/>
  <c r="L290" s="1"/>
  <c r="K262" i="1"/>
  <c r="L262" s="1"/>
  <c r="C262" i="3" s="1"/>
  <c r="L262" s="1"/>
  <c r="C262" i="5" s="1"/>
  <c r="L262" s="1"/>
  <c r="C264" i="7" s="1"/>
  <c r="L264" s="1"/>
  <c r="C266" i="9" s="1"/>
  <c r="L266" s="1"/>
  <c r="C268" i="11" s="1"/>
  <c r="L268" s="1"/>
  <c r="C270" i="13" s="1"/>
  <c r="L270" s="1"/>
  <c r="C277" i="15" s="1"/>
  <c r="L277" s="1"/>
  <c r="C281" i="17" s="1"/>
  <c r="L281" s="1"/>
  <c r="C285" i="19" s="1"/>
  <c r="L285" s="1"/>
  <c r="C287" i="21" s="1"/>
  <c r="L287" s="1"/>
  <c r="C288" i="23" s="1"/>
  <c r="L288" s="1"/>
  <c r="C288" i="25" s="1"/>
  <c r="L288" s="1"/>
  <c r="K261" i="1"/>
  <c r="L261" s="1"/>
  <c r="C261" i="3" s="1"/>
  <c r="L261" s="1"/>
  <c r="C261" i="5" s="1"/>
  <c r="L261" s="1"/>
  <c r="C263" i="7" s="1"/>
  <c r="L263" s="1"/>
  <c r="C265" i="9" s="1"/>
  <c r="L265" s="1"/>
  <c r="C267" i="11" s="1"/>
  <c r="L267" s="1"/>
  <c r="C269" i="13" s="1"/>
  <c r="L269" s="1"/>
  <c r="C276" i="15" s="1"/>
  <c r="L276" s="1"/>
  <c r="C280" i="17" s="1"/>
  <c r="L280" s="1"/>
  <c r="C284" i="19" s="1"/>
  <c r="L284" s="1"/>
  <c r="C286" i="21" s="1"/>
  <c r="L286" s="1"/>
  <c r="C287" i="23" s="1"/>
  <c r="L287" s="1"/>
  <c r="C287" i="25" s="1"/>
  <c r="L287" s="1"/>
  <c r="K260" i="1"/>
  <c r="L260" s="1"/>
  <c r="C260" i="3" s="1"/>
  <c r="L260" s="1"/>
  <c r="C260" i="5" s="1"/>
  <c r="L260" s="1"/>
  <c r="C262" i="7" s="1"/>
  <c r="L262" s="1"/>
  <c r="C264" i="9" s="1"/>
  <c r="L264" s="1"/>
  <c r="C266" i="11" s="1"/>
  <c r="L266" s="1"/>
  <c r="C268" i="13" s="1"/>
  <c r="L268" s="1"/>
  <c r="C275" i="15" s="1"/>
  <c r="L275" s="1"/>
  <c r="C279" i="17" s="1"/>
  <c r="L279" s="1"/>
  <c r="C283" i="19" s="1"/>
  <c r="L283" s="1"/>
  <c r="C285" i="21" s="1"/>
  <c r="L285" s="1"/>
  <c r="C286" i="23" s="1"/>
  <c r="L286" s="1"/>
  <c r="C286" i="25" s="1"/>
  <c r="L286" s="1"/>
  <c r="K259" i="1"/>
  <c r="L259" s="1"/>
  <c r="C259" i="3" s="1"/>
  <c r="L259" s="1"/>
  <c r="C259" i="5" s="1"/>
  <c r="L259" s="1"/>
  <c r="C261" i="7" s="1"/>
  <c r="L261" s="1"/>
  <c r="C263" i="9" s="1"/>
  <c r="L263" s="1"/>
  <c r="C265" i="11" s="1"/>
  <c r="L265" s="1"/>
  <c r="C267" i="13" s="1"/>
  <c r="L267" s="1"/>
  <c r="C274" i="15" s="1"/>
  <c r="L274" s="1"/>
  <c r="C278" i="17" s="1"/>
  <c r="L278" s="1"/>
  <c r="C282" i="19" s="1"/>
  <c r="L282" s="1"/>
  <c r="C284" i="21" s="1"/>
  <c r="L284" s="1"/>
  <c r="C285" i="23" s="1"/>
  <c r="L285" s="1"/>
  <c r="C285" i="25" s="1"/>
  <c r="L285" s="1"/>
  <c r="F259" i="1"/>
  <c r="L258"/>
  <c r="C258" i="3" s="1"/>
  <c r="L258" s="1"/>
  <c r="C258" i="5" s="1"/>
  <c r="L258" s="1"/>
  <c r="C260" i="7" s="1"/>
  <c r="L260" s="1"/>
  <c r="C262" i="9" s="1"/>
  <c r="L262" s="1"/>
  <c r="C264" i="11" s="1"/>
  <c r="L264" s="1"/>
  <c r="C266" i="13" s="1"/>
  <c r="L266" s="1"/>
  <c r="C273" i="15" s="1"/>
  <c r="L273" s="1"/>
  <c r="C277" i="17" s="1"/>
  <c r="L277" s="1"/>
  <c r="C281" i="19" s="1"/>
  <c r="L281" s="1"/>
  <c r="C283" i="21" s="1"/>
  <c r="L283" s="1"/>
  <c r="C284" i="23" s="1"/>
  <c r="L284" s="1"/>
  <c r="C284" i="25" s="1"/>
  <c r="L284" s="1"/>
  <c r="K258" i="1"/>
  <c r="L257"/>
  <c r="C257" i="3" s="1"/>
  <c r="L257" s="1"/>
  <c r="C257" i="5" s="1"/>
  <c r="L257" s="1"/>
  <c r="C259" i="7" s="1"/>
  <c r="L259" s="1"/>
  <c r="C261" i="9" s="1"/>
  <c r="L261" s="1"/>
  <c r="C263" i="11" s="1"/>
  <c r="L263" s="1"/>
  <c r="C265" i="13" s="1"/>
  <c r="L265" s="1"/>
  <c r="C272" i="15" s="1"/>
  <c r="L272" s="1"/>
  <c r="C276" i="17" s="1"/>
  <c r="L276" s="1"/>
  <c r="C280" i="19" s="1"/>
  <c r="L280" s="1"/>
  <c r="C282" i="21" s="1"/>
  <c r="L282" s="1"/>
  <c r="C283" i="23" s="1"/>
  <c r="L283" s="1"/>
  <c r="C283" i="25" s="1"/>
  <c r="L283" s="1"/>
  <c r="K257" i="1"/>
  <c r="L256"/>
  <c r="C256" i="3" s="1"/>
  <c r="L256" s="1"/>
  <c r="C256" i="5" s="1"/>
  <c r="L256" s="1"/>
  <c r="C258" i="7" s="1"/>
  <c r="L258" s="1"/>
  <c r="C260" i="9" s="1"/>
  <c r="L260" s="1"/>
  <c r="C262" i="11" s="1"/>
  <c r="L262" s="1"/>
  <c r="C264" i="13" s="1"/>
  <c r="L264" s="1"/>
  <c r="C271" i="15" s="1"/>
  <c r="L271" s="1"/>
  <c r="C275" i="17" s="1"/>
  <c r="L275" s="1"/>
  <c r="C279" i="19" s="1"/>
  <c r="L279" s="1"/>
  <c r="C281" i="21" s="1"/>
  <c r="L281" s="1"/>
  <c r="C282" i="23" s="1"/>
  <c r="L282" s="1"/>
  <c r="C282" i="25" s="1"/>
  <c r="L282" s="1"/>
  <c r="K256" i="1"/>
  <c r="L255"/>
  <c r="C255" i="3" s="1"/>
  <c r="L255" s="1"/>
  <c r="C255" i="5" s="1"/>
  <c r="L255" s="1"/>
  <c r="C257" i="7" s="1"/>
  <c r="L257" s="1"/>
  <c r="C259" i="9" s="1"/>
  <c r="L259" s="1"/>
  <c r="C261" i="11" s="1"/>
  <c r="L261" s="1"/>
  <c r="C263" i="13" s="1"/>
  <c r="L263" s="1"/>
  <c r="C270" i="15" s="1"/>
  <c r="L270" s="1"/>
  <c r="C274" i="17" s="1"/>
  <c r="L274" s="1"/>
  <c r="C278" i="19" s="1"/>
  <c r="L278" s="1"/>
  <c r="C280" i="21" s="1"/>
  <c r="L280" s="1"/>
  <c r="C281" i="23" s="1"/>
  <c r="L281" s="1"/>
  <c r="C281" i="25" s="1"/>
  <c r="L281" s="1"/>
  <c r="K255" i="1"/>
  <c r="L254"/>
  <c r="C254" i="3" s="1"/>
  <c r="L254" s="1"/>
  <c r="C254" i="5" s="1"/>
  <c r="L254" s="1"/>
  <c r="C256" i="7" s="1"/>
  <c r="L256" s="1"/>
  <c r="C258" i="9" s="1"/>
  <c r="L258" s="1"/>
  <c r="C260" i="11" s="1"/>
  <c r="L260" s="1"/>
  <c r="C262" i="13" s="1"/>
  <c r="L262" s="1"/>
  <c r="C269" i="15" s="1"/>
  <c r="L269" s="1"/>
  <c r="C273" i="17" s="1"/>
  <c r="L273" s="1"/>
  <c r="C277" i="19" s="1"/>
  <c r="L277" s="1"/>
  <c r="C279" i="21" s="1"/>
  <c r="L279" s="1"/>
  <c r="C280" i="23" s="1"/>
  <c r="L280" s="1"/>
  <c r="C280" i="25" s="1"/>
  <c r="L280" s="1"/>
  <c r="F254" i="1"/>
  <c r="K254" s="1"/>
  <c r="K253"/>
  <c r="L253" s="1"/>
  <c r="C253" i="3" s="1"/>
  <c r="L253" s="1"/>
  <c r="C253" i="5" s="1"/>
  <c r="L253" s="1"/>
  <c r="C255" i="7" s="1"/>
  <c r="L255" s="1"/>
  <c r="C257" i="9" s="1"/>
  <c r="L257" s="1"/>
  <c r="C259" i="11" s="1"/>
  <c r="L259" s="1"/>
  <c r="C261" i="13" s="1"/>
  <c r="L261" s="1"/>
  <c r="C268" i="15" s="1"/>
  <c r="L268" s="1"/>
  <c r="C272" i="17" s="1"/>
  <c r="L272" s="1"/>
  <c r="C276" i="19" s="1"/>
  <c r="L276" s="1"/>
  <c r="C278" i="21" s="1"/>
  <c r="L278" s="1"/>
  <c r="C279" i="23" s="1"/>
  <c r="L279" s="1"/>
  <c r="C279" i="25" s="1"/>
  <c r="L279" s="1"/>
  <c r="K252" i="1"/>
  <c r="L252" s="1"/>
  <c r="C252" i="3" s="1"/>
  <c r="L252" s="1"/>
  <c r="C252" i="5" s="1"/>
  <c r="L252" s="1"/>
  <c r="C254" i="7" s="1"/>
  <c r="L254" s="1"/>
  <c r="C256" i="9" s="1"/>
  <c r="L256" s="1"/>
  <c r="C258" i="11" s="1"/>
  <c r="L258" s="1"/>
  <c r="C260" i="13" s="1"/>
  <c r="L260" s="1"/>
  <c r="C267" i="15" s="1"/>
  <c r="L267" s="1"/>
  <c r="C271" i="17" s="1"/>
  <c r="L271" s="1"/>
  <c r="C275" i="19" s="1"/>
  <c r="L275" s="1"/>
  <c r="C277" i="21" s="1"/>
  <c r="L277" s="1"/>
  <c r="C278" i="23" s="1"/>
  <c r="L278" s="1"/>
  <c r="C278" i="25" s="1"/>
  <c r="L278" s="1"/>
  <c r="K251" i="1"/>
  <c r="L251" s="1"/>
  <c r="C251" i="3" s="1"/>
  <c r="L251" s="1"/>
  <c r="C251" i="5" s="1"/>
  <c r="L251" s="1"/>
  <c r="C253" i="7" s="1"/>
  <c r="L253" s="1"/>
  <c r="C255" i="9" s="1"/>
  <c r="L255" s="1"/>
  <c r="C257" i="11" s="1"/>
  <c r="L257" s="1"/>
  <c r="C259" i="13" s="1"/>
  <c r="L259" s="1"/>
  <c r="C266" i="15" s="1"/>
  <c r="L266" s="1"/>
  <c r="C270" i="17" s="1"/>
  <c r="L270" s="1"/>
  <c r="C274" i="19" s="1"/>
  <c r="L274" s="1"/>
  <c r="C276" i="21" s="1"/>
  <c r="L276" s="1"/>
  <c r="C277" i="23" s="1"/>
  <c r="L277" s="1"/>
  <c r="C277" i="25" s="1"/>
  <c r="L277" s="1"/>
  <c r="K250" i="1"/>
  <c r="L250" s="1"/>
  <c r="C250" i="3" s="1"/>
  <c r="L250" s="1"/>
  <c r="C250" i="5" s="1"/>
  <c r="L250" s="1"/>
  <c r="C252" i="7" s="1"/>
  <c r="L252" s="1"/>
  <c r="C254" i="9" s="1"/>
  <c r="L254" s="1"/>
  <c r="C256" i="11" s="1"/>
  <c r="L256" s="1"/>
  <c r="C258" i="13" s="1"/>
  <c r="L258" s="1"/>
  <c r="C265" i="15" s="1"/>
  <c r="L265" s="1"/>
  <c r="C269" i="17" s="1"/>
  <c r="L269" s="1"/>
  <c r="C273" i="19" s="1"/>
  <c r="L273" s="1"/>
  <c r="C275" i="21" s="1"/>
  <c r="L275" s="1"/>
  <c r="C276" i="23" s="1"/>
  <c r="L276" s="1"/>
  <c r="C276" i="25" s="1"/>
  <c r="L276" s="1"/>
  <c r="F250" i="1"/>
  <c r="L249"/>
  <c r="C249" i="3" s="1"/>
  <c r="L249" s="1"/>
  <c r="C249" i="5" s="1"/>
  <c r="L249" s="1"/>
  <c r="C251" i="7" s="1"/>
  <c r="L251" s="1"/>
  <c r="C253" i="9" s="1"/>
  <c r="L253" s="1"/>
  <c r="C255" i="11" s="1"/>
  <c r="L255" s="1"/>
  <c r="C257" i="13" s="1"/>
  <c r="L257" s="1"/>
  <c r="C264" i="15" s="1"/>
  <c r="L264" s="1"/>
  <c r="C268" i="17" s="1"/>
  <c r="L268" s="1"/>
  <c r="C272" i="19" s="1"/>
  <c r="L272" s="1"/>
  <c r="C274" i="21" s="1"/>
  <c r="L274" s="1"/>
  <c r="C275" i="23" s="1"/>
  <c r="L275" s="1"/>
  <c r="C275" i="25" s="1"/>
  <c r="L275" s="1"/>
  <c r="K249" i="1"/>
  <c r="L248"/>
  <c r="C248" i="3" s="1"/>
  <c r="L248" s="1"/>
  <c r="C248" i="5" s="1"/>
  <c r="L248" s="1"/>
  <c r="C250" i="7" s="1"/>
  <c r="L250" s="1"/>
  <c r="C252" i="9" s="1"/>
  <c r="L252" s="1"/>
  <c r="C254" i="11" s="1"/>
  <c r="L254" s="1"/>
  <c r="C256" i="13" s="1"/>
  <c r="L256" s="1"/>
  <c r="C263" i="15" s="1"/>
  <c r="L263" s="1"/>
  <c r="C267" i="17" s="1"/>
  <c r="L267" s="1"/>
  <c r="C271" i="19" s="1"/>
  <c r="L271" s="1"/>
  <c r="C273" i="21" s="1"/>
  <c r="L273" s="1"/>
  <c r="C274" i="23" s="1"/>
  <c r="L274" s="1"/>
  <c r="C274" i="25" s="1"/>
  <c r="L274" s="1"/>
  <c r="K248" i="1"/>
  <c r="L247"/>
  <c r="C247" i="3" s="1"/>
  <c r="L247" s="1"/>
  <c r="C247" i="5" s="1"/>
  <c r="L247" s="1"/>
  <c r="C248" i="7" s="1"/>
  <c r="L248" s="1"/>
  <c r="C250" i="9" s="1"/>
  <c r="L250" s="1"/>
  <c r="C252" i="11" s="1"/>
  <c r="L252" s="1"/>
  <c r="C254" i="13" s="1"/>
  <c r="L254" s="1"/>
  <c r="C261" i="15" s="1"/>
  <c r="L261" s="1"/>
  <c r="C265" i="17" s="1"/>
  <c r="L265" s="1"/>
  <c r="C269" i="19" s="1"/>
  <c r="L269" s="1"/>
  <c r="C271" i="21" s="1"/>
  <c r="L271" s="1"/>
  <c r="C272" i="23" s="1"/>
  <c r="L272" s="1"/>
  <c r="C272" i="25" s="1"/>
  <c r="L272" s="1"/>
  <c r="K247" i="1"/>
  <c r="L246"/>
  <c r="C246" i="3" s="1"/>
  <c r="L246" s="1"/>
  <c r="C246" i="5" s="1"/>
  <c r="L246" s="1"/>
  <c r="C247" i="7" s="1"/>
  <c r="L247" s="1"/>
  <c r="C249" i="9" s="1"/>
  <c r="L249" s="1"/>
  <c r="C251" i="11" s="1"/>
  <c r="L251" s="1"/>
  <c r="C253" i="13" s="1"/>
  <c r="L253" s="1"/>
  <c r="C260" i="15" s="1"/>
  <c r="L260" s="1"/>
  <c r="C264" i="17" s="1"/>
  <c r="L264" s="1"/>
  <c r="C268" i="19" s="1"/>
  <c r="L268" s="1"/>
  <c r="C270" i="21" s="1"/>
  <c r="L270" s="1"/>
  <c r="C271" i="23" s="1"/>
  <c r="L271" s="1"/>
  <c r="C271" i="25" s="1"/>
  <c r="L271" s="1"/>
  <c r="K246" i="1"/>
  <c r="L245"/>
  <c r="C245" i="3" s="1"/>
  <c r="L245" s="1"/>
  <c r="C245" i="5" s="1"/>
  <c r="L245" s="1"/>
  <c r="C246" i="7" s="1"/>
  <c r="L246" s="1"/>
  <c r="C248" i="9" s="1"/>
  <c r="L248" s="1"/>
  <c r="C250" i="11" s="1"/>
  <c r="L250" s="1"/>
  <c r="C252" i="13" s="1"/>
  <c r="L252" s="1"/>
  <c r="C259" i="15" s="1"/>
  <c r="L259" s="1"/>
  <c r="C263" i="17" s="1"/>
  <c r="L263" s="1"/>
  <c r="C267" i="19" s="1"/>
  <c r="L267" s="1"/>
  <c r="C269" i="21" s="1"/>
  <c r="L269" s="1"/>
  <c r="C270" i="23" s="1"/>
  <c r="L270" s="1"/>
  <c r="C270" i="25" s="1"/>
  <c r="L270" s="1"/>
  <c r="K245" i="1"/>
  <c r="L244"/>
  <c r="C244" i="3" s="1"/>
  <c r="L244" s="1"/>
  <c r="C244" i="5" s="1"/>
  <c r="L244" s="1"/>
  <c r="C245" i="7" s="1"/>
  <c r="L245" s="1"/>
  <c r="C247" i="9" s="1"/>
  <c r="L247" s="1"/>
  <c r="C249" i="11" s="1"/>
  <c r="L249" s="1"/>
  <c r="C251" i="13" s="1"/>
  <c r="L251" s="1"/>
  <c r="C258" i="15" s="1"/>
  <c r="L258" s="1"/>
  <c r="C262" i="17" s="1"/>
  <c r="L262" s="1"/>
  <c r="C266" i="19" s="1"/>
  <c r="L266" s="1"/>
  <c r="C268" i="21" s="1"/>
  <c r="L268" s="1"/>
  <c r="C269" i="23" s="1"/>
  <c r="L269" s="1"/>
  <c r="C269" i="25" s="1"/>
  <c r="L269" s="1"/>
  <c r="K244" i="1"/>
  <c r="L243"/>
  <c r="C243" i="3" s="1"/>
  <c r="L243" s="1"/>
  <c r="C243" i="5" s="1"/>
  <c r="L243" s="1"/>
  <c r="C244" i="7" s="1"/>
  <c r="L244" s="1"/>
  <c r="C246" i="9" s="1"/>
  <c r="L246" s="1"/>
  <c r="C248" i="11" s="1"/>
  <c r="L248" s="1"/>
  <c r="C250" i="13" s="1"/>
  <c r="L250" s="1"/>
  <c r="C257" i="15" s="1"/>
  <c r="L257" s="1"/>
  <c r="C261" i="17" s="1"/>
  <c r="L261" s="1"/>
  <c r="C265" i="19" s="1"/>
  <c r="L265" s="1"/>
  <c r="C267" i="21" s="1"/>
  <c r="L267" s="1"/>
  <c r="C268" i="23" s="1"/>
  <c r="L268" s="1"/>
  <c r="C268" i="25" s="1"/>
  <c r="L268" s="1"/>
  <c r="K243" i="1"/>
  <c r="L242"/>
  <c r="C242" i="3" s="1"/>
  <c r="L242" s="1"/>
  <c r="C242" i="5" s="1"/>
  <c r="L242" s="1"/>
  <c r="C243" i="7" s="1"/>
  <c r="L243" s="1"/>
  <c r="C245" i="9" s="1"/>
  <c r="L245" s="1"/>
  <c r="C247" i="11" s="1"/>
  <c r="L247" s="1"/>
  <c r="C249" i="13" s="1"/>
  <c r="L249" s="1"/>
  <c r="C256" i="15" s="1"/>
  <c r="L256" s="1"/>
  <c r="C260" i="17" s="1"/>
  <c r="L260" s="1"/>
  <c r="C264" i="19" s="1"/>
  <c r="L264" s="1"/>
  <c r="C266" i="21" s="1"/>
  <c r="L266" s="1"/>
  <c r="C267" i="23" s="1"/>
  <c r="L267" s="1"/>
  <c r="C267" i="25" s="1"/>
  <c r="L267" s="1"/>
  <c r="K242" i="1"/>
  <c r="L241"/>
  <c r="C241" i="3" s="1"/>
  <c r="L241" s="1"/>
  <c r="C241" i="5" s="1"/>
  <c r="L241" s="1"/>
  <c r="C242" i="7" s="1"/>
  <c r="L242" s="1"/>
  <c r="C244" i="9" s="1"/>
  <c r="L244" s="1"/>
  <c r="C246" i="11" s="1"/>
  <c r="L246" s="1"/>
  <c r="C248" i="13" s="1"/>
  <c r="L248" s="1"/>
  <c r="C255" i="15" s="1"/>
  <c r="L255" s="1"/>
  <c r="C259" i="17" s="1"/>
  <c r="L259" s="1"/>
  <c r="C263" i="19" s="1"/>
  <c r="L263" s="1"/>
  <c r="C265" i="21" s="1"/>
  <c r="L265" s="1"/>
  <c r="C266" i="23" s="1"/>
  <c r="L266" s="1"/>
  <c r="C266" i="25" s="1"/>
  <c r="L266" s="1"/>
  <c r="K241" i="1"/>
  <c r="L240"/>
  <c r="C240" i="3" s="1"/>
  <c r="L240" s="1"/>
  <c r="C240" i="5" s="1"/>
  <c r="L240" s="1"/>
  <c r="C241" i="7" s="1"/>
  <c r="L241" s="1"/>
  <c r="C243" i="9" s="1"/>
  <c r="L243" s="1"/>
  <c r="C245" i="11" s="1"/>
  <c r="L245" s="1"/>
  <c r="C247" i="13" s="1"/>
  <c r="L247" s="1"/>
  <c r="C254" i="15" s="1"/>
  <c r="L254" s="1"/>
  <c r="C258" i="17" s="1"/>
  <c r="L258" s="1"/>
  <c r="C262" i="19" s="1"/>
  <c r="L262" s="1"/>
  <c r="C264" i="21" s="1"/>
  <c r="L264" s="1"/>
  <c r="C265" i="23" s="1"/>
  <c r="L265" s="1"/>
  <c r="C265" i="25" s="1"/>
  <c r="L265" s="1"/>
  <c r="K240" i="1"/>
  <c r="L239"/>
  <c r="C239" i="3" s="1"/>
  <c r="L239" s="1"/>
  <c r="C239" i="5" s="1"/>
  <c r="L239" s="1"/>
  <c r="C240" i="7" s="1"/>
  <c r="L240" s="1"/>
  <c r="C242" i="9" s="1"/>
  <c r="L242" s="1"/>
  <c r="C244" i="11" s="1"/>
  <c r="L244" s="1"/>
  <c r="C246" i="13" s="1"/>
  <c r="L246" s="1"/>
  <c r="C253" i="15" s="1"/>
  <c r="L253" s="1"/>
  <c r="C257" i="17" s="1"/>
  <c r="L257" s="1"/>
  <c r="C261" i="19" s="1"/>
  <c r="L261" s="1"/>
  <c r="C263" i="21" s="1"/>
  <c r="L263" s="1"/>
  <c r="C264" i="23" s="1"/>
  <c r="L264" s="1"/>
  <c r="C264" i="25" s="1"/>
  <c r="L264" s="1"/>
  <c r="K239" i="1"/>
  <c r="F238"/>
  <c r="K238" s="1"/>
  <c r="L238" s="1"/>
  <c r="C238" i="3" s="1"/>
  <c r="L238" s="1"/>
  <c r="C238" i="5" s="1"/>
  <c r="L238" s="1"/>
  <c r="C239" i="7" s="1"/>
  <c r="L239" s="1"/>
  <c r="C241" i="9" s="1"/>
  <c r="L241" s="1"/>
  <c r="C243" i="11" s="1"/>
  <c r="L243" s="1"/>
  <c r="C245" i="13" s="1"/>
  <c r="L245" s="1"/>
  <c r="C252" i="15" s="1"/>
  <c r="L252" s="1"/>
  <c r="C256" i="17" s="1"/>
  <c r="L256" s="1"/>
  <c r="C260" i="19" s="1"/>
  <c r="L260" s="1"/>
  <c r="C262" i="21" s="1"/>
  <c r="L262" s="1"/>
  <c r="C263" i="23" s="1"/>
  <c r="L263" s="1"/>
  <c r="C263" i="25" s="1"/>
  <c r="L263" s="1"/>
  <c r="K237" i="1"/>
  <c r="L237" s="1"/>
  <c r="C237" i="3" s="1"/>
  <c r="L237" s="1"/>
  <c r="C237" i="5" s="1"/>
  <c r="L237" s="1"/>
  <c r="C238" i="7" s="1"/>
  <c r="L238" s="1"/>
  <c r="C240" i="9" s="1"/>
  <c r="L240" s="1"/>
  <c r="C242" i="11" s="1"/>
  <c r="L242" s="1"/>
  <c r="C244" i="13" s="1"/>
  <c r="L244" s="1"/>
  <c r="C251" i="15" s="1"/>
  <c r="L251" s="1"/>
  <c r="C255" i="17" s="1"/>
  <c r="L255" s="1"/>
  <c r="C259" i="19" s="1"/>
  <c r="L259" s="1"/>
  <c r="C261" i="21" s="1"/>
  <c r="L261" s="1"/>
  <c r="C262" i="23" s="1"/>
  <c r="L262" s="1"/>
  <c r="C262" i="25" s="1"/>
  <c r="L262" s="1"/>
  <c r="K236" i="1"/>
  <c r="L236" s="1"/>
  <c r="C236" i="3" s="1"/>
  <c r="L236" s="1"/>
  <c r="C236" i="5" s="1"/>
  <c r="L236" s="1"/>
  <c r="C237" i="7" s="1"/>
  <c r="L237" s="1"/>
  <c r="C239" i="9" s="1"/>
  <c r="L239" s="1"/>
  <c r="C241" i="11" s="1"/>
  <c r="L241" s="1"/>
  <c r="C243" i="13" s="1"/>
  <c r="L243" s="1"/>
  <c r="C250" i="15" s="1"/>
  <c r="L250" s="1"/>
  <c r="C254" i="17" s="1"/>
  <c r="L254" s="1"/>
  <c r="C258" i="19" s="1"/>
  <c r="L258" s="1"/>
  <c r="C260" i="21" s="1"/>
  <c r="L260" s="1"/>
  <c r="C261" i="23" s="1"/>
  <c r="L261" s="1"/>
  <c r="C261" i="25" s="1"/>
  <c r="L261" s="1"/>
  <c r="K235" i="1"/>
  <c r="L235" s="1"/>
  <c r="C235" i="3" s="1"/>
  <c r="L235" s="1"/>
  <c r="C235" i="5" s="1"/>
  <c r="L235" s="1"/>
  <c r="C236" i="7" s="1"/>
  <c r="L236" s="1"/>
  <c r="C238" i="9" s="1"/>
  <c r="L238" s="1"/>
  <c r="C240" i="11" s="1"/>
  <c r="L240" s="1"/>
  <c r="C242" i="13" s="1"/>
  <c r="L242" s="1"/>
  <c r="C249" i="15" s="1"/>
  <c r="L249" s="1"/>
  <c r="C253" i="17" s="1"/>
  <c r="L253" s="1"/>
  <c r="C257" i="19" s="1"/>
  <c r="L257" s="1"/>
  <c r="C259" i="21" s="1"/>
  <c r="L259" s="1"/>
  <c r="C260" i="23" s="1"/>
  <c r="L260" s="1"/>
  <c r="C260" i="25" s="1"/>
  <c r="L260" s="1"/>
  <c r="K234" i="1"/>
  <c r="L234" s="1"/>
  <c r="C234" i="3" s="1"/>
  <c r="L234" s="1"/>
  <c r="C234" i="5" s="1"/>
  <c r="L234" s="1"/>
  <c r="C235" i="7" s="1"/>
  <c r="L235" s="1"/>
  <c r="C237" i="9" s="1"/>
  <c r="L237" s="1"/>
  <c r="C239" i="11" s="1"/>
  <c r="L239" s="1"/>
  <c r="C241" i="13" s="1"/>
  <c r="L241" s="1"/>
  <c r="C248" i="15" s="1"/>
  <c r="L248" s="1"/>
  <c r="C252" i="17" s="1"/>
  <c r="L252" s="1"/>
  <c r="C256" i="19" s="1"/>
  <c r="L256" s="1"/>
  <c r="C258" i="21" s="1"/>
  <c r="L258" s="1"/>
  <c r="C259" i="23" s="1"/>
  <c r="L259" s="1"/>
  <c r="C259" i="25" s="1"/>
  <c r="L259" s="1"/>
  <c r="F234" i="1"/>
  <c r="F233"/>
  <c r="K233" s="1"/>
  <c r="L233" s="1"/>
  <c r="C233" i="3" s="1"/>
  <c r="L233" s="1"/>
  <c r="C233" i="5" s="1"/>
  <c r="L233" s="1"/>
  <c r="C234" i="7" s="1"/>
  <c r="L234" s="1"/>
  <c r="C236" i="9" s="1"/>
  <c r="L236" s="1"/>
  <c r="C238" i="11" s="1"/>
  <c r="L238" s="1"/>
  <c r="C240" i="13" s="1"/>
  <c r="L240" s="1"/>
  <c r="C247" i="15" s="1"/>
  <c r="L247" s="1"/>
  <c r="C251" i="17" s="1"/>
  <c r="L251" s="1"/>
  <c r="C255" i="19" s="1"/>
  <c r="L255" s="1"/>
  <c r="C257" i="21" s="1"/>
  <c r="L257" s="1"/>
  <c r="C258" i="23" s="1"/>
  <c r="L258" s="1"/>
  <c r="C258" i="25" s="1"/>
  <c r="L258" s="1"/>
  <c r="K232" i="1"/>
  <c r="L232" s="1"/>
  <c r="C232" i="3" s="1"/>
  <c r="L232" s="1"/>
  <c r="C232" i="5" s="1"/>
  <c r="L232" s="1"/>
  <c r="C233" i="7" s="1"/>
  <c r="L233" s="1"/>
  <c r="C235" i="9" s="1"/>
  <c r="L235" s="1"/>
  <c r="C237" i="11" s="1"/>
  <c r="L237" s="1"/>
  <c r="C239" i="13" s="1"/>
  <c r="L239" s="1"/>
  <c r="C246" i="15" s="1"/>
  <c r="L246" s="1"/>
  <c r="C250" i="17" s="1"/>
  <c r="L250" s="1"/>
  <c r="C254" i="19" s="1"/>
  <c r="L254" s="1"/>
  <c r="C256" i="21" s="1"/>
  <c r="L256" s="1"/>
  <c r="C257" i="23" s="1"/>
  <c r="L257" s="1"/>
  <c r="C257" i="25" s="1"/>
  <c r="L257" s="1"/>
  <c r="K231" i="1"/>
  <c r="L231" s="1"/>
  <c r="C231" i="3" s="1"/>
  <c r="L231" s="1"/>
  <c r="C231" i="5" s="1"/>
  <c r="L231" s="1"/>
  <c r="C232" i="7" s="1"/>
  <c r="L232" s="1"/>
  <c r="C234" i="9" s="1"/>
  <c r="L234" s="1"/>
  <c r="C236" i="11" s="1"/>
  <c r="L236" s="1"/>
  <c r="C238" i="13" s="1"/>
  <c r="L238" s="1"/>
  <c r="C245" i="15" s="1"/>
  <c r="L245" s="1"/>
  <c r="C249" i="17" s="1"/>
  <c r="L249" s="1"/>
  <c r="C253" i="19" s="1"/>
  <c r="L253" s="1"/>
  <c r="C255" i="21" s="1"/>
  <c r="L255" s="1"/>
  <c r="C256" i="23" s="1"/>
  <c r="L256" s="1"/>
  <c r="C256" i="25" s="1"/>
  <c r="L256" s="1"/>
  <c r="K230" i="1"/>
  <c r="L230" s="1"/>
  <c r="C230" i="3" s="1"/>
  <c r="L230" s="1"/>
  <c r="C230" i="5" s="1"/>
  <c r="L230" s="1"/>
  <c r="C231" i="7" s="1"/>
  <c r="L231" s="1"/>
  <c r="C233" i="9" s="1"/>
  <c r="L233" s="1"/>
  <c r="C235" i="11" s="1"/>
  <c r="L235" s="1"/>
  <c r="C237" i="13" s="1"/>
  <c r="L237" s="1"/>
  <c r="C244" i="15" s="1"/>
  <c r="L244" s="1"/>
  <c r="C248" i="17" s="1"/>
  <c r="L248" s="1"/>
  <c r="C252" i="19" s="1"/>
  <c r="L252" s="1"/>
  <c r="C253" i="21" s="1"/>
  <c r="L253" s="1"/>
  <c r="C254" i="23" s="1"/>
  <c r="L254" s="1"/>
  <c r="C254" i="25" s="1"/>
  <c r="L254" s="1"/>
  <c r="F230" i="1"/>
  <c r="L229"/>
  <c r="C229" i="3" s="1"/>
  <c r="L229" s="1"/>
  <c r="C229" i="5" s="1"/>
  <c r="L229" s="1"/>
  <c r="C230" i="7" s="1"/>
  <c r="L230" s="1"/>
  <c r="C232" i="9" s="1"/>
  <c r="L232" s="1"/>
  <c r="C234" i="11" s="1"/>
  <c r="L234" s="1"/>
  <c r="C236" i="13" s="1"/>
  <c r="L236" s="1"/>
  <c r="C243" i="15" s="1"/>
  <c r="L243" s="1"/>
  <c r="C247" i="17" s="1"/>
  <c r="L247" s="1"/>
  <c r="C251" i="19" s="1"/>
  <c r="L251" s="1"/>
  <c r="C252" i="21" s="1"/>
  <c r="L252" s="1"/>
  <c r="C253" i="23" s="1"/>
  <c r="L253" s="1"/>
  <c r="C253" i="25" s="1"/>
  <c r="L253" s="1"/>
  <c r="K229" i="1"/>
  <c r="L228"/>
  <c r="C228" i="3" s="1"/>
  <c r="L228" s="1"/>
  <c r="C228" i="5" s="1"/>
  <c r="L228" s="1"/>
  <c r="C229" i="7" s="1"/>
  <c r="L229" s="1"/>
  <c r="C231" i="9" s="1"/>
  <c r="L231" s="1"/>
  <c r="C233" i="11" s="1"/>
  <c r="L233" s="1"/>
  <c r="C235" i="13" s="1"/>
  <c r="L235" s="1"/>
  <c r="C242" i="15" s="1"/>
  <c r="L242" s="1"/>
  <c r="C246" i="17" s="1"/>
  <c r="L246" s="1"/>
  <c r="C249" i="19" s="1"/>
  <c r="L249" s="1"/>
  <c r="C249" i="21" s="1"/>
  <c r="L249" s="1"/>
  <c r="C250" i="23" s="1"/>
  <c r="L250" s="1"/>
  <c r="C250" i="25" s="1"/>
  <c r="L250" s="1"/>
  <c r="K228" i="1"/>
  <c r="F227"/>
  <c r="K227" s="1"/>
  <c r="L227" s="1"/>
  <c r="C227" i="3" s="1"/>
  <c r="L227" s="1"/>
  <c r="C227" i="5" s="1"/>
  <c r="L227" s="1"/>
  <c r="C228" i="7" s="1"/>
  <c r="L228" s="1"/>
  <c r="C230" i="9" s="1"/>
  <c r="L230" s="1"/>
  <c r="C232" i="11" s="1"/>
  <c r="L232" s="1"/>
  <c r="C234" i="13" s="1"/>
  <c r="L234" s="1"/>
  <c r="C241" i="15" s="1"/>
  <c r="L241" s="1"/>
  <c r="C245" i="17" s="1"/>
  <c r="L245" s="1"/>
  <c r="C248" i="19" s="1"/>
  <c r="L248" s="1"/>
  <c r="C247" i="21" s="1"/>
  <c r="L247" s="1"/>
  <c r="C248" i="23" s="1"/>
  <c r="L248" s="1"/>
  <c r="C248" i="25" s="1"/>
  <c r="L248" s="1"/>
  <c r="K226" i="1"/>
  <c r="L226" s="1"/>
  <c r="C226" i="3" s="1"/>
  <c r="L226" s="1"/>
  <c r="C226" i="5" s="1"/>
  <c r="L226" s="1"/>
  <c r="C227" i="7" s="1"/>
  <c r="L227" s="1"/>
  <c r="C229" i="9" s="1"/>
  <c r="L229" s="1"/>
  <c r="C231" i="11" s="1"/>
  <c r="L231" s="1"/>
  <c r="C233" i="13" s="1"/>
  <c r="L233" s="1"/>
  <c r="C240" i="15" s="1"/>
  <c r="L240" s="1"/>
  <c r="C244" i="17" s="1"/>
  <c r="L244" s="1"/>
  <c r="C247" i="19" s="1"/>
  <c r="L247" s="1"/>
  <c r="C246" i="21" s="1"/>
  <c r="L246" s="1"/>
  <c r="C247" i="23" s="1"/>
  <c r="L247" s="1"/>
  <c r="C247" i="25" s="1"/>
  <c r="L247" s="1"/>
  <c r="K225" i="1"/>
  <c r="L225" s="1"/>
  <c r="C225" i="3" s="1"/>
  <c r="L225" s="1"/>
  <c r="C225" i="5" s="1"/>
  <c r="L225" s="1"/>
  <c r="C226" i="7" s="1"/>
  <c r="L226" s="1"/>
  <c r="C228" i="9" s="1"/>
  <c r="L228" s="1"/>
  <c r="C230" i="11" s="1"/>
  <c r="L230" s="1"/>
  <c r="C232" i="13" s="1"/>
  <c r="L232" s="1"/>
  <c r="C239" i="15" s="1"/>
  <c r="L239" s="1"/>
  <c r="C243" i="17" s="1"/>
  <c r="L243" s="1"/>
  <c r="C246" i="19" s="1"/>
  <c r="L246" s="1"/>
  <c r="C245" i="21" s="1"/>
  <c r="L245" s="1"/>
  <c r="C246" i="23" s="1"/>
  <c r="L246" s="1"/>
  <c r="C246" i="25" s="1"/>
  <c r="L246" s="1"/>
  <c r="K224" i="1"/>
  <c r="L224" s="1"/>
  <c r="C224" i="3" s="1"/>
  <c r="L224" s="1"/>
  <c r="C224" i="5" s="1"/>
  <c r="L224" s="1"/>
  <c r="C225" i="7" s="1"/>
  <c r="L225" s="1"/>
  <c r="C227" i="9" s="1"/>
  <c r="L227" s="1"/>
  <c r="C229" i="11" s="1"/>
  <c r="L229" s="1"/>
  <c r="C231" i="13" s="1"/>
  <c r="L231" s="1"/>
  <c r="C238" i="15" s="1"/>
  <c r="L238" s="1"/>
  <c r="C242" i="17" s="1"/>
  <c r="L242" s="1"/>
  <c r="C245" i="19" s="1"/>
  <c r="L245" s="1"/>
  <c r="C244" i="21" s="1"/>
  <c r="L244" s="1"/>
  <c r="C245" i="23" s="1"/>
  <c r="L245" s="1"/>
  <c r="C245" i="25" s="1"/>
  <c r="L245" s="1"/>
  <c r="K223" i="1"/>
  <c r="L223" s="1"/>
  <c r="C223" i="3" s="1"/>
  <c r="L223" s="1"/>
  <c r="C223" i="5" s="1"/>
  <c r="L223" s="1"/>
  <c r="C224" i="7" s="1"/>
  <c r="L224" s="1"/>
  <c r="C226" i="9" s="1"/>
  <c r="L226" s="1"/>
  <c r="C228" i="11" s="1"/>
  <c r="L228" s="1"/>
  <c r="C230" i="13" s="1"/>
  <c r="L230" s="1"/>
  <c r="C237" i="15" s="1"/>
  <c r="L237" s="1"/>
  <c r="C241" i="17" s="1"/>
  <c r="L241" s="1"/>
  <c r="C244" i="19" s="1"/>
  <c r="L244" s="1"/>
  <c r="C243" i="21" s="1"/>
  <c r="L243" s="1"/>
  <c r="C244" i="23" s="1"/>
  <c r="L244" s="1"/>
  <c r="C244" i="25" s="1"/>
  <c r="L244" s="1"/>
  <c r="K222" i="1"/>
  <c r="L222" s="1"/>
  <c r="C222" i="3" s="1"/>
  <c r="L222" s="1"/>
  <c r="C222" i="5" s="1"/>
  <c r="L222" s="1"/>
  <c r="C223" i="7" s="1"/>
  <c r="L223" s="1"/>
  <c r="C225" i="9" s="1"/>
  <c r="L225" s="1"/>
  <c r="C227" i="11" s="1"/>
  <c r="L227" s="1"/>
  <c r="C229" i="13" s="1"/>
  <c r="L229" s="1"/>
  <c r="C236" i="15" s="1"/>
  <c r="L236" s="1"/>
  <c r="C240" i="17" s="1"/>
  <c r="L240" s="1"/>
  <c r="C243" i="19" s="1"/>
  <c r="L243" s="1"/>
  <c r="C242" i="21" s="1"/>
  <c r="L242" s="1"/>
  <c r="C243" i="23" s="1"/>
  <c r="L243" s="1"/>
  <c r="C243" i="25" s="1"/>
  <c r="L243" s="1"/>
  <c r="H221" i="1"/>
  <c r="F221"/>
  <c r="K221" s="1"/>
  <c r="L221" s="1"/>
  <c r="C221" i="3" s="1"/>
  <c r="L221" s="1"/>
  <c r="C221" i="5" s="1"/>
  <c r="L221" s="1"/>
  <c r="C222" i="7" s="1"/>
  <c r="L222" s="1"/>
  <c r="C224" i="9" s="1"/>
  <c r="L224" s="1"/>
  <c r="C226" i="11" s="1"/>
  <c r="L226" s="1"/>
  <c r="C228" i="13" s="1"/>
  <c r="L228" s="1"/>
  <c r="C235" i="15" s="1"/>
  <c r="L235" s="1"/>
  <c r="C239" i="17" s="1"/>
  <c r="L239" s="1"/>
  <c r="C242" i="19" s="1"/>
  <c r="L242" s="1"/>
  <c r="C241" i="21" s="1"/>
  <c r="L241" s="1"/>
  <c r="C242" i="23" s="1"/>
  <c r="L242" s="1"/>
  <c r="C242" i="25" s="1"/>
  <c r="L242" s="1"/>
  <c r="H220" i="1"/>
  <c r="F220"/>
  <c r="K220" s="1"/>
  <c r="L220" s="1"/>
  <c r="C220" i="3" s="1"/>
  <c r="L220" s="1"/>
  <c r="C220" i="5" s="1"/>
  <c r="L220" s="1"/>
  <c r="C221" i="7" s="1"/>
  <c r="L221" s="1"/>
  <c r="C223" i="9" s="1"/>
  <c r="L223" s="1"/>
  <c r="C225" i="11" s="1"/>
  <c r="L225" s="1"/>
  <c r="C227" i="13" s="1"/>
  <c r="L227" s="1"/>
  <c r="C234" i="15" s="1"/>
  <c r="L234" s="1"/>
  <c r="C238" i="17" s="1"/>
  <c r="L238" s="1"/>
  <c r="C241" i="19" s="1"/>
  <c r="L241" s="1"/>
  <c r="C240" i="21" s="1"/>
  <c r="L240" s="1"/>
  <c r="C241" i="23" s="1"/>
  <c r="L241" s="1"/>
  <c r="C241" i="25" s="1"/>
  <c r="L241" s="1"/>
  <c r="K219" i="1"/>
  <c r="L219" s="1"/>
  <c r="C219" i="3" s="1"/>
  <c r="L219" s="1"/>
  <c r="C219" i="5" s="1"/>
  <c r="L219" s="1"/>
  <c r="C220" i="7" s="1"/>
  <c r="L220" s="1"/>
  <c r="C222" i="9" s="1"/>
  <c r="L222" s="1"/>
  <c r="C224" i="11" s="1"/>
  <c r="L224" s="1"/>
  <c r="C226" i="13" s="1"/>
  <c r="L226" s="1"/>
  <c r="C233" i="15" s="1"/>
  <c r="L233" s="1"/>
  <c r="C237" i="17" s="1"/>
  <c r="L237" s="1"/>
  <c r="C240" i="19" s="1"/>
  <c r="L240" s="1"/>
  <c r="C239" i="21" s="1"/>
  <c r="L239" s="1"/>
  <c r="C240" i="23" s="1"/>
  <c r="L240" s="1"/>
  <c r="C240" i="25" s="1"/>
  <c r="L240" s="1"/>
  <c r="K218" i="1"/>
  <c r="L218" s="1"/>
  <c r="C218" i="3" s="1"/>
  <c r="L218" s="1"/>
  <c r="C218" i="5" s="1"/>
  <c r="L218" s="1"/>
  <c r="C219" i="7" s="1"/>
  <c r="L219" s="1"/>
  <c r="C221" i="9" s="1"/>
  <c r="L221" s="1"/>
  <c r="C223" i="11" s="1"/>
  <c r="L223" s="1"/>
  <c r="C225" i="13" s="1"/>
  <c r="L225" s="1"/>
  <c r="C232" i="15" s="1"/>
  <c r="L232" s="1"/>
  <c r="C236" i="17" s="1"/>
  <c r="L236" s="1"/>
  <c r="C239" i="19" s="1"/>
  <c r="L239" s="1"/>
  <c r="C238" i="21" s="1"/>
  <c r="L238" s="1"/>
  <c r="C239" i="23" s="1"/>
  <c r="L239" s="1"/>
  <c r="C239" i="25" s="1"/>
  <c r="L239" s="1"/>
  <c r="F218" i="1"/>
  <c r="L217"/>
  <c r="C217" i="3" s="1"/>
  <c r="L217" s="1"/>
  <c r="C217" i="5" s="1"/>
  <c r="L217" s="1"/>
  <c r="C218" i="7" s="1"/>
  <c r="L218" s="1"/>
  <c r="C220" i="9" s="1"/>
  <c r="L220" s="1"/>
  <c r="C222" i="11" s="1"/>
  <c r="L222" s="1"/>
  <c r="C224" i="13" s="1"/>
  <c r="L224" s="1"/>
  <c r="C230" i="15" s="1"/>
  <c r="L230" s="1"/>
  <c r="C234" i="17" s="1"/>
  <c r="L234" s="1"/>
  <c r="C237" i="19" s="1"/>
  <c r="L237" s="1"/>
  <c r="C236" i="21" s="1"/>
  <c r="L236" s="1"/>
  <c r="C237" i="23" s="1"/>
  <c r="L237" s="1"/>
  <c r="C237" i="25" s="1"/>
  <c r="L237" s="1"/>
  <c r="K217" i="1"/>
  <c r="L216"/>
  <c r="C216" i="3" s="1"/>
  <c r="L216" s="1"/>
  <c r="C216" i="5" s="1"/>
  <c r="L216" s="1"/>
  <c r="C217" i="7" s="1"/>
  <c r="L217" s="1"/>
  <c r="C219" i="9" s="1"/>
  <c r="L219" s="1"/>
  <c r="C221" i="11" s="1"/>
  <c r="L221" s="1"/>
  <c r="C223" i="13" s="1"/>
  <c r="L223" s="1"/>
  <c r="C229" i="15" s="1"/>
  <c r="L229" s="1"/>
  <c r="C233" i="17" s="1"/>
  <c r="L233" s="1"/>
  <c r="C236" i="19" s="1"/>
  <c r="L236" s="1"/>
  <c r="C235" i="21" s="1"/>
  <c r="L235" s="1"/>
  <c r="C236" i="23" s="1"/>
  <c r="L236" s="1"/>
  <c r="C236" i="25" s="1"/>
  <c r="L236" s="1"/>
  <c r="K216" i="1"/>
  <c r="L215"/>
  <c r="C215" i="3" s="1"/>
  <c r="L215" s="1"/>
  <c r="C215" i="5" s="1"/>
  <c r="L215" s="1"/>
  <c r="C216" i="7" s="1"/>
  <c r="L216" s="1"/>
  <c r="C218" i="9" s="1"/>
  <c r="L218" s="1"/>
  <c r="C220" i="11" s="1"/>
  <c r="L220" s="1"/>
  <c r="C222" i="13" s="1"/>
  <c r="L222" s="1"/>
  <c r="C228" i="15" s="1"/>
  <c r="L228" s="1"/>
  <c r="C231" i="17" s="1"/>
  <c r="L231" s="1"/>
  <c r="C234" i="19" s="1"/>
  <c r="L234" s="1"/>
  <c r="C233" i="21" s="1"/>
  <c r="L233" s="1"/>
  <c r="C234" i="23" s="1"/>
  <c r="L234" s="1"/>
  <c r="C234" i="25" s="1"/>
  <c r="L234" s="1"/>
  <c r="K215" i="1"/>
  <c r="L214"/>
  <c r="C214" i="3" s="1"/>
  <c r="L214" s="1"/>
  <c r="C214" i="5" s="1"/>
  <c r="L214" s="1"/>
  <c r="C215" i="7" s="1"/>
  <c r="L215" s="1"/>
  <c r="C217" i="9" s="1"/>
  <c r="L217" s="1"/>
  <c r="C219" i="11" s="1"/>
  <c r="L219" s="1"/>
  <c r="C221" i="13" s="1"/>
  <c r="L221" s="1"/>
  <c r="C227" i="15" s="1"/>
  <c r="L227" s="1"/>
  <c r="C230" i="17" s="1"/>
  <c r="L230" s="1"/>
  <c r="C233" i="19" s="1"/>
  <c r="L233" s="1"/>
  <c r="C232" i="21" s="1"/>
  <c r="L232" s="1"/>
  <c r="C233" i="23" s="1"/>
  <c r="L233" s="1"/>
  <c r="C233" i="25" s="1"/>
  <c r="L233" s="1"/>
  <c r="K214" i="1"/>
  <c r="L213"/>
  <c r="C213" i="3" s="1"/>
  <c r="L213" s="1"/>
  <c r="C213" i="5" s="1"/>
  <c r="L213" s="1"/>
  <c r="C214" i="7" s="1"/>
  <c r="L214" s="1"/>
  <c r="C216" i="9" s="1"/>
  <c r="L216" s="1"/>
  <c r="C218" i="11" s="1"/>
  <c r="L218" s="1"/>
  <c r="C220" i="13" s="1"/>
  <c r="L220" s="1"/>
  <c r="C226" i="15" s="1"/>
  <c r="L226" s="1"/>
  <c r="C229" i="17" s="1"/>
  <c r="L229" s="1"/>
  <c r="C232" i="19" s="1"/>
  <c r="L232" s="1"/>
  <c r="C231" i="21" s="1"/>
  <c r="L231" s="1"/>
  <c r="C232" i="23" s="1"/>
  <c r="L232" s="1"/>
  <c r="C232" i="25" s="1"/>
  <c r="L232" s="1"/>
  <c r="K213" i="1"/>
  <c r="L212"/>
  <c r="C212" i="3" s="1"/>
  <c r="L212" s="1"/>
  <c r="C212" i="5" s="1"/>
  <c r="L212" s="1"/>
  <c r="C213" i="7" s="1"/>
  <c r="L213" s="1"/>
  <c r="C215" i="9" s="1"/>
  <c r="L215" s="1"/>
  <c r="C217" i="11" s="1"/>
  <c r="L217" s="1"/>
  <c r="C219" i="13" s="1"/>
  <c r="L219" s="1"/>
  <c r="C225" i="15" s="1"/>
  <c r="L225" s="1"/>
  <c r="C228" i="17" s="1"/>
  <c r="L228" s="1"/>
  <c r="C231" i="19" s="1"/>
  <c r="L231" s="1"/>
  <c r="C230" i="21" s="1"/>
  <c r="L230" s="1"/>
  <c r="C231" i="23" s="1"/>
  <c r="L231" s="1"/>
  <c r="C231" i="25" s="1"/>
  <c r="L231" s="1"/>
  <c r="K212" i="1"/>
  <c r="L211"/>
  <c r="C211" i="3" s="1"/>
  <c r="L211" s="1"/>
  <c r="C211" i="5" s="1"/>
  <c r="L211" s="1"/>
  <c r="C212" i="7" s="1"/>
  <c r="L212" s="1"/>
  <c r="C214" i="9" s="1"/>
  <c r="L214" s="1"/>
  <c r="C216" i="11" s="1"/>
  <c r="L216" s="1"/>
  <c r="C218" i="13" s="1"/>
  <c r="L218" s="1"/>
  <c r="C224" i="15" s="1"/>
  <c r="L224" s="1"/>
  <c r="C227" i="17" s="1"/>
  <c r="L227" s="1"/>
  <c r="C230" i="19" s="1"/>
  <c r="L230" s="1"/>
  <c r="C229" i="21" s="1"/>
  <c r="L229" s="1"/>
  <c r="C230" i="23" s="1"/>
  <c r="L230" s="1"/>
  <c r="C230" i="25" s="1"/>
  <c r="L230" s="1"/>
  <c r="K211" i="1"/>
  <c r="L210"/>
  <c r="C210" i="3" s="1"/>
  <c r="L210" s="1"/>
  <c r="C210" i="5" s="1"/>
  <c r="L210" s="1"/>
  <c r="C211" i="7" s="1"/>
  <c r="L211" s="1"/>
  <c r="C213" i="9" s="1"/>
  <c r="L213" s="1"/>
  <c r="C215" i="11" s="1"/>
  <c r="L215" s="1"/>
  <c r="C217" i="13" s="1"/>
  <c r="L217" s="1"/>
  <c r="C223" i="15" s="1"/>
  <c r="L223" s="1"/>
  <c r="C226" i="17" s="1"/>
  <c r="L226" s="1"/>
  <c r="C229" i="19" s="1"/>
  <c r="L229" s="1"/>
  <c r="C228" i="21" s="1"/>
  <c r="L228" s="1"/>
  <c r="C229" i="23" s="1"/>
  <c r="L229" s="1"/>
  <c r="C229" i="25" s="1"/>
  <c r="L229" s="1"/>
  <c r="K210" i="1"/>
  <c r="L209"/>
  <c r="C209" i="3" s="1"/>
  <c r="L209" s="1"/>
  <c r="C209" i="5" s="1"/>
  <c r="L209" s="1"/>
  <c r="C210" i="7" s="1"/>
  <c r="L210" s="1"/>
  <c r="C212" i="9" s="1"/>
  <c r="L212" s="1"/>
  <c r="C214" i="11" s="1"/>
  <c r="L214" s="1"/>
  <c r="C216" i="13" s="1"/>
  <c r="L216" s="1"/>
  <c r="C222" i="15" s="1"/>
  <c r="L222" s="1"/>
  <c r="C225" i="17" s="1"/>
  <c r="L225" s="1"/>
  <c r="C228" i="19" s="1"/>
  <c r="L228" s="1"/>
  <c r="C227" i="21" s="1"/>
  <c r="L227" s="1"/>
  <c r="C228" i="23" s="1"/>
  <c r="L228" s="1"/>
  <c r="C228" i="25" s="1"/>
  <c r="L228" s="1"/>
  <c r="K209" i="1"/>
  <c r="L208"/>
  <c r="C208" i="3" s="1"/>
  <c r="L208" s="1"/>
  <c r="C208" i="5" s="1"/>
  <c r="L208" s="1"/>
  <c r="C209" i="7" s="1"/>
  <c r="L209" s="1"/>
  <c r="C211" i="9" s="1"/>
  <c r="L211" s="1"/>
  <c r="C213" i="11" s="1"/>
  <c r="L213" s="1"/>
  <c r="C215" i="13" s="1"/>
  <c r="L215" s="1"/>
  <c r="C221" i="15" s="1"/>
  <c r="L221" s="1"/>
  <c r="C224" i="17" s="1"/>
  <c r="L224" s="1"/>
  <c r="C227" i="19" s="1"/>
  <c r="L227" s="1"/>
  <c r="C226" i="21" s="1"/>
  <c r="L226" s="1"/>
  <c r="C227" i="23" s="1"/>
  <c r="L227" s="1"/>
  <c r="C227" i="25" s="1"/>
  <c r="L227" s="1"/>
  <c r="K208" i="1"/>
  <c r="L207"/>
  <c r="C207" i="3" s="1"/>
  <c r="L207" s="1"/>
  <c r="C207" i="5" s="1"/>
  <c r="L207" s="1"/>
  <c r="C208" i="7" s="1"/>
  <c r="L208" s="1"/>
  <c r="C210" i="9" s="1"/>
  <c r="L210" s="1"/>
  <c r="C212" i="11" s="1"/>
  <c r="L212" s="1"/>
  <c r="C214" i="13" s="1"/>
  <c r="L214" s="1"/>
  <c r="C220" i="15" s="1"/>
  <c r="L220" s="1"/>
  <c r="C223" i="17" s="1"/>
  <c r="L223" s="1"/>
  <c r="C226" i="19" s="1"/>
  <c r="L226" s="1"/>
  <c r="C225" i="21" s="1"/>
  <c r="L225" s="1"/>
  <c r="C226" i="23" s="1"/>
  <c r="L226" s="1"/>
  <c r="C226" i="25" s="1"/>
  <c r="L226" s="1"/>
  <c r="K207" i="1"/>
  <c r="L206"/>
  <c r="C206" i="3" s="1"/>
  <c r="L206" s="1"/>
  <c r="C206" i="5" s="1"/>
  <c r="L206" s="1"/>
  <c r="C207" i="7" s="1"/>
  <c r="L207" s="1"/>
  <c r="C209" i="9" s="1"/>
  <c r="L209" s="1"/>
  <c r="C211" i="11" s="1"/>
  <c r="L211" s="1"/>
  <c r="C213" i="13" s="1"/>
  <c r="L213" s="1"/>
  <c r="C219" i="15" s="1"/>
  <c r="L219" s="1"/>
  <c r="C222" i="17" s="1"/>
  <c r="L222" s="1"/>
  <c r="C225" i="19" s="1"/>
  <c r="L225" s="1"/>
  <c r="C224" i="21" s="1"/>
  <c r="L224" s="1"/>
  <c r="C225" i="23" s="1"/>
  <c r="L225" s="1"/>
  <c r="C225" i="25" s="1"/>
  <c r="L225" s="1"/>
  <c r="K206" i="1"/>
  <c r="L205"/>
  <c r="C205" i="3" s="1"/>
  <c r="L205" s="1"/>
  <c r="C205" i="5" s="1"/>
  <c r="L205" s="1"/>
  <c r="C206" i="7" s="1"/>
  <c r="L206" s="1"/>
  <c r="C208" i="9" s="1"/>
  <c r="L208" s="1"/>
  <c r="C210" i="11" s="1"/>
  <c r="L210" s="1"/>
  <c r="C211" i="13" s="1"/>
  <c r="L211" s="1"/>
  <c r="C217" i="15" s="1"/>
  <c r="L217" s="1"/>
  <c r="C220" i="17" s="1"/>
  <c r="L220" s="1"/>
  <c r="C223" i="19" s="1"/>
  <c r="L223" s="1"/>
  <c r="C222" i="21" s="1"/>
  <c r="L222" s="1"/>
  <c r="C223" i="23" s="1"/>
  <c r="L223" s="1"/>
  <c r="C223" i="25" s="1"/>
  <c r="L223" s="1"/>
  <c r="K205" i="1"/>
  <c r="L204"/>
  <c r="C204" i="3" s="1"/>
  <c r="L204" s="1"/>
  <c r="C204" i="5" s="1"/>
  <c r="L204" s="1"/>
  <c r="C205" i="7" s="1"/>
  <c r="L205" s="1"/>
  <c r="C207" i="9" s="1"/>
  <c r="L207" s="1"/>
  <c r="C209" i="11" s="1"/>
  <c r="L209" s="1"/>
  <c r="C210" i="13" s="1"/>
  <c r="L210" s="1"/>
  <c r="C216" i="15" s="1"/>
  <c r="L216" s="1"/>
  <c r="C219" i="17" s="1"/>
  <c r="L219" s="1"/>
  <c r="C222" i="19" s="1"/>
  <c r="L222" s="1"/>
  <c r="C221" i="21" s="1"/>
  <c r="L221" s="1"/>
  <c r="C222" i="23" s="1"/>
  <c r="L222" s="1"/>
  <c r="C222" i="25" s="1"/>
  <c r="L222" s="1"/>
  <c r="K204" i="1"/>
  <c r="L203"/>
  <c r="C203" i="3" s="1"/>
  <c r="L203" s="1"/>
  <c r="C203" i="5" s="1"/>
  <c r="L203" s="1"/>
  <c r="C204" i="7" s="1"/>
  <c r="L204" s="1"/>
  <c r="C206" i="9" s="1"/>
  <c r="L206" s="1"/>
  <c r="C208" i="11" s="1"/>
  <c r="L208" s="1"/>
  <c r="C209" i="13" s="1"/>
  <c r="L209" s="1"/>
  <c r="C215" i="15" s="1"/>
  <c r="L215" s="1"/>
  <c r="C218" i="17" s="1"/>
  <c r="L218" s="1"/>
  <c r="C221" i="19" s="1"/>
  <c r="L221" s="1"/>
  <c r="C220" i="21" s="1"/>
  <c r="L220" s="1"/>
  <c r="C221" i="23" s="1"/>
  <c r="L221" s="1"/>
  <c r="C221" i="25" s="1"/>
  <c r="L221" s="1"/>
  <c r="K203" i="1"/>
  <c r="F202"/>
  <c r="K202" s="1"/>
  <c r="L202" s="1"/>
  <c r="C202" i="3" s="1"/>
  <c r="L202" s="1"/>
  <c r="C202" i="5" s="1"/>
  <c r="L202" s="1"/>
  <c r="C203" i="7" s="1"/>
  <c r="L203" s="1"/>
  <c r="C203" i="9" s="1"/>
  <c r="L203" s="1"/>
  <c r="C205" i="11" s="1"/>
  <c r="L205" s="1"/>
  <c r="C206" i="13" s="1"/>
  <c r="L206" s="1"/>
  <c r="C212" i="15" s="1"/>
  <c r="L212" s="1"/>
  <c r="C215" i="17" s="1"/>
  <c r="L215" s="1"/>
  <c r="C218" i="19" s="1"/>
  <c r="L218" s="1"/>
  <c r="C217" i="21" s="1"/>
  <c r="L217" s="1"/>
  <c r="C218" i="23" s="1"/>
  <c r="L218" s="1"/>
  <c r="C218" i="25" s="1"/>
  <c r="L218" s="1"/>
  <c r="K201" i="1"/>
  <c r="L201" s="1"/>
  <c r="C201" i="3" s="1"/>
  <c r="L201" s="1"/>
  <c r="C201" i="5" s="1"/>
  <c r="L201" s="1"/>
  <c r="C202" i="7" s="1"/>
  <c r="L202" s="1"/>
  <c r="C202" i="9" s="1"/>
  <c r="L202" s="1"/>
  <c r="C204" i="11" s="1"/>
  <c r="L204" s="1"/>
  <c r="C205" i="13" s="1"/>
  <c r="L205" s="1"/>
  <c r="C211" i="15" s="1"/>
  <c r="L211" s="1"/>
  <c r="C214" i="17" s="1"/>
  <c r="L214" s="1"/>
  <c r="C217" i="19" s="1"/>
  <c r="L217" s="1"/>
  <c r="C216" i="21" s="1"/>
  <c r="L216" s="1"/>
  <c r="C217" i="23" s="1"/>
  <c r="L217" s="1"/>
  <c r="C217" i="25" s="1"/>
  <c r="L217" s="1"/>
  <c r="K200" i="1"/>
  <c r="L200" s="1"/>
  <c r="C200" i="3" s="1"/>
  <c r="L200" s="1"/>
  <c r="C200" i="5" s="1"/>
  <c r="L200" s="1"/>
  <c r="C201" i="7" s="1"/>
  <c r="L201" s="1"/>
  <c r="C201" i="9" s="1"/>
  <c r="L201" s="1"/>
  <c r="C203" i="11" s="1"/>
  <c r="L203" s="1"/>
  <c r="C204" i="13" s="1"/>
  <c r="L204" s="1"/>
  <c r="C210" i="15" s="1"/>
  <c r="L210" s="1"/>
  <c r="C213" i="17" s="1"/>
  <c r="L213" s="1"/>
  <c r="C216" i="19" s="1"/>
  <c r="L216" s="1"/>
  <c r="C215" i="21" s="1"/>
  <c r="L215" s="1"/>
  <c r="C216" i="23" s="1"/>
  <c r="L216" s="1"/>
  <c r="C216" i="25" s="1"/>
  <c r="L216" s="1"/>
  <c r="K199" i="1"/>
  <c r="L199" s="1"/>
  <c r="C199" i="3" s="1"/>
  <c r="L199" s="1"/>
  <c r="C199" i="5" s="1"/>
  <c r="L199" s="1"/>
  <c r="C200" i="7" s="1"/>
  <c r="L200" s="1"/>
  <c r="C200" i="9" s="1"/>
  <c r="L200" s="1"/>
  <c r="C202" i="11" s="1"/>
  <c r="L202" s="1"/>
  <c r="C203" i="13" s="1"/>
  <c r="L203" s="1"/>
  <c r="C209" i="15" s="1"/>
  <c r="L209" s="1"/>
  <c r="C212" i="17" s="1"/>
  <c r="L212" s="1"/>
  <c r="C215" i="19" s="1"/>
  <c r="L215" s="1"/>
  <c r="C214" i="21" s="1"/>
  <c r="L214" s="1"/>
  <c r="C215" i="23" s="1"/>
  <c r="L215" s="1"/>
  <c r="C215" i="25" s="1"/>
  <c r="L215" s="1"/>
  <c r="K198" i="1"/>
  <c r="L198" s="1"/>
  <c r="C198" i="3" s="1"/>
  <c r="L198" s="1"/>
  <c r="C198" i="5" s="1"/>
  <c r="L198" s="1"/>
  <c r="C199" i="7" s="1"/>
  <c r="L199" s="1"/>
  <c r="C199" i="9" s="1"/>
  <c r="L199" s="1"/>
  <c r="C201" i="11" s="1"/>
  <c r="L201" s="1"/>
  <c r="C202" i="13" s="1"/>
  <c r="L202" s="1"/>
  <c r="C208" i="15" s="1"/>
  <c r="L208" s="1"/>
  <c r="C211" i="17" s="1"/>
  <c r="L211" s="1"/>
  <c r="C214" i="19" s="1"/>
  <c r="L214" s="1"/>
  <c r="C213" i="21" s="1"/>
  <c r="L213" s="1"/>
  <c r="C214" i="23" s="1"/>
  <c r="L214" s="1"/>
  <c r="C214" i="25" s="1"/>
  <c r="L214" s="1"/>
  <c r="K197" i="1"/>
  <c r="L197" s="1"/>
  <c r="C197" i="3" s="1"/>
  <c r="L197" s="1"/>
  <c r="C197" i="5" s="1"/>
  <c r="L197" s="1"/>
  <c r="C198" i="7" s="1"/>
  <c r="L198" s="1"/>
  <c r="C198" i="9" s="1"/>
  <c r="L198" s="1"/>
  <c r="C200" i="11" s="1"/>
  <c r="L200" s="1"/>
  <c r="C201" i="13" s="1"/>
  <c r="L201" s="1"/>
  <c r="C207" i="15" s="1"/>
  <c r="L207" s="1"/>
  <c r="C210" i="17" s="1"/>
  <c r="L210" s="1"/>
  <c r="C213" i="19" s="1"/>
  <c r="L213" s="1"/>
  <c r="C212" i="21" s="1"/>
  <c r="L212" s="1"/>
  <c r="C213" i="23" s="1"/>
  <c r="L213" s="1"/>
  <c r="C213" i="25" s="1"/>
  <c r="L213" s="1"/>
  <c r="K196" i="1"/>
  <c r="L196" s="1"/>
  <c r="C196" i="3" s="1"/>
  <c r="L196" s="1"/>
  <c r="C196" i="5" s="1"/>
  <c r="L196" s="1"/>
  <c r="C197" i="7" s="1"/>
  <c r="L197" s="1"/>
  <c r="C197" i="9" s="1"/>
  <c r="L197" s="1"/>
  <c r="C199" i="11" s="1"/>
  <c r="L199" s="1"/>
  <c r="C200" i="13" s="1"/>
  <c r="L200" s="1"/>
  <c r="C206" i="15" s="1"/>
  <c r="L206" s="1"/>
  <c r="C209" i="17" s="1"/>
  <c r="L209" s="1"/>
  <c r="C212" i="19" s="1"/>
  <c r="L212" s="1"/>
  <c r="C211" i="21" s="1"/>
  <c r="L211" s="1"/>
  <c r="C212" i="23" s="1"/>
  <c r="L212" s="1"/>
  <c r="C212" i="25" s="1"/>
  <c r="L212" s="1"/>
  <c r="K195" i="1"/>
  <c r="L195" s="1"/>
  <c r="C195" i="3" s="1"/>
  <c r="L195" s="1"/>
  <c r="C195" i="5" s="1"/>
  <c r="L195" s="1"/>
  <c r="C196" i="7" s="1"/>
  <c r="L196" s="1"/>
  <c r="C196" i="9" s="1"/>
  <c r="L196" s="1"/>
  <c r="C198" i="11" s="1"/>
  <c r="L198" s="1"/>
  <c r="C199" i="13" s="1"/>
  <c r="L199" s="1"/>
  <c r="C205" i="15" s="1"/>
  <c r="L205" s="1"/>
  <c r="C208" i="17" s="1"/>
  <c r="L208" s="1"/>
  <c r="C211" i="19" s="1"/>
  <c r="L211" s="1"/>
  <c r="C210" i="21" s="1"/>
  <c r="L210" s="1"/>
  <c r="C211" i="23" s="1"/>
  <c r="L211" s="1"/>
  <c r="C211" i="25" s="1"/>
  <c r="L211" s="1"/>
  <c r="K194" i="1"/>
  <c r="L194" s="1"/>
  <c r="C194" i="3" s="1"/>
  <c r="L194" s="1"/>
  <c r="C194" i="5" s="1"/>
  <c r="L194" s="1"/>
  <c r="C195" i="7" s="1"/>
  <c r="L195" s="1"/>
  <c r="C195" i="9" s="1"/>
  <c r="L195" s="1"/>
  <c r="C197" i="11" s="1"/>
  <c r="L197" s="1"/>
  <c r="C198" i="13" s="1"/>
  <c r="L198" s="1"/>
  <c r="C204" i="15" s="1"/>
  <c r="L204" s="1"/>
  <c r="C207" i="17" s="1"/>
  <c r="L207" s="1"/>
  <c r="C210" i="19" s="1"/>
  <c r="L210" s="1"/>
  <c r="C209" i="21" s="1"/>
  <c r="L209" s="1"/>
  <c r="C210" i="23" s="1"/>
  <c r="L210" s="1"/>
  <c r="C210" i="25" s="1"/>
  <c r="L210" s="1"/>
  <c r="K193" i="1"/>
  <c r="L193" s="1"/>
  <c r="C193" i="3" s="1"/>
  <c r="L193" s="1"/>
  <c r="C193" i="5" s="1"/>
  <c r="L193" s="1"/>
  <c r="C194" i="7" s="1"/>
  <c r="L194" s="1"/>
  <c r="C194" i="9" s="1"/>
  <c r="L194" s="1"/>
  <c r="C196" i="11" s="1"/>
  <c r="L196" s="1"/>
  <c r="C197" i="13" s="1"/>
  <c r="L197" s="1"/>
  <c r="C203" i="15" s="1"/>
  <c r="L203" s="1"/>
  <c r="C206" i="17" s="1"/>
  <c r="L206" s="1"/>
  <c r="C209" i="19" s="1"/>
  <c r="L209" s="1"/>
  <c r="C208" i="21" s="1"/>
  <c r="L208" s="1"/>
  <c r="C209" i="23" s="1"/>
  <c r="L209" s="1"/>
  <c r="C209" i="25" s="1"/>
  <c r="L209" s="1"/>
  <c r="F193" i="1"/>
  <c r="F192"/>
  <c r="K192" s="1"/>
  <c r="L192" s="1"/>
  <c r="C192" i="3" s="1"/>
  <c r="L192" s="1"/>
  <c r="C192" i="5" s="1"/>
  <c r="L192" s="1"/>
  <c r="C193" i="7" s="1"/>
  <c r="L193" s="1"/>
  <c r="C193" i="9" s="1"/>
  <c r="L193" s="1"/>
  <c r="C195" i="11" s="1"/>
  <c r="L195" s="1"/>
  <c r="C196" i="13" s="1"/>
  <c r="L196" s="1"/>
  <c r="C202" i="15" s="1"/>
  <c r="L202" s="1"/>
  <c r="C205" i="17" s="1"/>
  <c r="L205" s="1"/>
  <c r="C208" i="19" s="1"/>
  <c r="L208" s="1"/>
  <c r="C207" i="21" s="1"/>
  <c r="L207" s="1"/>
  <c r="C208" i="23" s="1"/>
  <c r="L208" s="1"/>
  <c r="C208" i="25" s="1"/>
  <c r="L208" s="1"/>
  <c r="K191" i="1"/>
  <c r="L191" s="1"/>
  <c r="C191" i="3" s="1"/>
  <c r="L191" s="1"/>
  <c r="C191" i="5" s="1"/>
  <c r="L191" s="1"/>
  <c r="C192" i="7" s="1"/>
  <c r="L192" s="1"/>
  <c r="C192" i="9" s="1"/>
  <c r="L192" s="1"/>
  <c r="C194" i="11" s="1"/>
  <c r="L194" s="1"/>
  <c r="C195" i="13" s="1"/>
  <c r="L195" s="1"/>
  <c r="C201" i="15" s="1"/>
  <c r="L201" s="1"/>
  <c r="C204" i="17" s="1"/>
  <c r="L204" s="1"/>
  <c r="C207" i="19" s="1"/>
  <c r="L207" s="1"/>
  <c r="C206" i="21" s="1"/>
  <c r="L206" s="1"/>
  <c r="C207" i="23" s="1"/>
  <c r="L207" s="1"/>
  <c r="C207" i="25" s="1"/>
  <c r="L207" s="1"/>
  <c r="K190" i="1"/>
  <c r="L190" s="1"/>
  <c r="C190" i="3" s="1"/>
  <c r="L190" s="1"/>
  <c r="C190" i="5" s="1"/>
  <c r="L190" s="1"/>
  <c r="C191" i="7" s="1"/>
  <c r="L191" s="1"/>
  <c r="C191" i="9" s="1"/>
  <c r="L191" s="1"/>
  <c r="C193" i="11" s="1"/>
  <c r="L193" s="1"/>
  <c r="C194" i="13" s="1"/>
  <c r="L194" s="1"/>
  <c r="C200" i="15" s="1"/>
  <c r="L200" s="1"/>
  <c r="C203" i="17" s="1"/>
  <c r="L203" s="1"/>
  <c r="C206" i="19" s="1"/>
  <c r="L206" s="1"/>
  <c r="C205" i="21" s="1"/>
  <c r="L205" s="1"/>
  <c r="C206" i="23" s="1"/>
  <c r="L206" s="1"/>
  <c r="C206" i="25" s="1"/>
  <c r="L206" s="1"/>
  <c r="K189" i="1"/>
  <c r="L189" s="1"/>
  <c r="C189" i="3" s="1"/>
  <c r="L189" s="1"/>
  <c r="C189" i="5" s="1"/>
  <c r="L189" s="1"/>
  <c r="C190" i="7" s="1"/>
  <c r="L190" s="1"/>
  <c r="C190" i="9" s="1"/>
  <c r="L190" s="1"/>
  <c r="C192" i="11" s="1"/>
  <c r="L192" s="1"/>
  <c r="C193" i="13" s="1"/>
  <c r="L193" s="1"/>
  <c r="C199" i="15" s="1"/>
  <c r="L199" s="1"/>
  <c r="C202" i="17" s="1"/>
  <c r="L202" s="1"/>
  <c r="C205" i="19" s="1"/>
  <c r="L205" s="1"/>
  <c r="C204" i="21" s="1"/>
  <c r="L204" s="1"/>
  <c r="C205" i="23" s="1"/>
  <c r="L205" s="1"/>
  <c r="C205" i="25" s="1"/>
  <c r="L205" s="1"/>
  <c r="K188" i="1"/>
  <c r="L188" s="1"/>
  <c r="C188" i="3" s="1"/>
  <c r="L188" s="1"/>
  <c r="C188" i="5" s="1"/>
  <c r="L188" s="1"/>
  <c r="C189" i="7" s="1"/>
  <c r="L189" s="1"/>
  <c r="C189" i="9" s="1"/>
  <c r="L189" s="1"/>
  <c r="C191" i="11" s="1"/>
  <c r="L191" s="1"/>
  <c r="C192" i="13" s="1"/>
  <c r="L192" s="1"/>
  <c r="C198" i="15" s="1"/>
  <c r="L198" s="1"/>
  <c r="C201" i="17" s="1"/>
  <c r="L201" s="1"/>
  <c r="C204" i="19" s="1"/>
  <c r="L204" s="1"/>
  <c r="C203" i="21" s="1"/>
  <c r="L203" s="1"/>
  <c r="C204" i="23" s="1"/>
  <c r="L204" s="1"/>
  <c r="C204" i="25" s="1"/>
  <c r="L204" s="1"/>
  <c r="K187" i="1"/>
  <c r="L187" s="1"/>
  <c r="C187" i="3" s="1"/>
  <c r="L187" s="1"/>
  <c r="C187" i="5" s="1"/>
  <c r="L187" s="1"/>
  <c r="C188" i="7" s="1"/>
  <c r="L188" s="1"/>
  <c r="C188" i="9" s="1"/>
  <c r="L188" s="1"/>
  <c r="C190" i="11" s="1"/>
  <c r="L190" s="1"/>
  <c r="C191" i="13" s="1"/>
  <c r="L191" s="1"/>
  <c r="C197" i="15" s="1"/>
  <c r="L197" s="1"/>
  <c r="C200" i="17" s="1"/>
  <c r="L200" s="1"/>
  <c r="C201" i="19" s="1"/>
  <c r="L201" s="1"/>
  <c r="C200" i="21" s="1"/>
  <c r="L200" s="1"/>
  <c r="C201" i="23" s="1"/>
  <c r="L201" s="1"/>
  <c r="C201" i="25" s="1"/>
  <c r="L201" s="1"/>
  <c r="K186" i="1"/>
  <c r="L186" s="1"/>
  <c r="C186" i="3" s="1"/>
  <c r="L186" s="1"/>
  <c r="C186" i="5" s="1"/>
  <c r="L186" s="1"/>
  <c r="C187" i="7" s="1"/>
  <c r="L187" s="1"/>
  <c r="C187" i="9" s="1"/>
  <c r="L187" s="1"/>
  <c r="C189" i="11" s="1"/>
  <c r="L189" s="1"/>
  <c r="C190" i="13" s="1"/>
  <c r="L190" s="1"/>
  <c r="C196" i="15" s="1"/>
  <c r="L196" s="1"/>
  <c r="C199" i="17" s="1"/>
  <c r="L199" s="1"/>
  <c r="C200" i="19" s="1"/>
  <c r="L200" s="1"/>
  <c r="C199" i="21" s="1"/>
  <c r="L199" s="1"/>
  <c r="C200" i="23" s="1"/>
  <c r="L200" s="1"/>
  <c r="C200" i="25" s="1"/>
  <c r="L200" s="1"/>
  <c r="K185" i="1"/>
  <c r="L185" s="1"/>
  <c r="C185" i="3" s="1"/>
  <c r="L185" s="1"/>
  <c r="C185" i="5" s="1"/>
  <c r="L185" s="1"/>
  <c r="C185" i="7" s="1"/>
  <c r="L185" s="1"/>
  <c r="C185" i="9" s="1"/>
  <c r="L185" s="1"/>
  <c r="C187" i="11" s="1"/>
  <c r="L187" s="1"/>
  <c r="C188" i="13" s="1"/>
  <c r="L188" s="1"/>
  <c r="C194" i="15" s="1"/>
  <c r="L194" s="1"/>
  <c r="C197" i="17" s="1"/>
  <c r="L197" s="1"/>
  <c r="C198" i="19" s="1"/>
  <c r="L198" s="1"/>
  <c r="C197" i="21" s="1"/>
  <c r="L197" s="1"/>
  <c r="C198" i="23" s="1"/>
  <c r="L198" s="1"/>
  <c r="C198" i="25" s="1"/>
  <c r="L198" s="1"/>
  <c r="F185" i="1"/>
  <c r="L184"/>
  <c r="C184" i="3" s="1"/>
  <c r="L184" s="1"/>
  <c r="C184" i="5" s="1"/>
  <c r="L184" s="1"/>
  <c r="C184" i="7" s="1"/>
  <c r="L184" s="1"/>
  <c r="C184" i="9" s="1"/>
  <c r="L184" s="1"/>
  <c r="C186" i="11" s="1"/>
  <c r="L186" s="1"/>
  <c r="C187" i="13" s="1"/>
  <c r="L187" s="1"/>
  <c r="C193" i="15" s="1"/>
  <c r="L193" s="1"/>
  <c r="C196" i="17" s="1"/>
  <c r="L196" s="1"/>
  <c r="C197" i="19" s="1"/>
  <c r="L197" s="1"/>
  <c r="C196" i="21" s="1"/>
  <c r="L196" s="1"/>
  <c r="C197" i="23" s="1"/>
  <c r="L197" s="1"/>
  <c r="C197" i="25" s="1"/>
  <c r="L197" s="1"/>
  <c r="K184" i="1"/>
  <c r="L183"/>
  <c r="C183" i="3" s="1"/>
  <c r="L183" s="1"/>
  <c r="C183" i="5" s="1"/>
  <c r="L183" s="1"/>
  <c r="C183" i="7" s="1"/>
  <c r="L183" s="1"/>
  <c r="C183" i="9" s="1"/>
  <c r="L183" s="1"/>
  <c r="C185" i="11" s="1"/>
  <c r="L185" s="1"/>
  <c r="C186" i="13" s="1"/>
  <c r="L186" s="1"/>
  <c r="C192" i="15" s="1"/>
  <c r="L192" s="1"/>
  <c r="C195" i="17" s="1"/>
  <c r="L195" s="1"/>
  <c r="C196" i="19" s="1"/>
  <c r="L196" s="1"/>
  <c r="C195" i="21" s="1"/>
  <c r="L195" s="1"/>
  <c r="C196" i="23" s="1"/>
  <c r="L196" s="1"/>
  <c r="C196" i="25" s="1"/>
  <c r="L196" s="1"/>
  <c r="K183" i="1"/>
  <c r="L182"/>
  <c r="C182" i="3" s="1"/>
  <c r="L182" s="1"/>
  <c r="C182" i="5" s="1"/>
  <c r="L182" s="1"/>
  <c r="C182" i="7" s="1"/>
  <c r="L182" s="1"/>
  <c r="C182" i="9" s="1"/>
  <c r="L182" s="1"/>
  <c r="C184" i="11" s="1"/>
  <c r="L184" s="1"/>
  <c r="C185" i="13" s="1"/>
  <c r="L185" s="1"/>
  <c r="C191" i="15" s="1"/>
  <c r="L191" s="1"/>
  <c r="C194" i="17" s="1"/>
  <c r="L194" s="1"/>
  <c r="C195" i="19" s="1"/>
  <c r="L195" s="1"/>
  <c r="C194" i="21" s="1"/>
  <c r="L194" s="1"/>
  <c r="C195" i="23" s="1"/>
  <c r="L195" s="1"/>
  <c r="C195" i="25" s="1"/>
  <c r="L195" s="1"/>
  <c r="K182" i="1"/>
  <c r="L181"/>
  <c r="C181" i="3" s="1"/>
  <c r="L181" s="1"/>
  <c r="C181" i="5" s="1"/>
  <c r="L181" s="1"/>
  <c r="C181" i="7" s="1"/>
  <c r="L181" s="1"/>
  <c r="C181" i="9" s="1"/>
  <c r="L181" s="1"/>
  <c r="C183" i="11" s="1"/>
  <c r="L183" s="1"/>
  <c r="C184" i="13" s="1"/>
  <c r="L184" s="1"/>
  <c r="C190" i="15" s="1"/>
  <c r="L190" s="1"/>
  <c r="C193" i="17" s="1"/>
  <c r="L193" s="1"/>
  <c r="C194" i="19" s="1"/>
  <c r="L194" s="1"/>
  <c r="C193" i="21" s="1"/>
  <c r="L193" s="1"/>
  <c r="C194" i="23" s="1"/>
  <c r="L194" s="1"/>
  <c r="C194" i="25" s="1"/>
  <c r="L194" s="1"/>
  <c r="K181" i="1"/>
  <c r="L180"/>
  <c r="C180" i="3" s="1"/>
  <c r="L180" s="1"/>
  <c r="C180" i="5" s="1"/>
  <c r="L180" s="1"/>
  <c r="C180" i="7" s="1"/>
  <c r="L180" s="1"/>
  <c r="C180" i="9" s="1"/>
  <c r="L180" s="1"/>
  <c r="C182" i="11" s="1"/>
  <c r="L182" s="1"/>
  <c r="C183" i="13" s="1"/>
  <c r="L183" s="1"/>
  <c r="C189" i="15" s="1"/>
  <c r="L189" s="1"/>
  <c r="C192" i="17" s="1"/>
  <c r="L192" s="1"/>
  <c r="C192" i="19" s="1"/>
  <c r="L192" s="1"/>
  <c r="C191" i="21" s="1"/>
  <c r="L191" s="1"/>
  <c r="C192" i="23" s="1"/>
  <c r="L192" s="1"/>
  <c r="C192" i="25" s="1"/>
  <c r="L192" s="1"/>
  <c r="K180" i="1"/>
  <c r="L179"/>
  <c r="C179" i="3" s="1"/>
  <c r="L179" s="1"/>
  <c r="C179" i="5" s="1"/>
  <c r="L179" s="1"/>
  <c r="C179" i="7" s="1"/>
  <c r="L179" s="1"/>
  <c r="C179" i="9" s="1"/>
  <c r="L179" s="1"/>
  <c r="C181" i="11" s="1"/>
  <c r="L181" s="1"/>
  <c r="C182" i="13" s="1"/>
  <c r="L182" s="1"/>
  <c r="C188" i="15" s="1"/>
  <c r="L188" s="1"/>
  <c r="C191" i="17" s="1"/>
  <c r="L191" s="1"/>
  <c r="C191" i="19" s="1"/>
  <c r="L191" s="1"/>
  <c r="C190" i="21" s="1"/>
  <c r="L190" s="1"/>
  <c r="C191" i="23" s="1"/>
  <c r="L191" s="1"/>
  <c r="C191" i="25" s="1"/>
  <c r="L191" s="1"/>
  <c r="K179" i="1"/>
  <c r="L178"/>
  <c r="C178" i="3" s="1"/>
  <c r="L178" s="1"/>
  <c r="C178" i="5" s="1"/>
  <c r="L178" s="1"/>
  <c r="C178" i="7" s="1"/>
  <c r="L178" s="1"/>
  <c r="C178" i="9" s="1"/>
  <c r="L178" s="1"/>
  <c r="C180" i="11" s="1"/>
  <c r="L180" s="1"/>
  <c r="C181" i="13" s="1"/>
  <c r="L181" s="1"/>
  <c r="C186" i="15" s="1"/>
  <c r="L186" s="1"/>
  <c r="C189" i="17" s="1"/>
  <c r="L189" s="1"/>
  <c r="C189" i="19" s="1"/>
  <c r="L189" s="1"/>
  <c r="C188" i="21" s="1"/>
  <c r="L188" s="1"/>
  <c r="C189" i="23" s="1"/>
  <c r="L189" s="1"/>
  <c r="C189" i="25" s="1"/>
  <c r="L189" s="1"/>
  <c r="K178" i="1"/>
  <c r="L177"/>
  <c r="C177" i="3" s="1"/>
  <c r="L177" s="1"/>
  <c r="C177" i="5" s="1"/>
  <c r="L177" s="1"/>
  <c r="C177" i="7" s="1"/>
  <c r="L177" s="1"/>
  <c r="C177" i="9" s="1"/>
  <c r="L177" s="1"/>
  <c r="C179" i="11" s="1"/>
  <c r="L179" s="1"/>
  <c r="C180" i="13" s="1"/>
  <c r="L180" s="1"/>
  <c r="C185" i="15" s="1"/>
  <c r="L185" s="1"/>
  <c r="C188" i="17" s="1"/>
  <c r="L188" s="1"/>
  <c r="C188" i="19" s="1"/>
  <c r="L188" s="1"/>
  <c r="C187" i="21" s="1"/>
  <c r="L187" s="1"/>
  <c r="C188" i="23" s="1"/>
  <c r="L188" s="1"/>
  <c r="C188" i="25" s="1"/>
  <c r="L188" s="1"/>
  <c r="K177" i="1"/>
  <c r="L176"/>
  <c r="C176" i="3" s="1"/>
  <c r="L176" s="1"/>
  <c r="C176" i="5" s="1"/>
  <c r="L176" s="1"/>
  <c r="C176" i="7" s="1"/>
  <c r="L176" s="1"/>
  <c r="C176" i="9" s="1"/>
  <c r="L176" s="1"/>
  <c r="C178" i="11" s="1"/>
  <c r="L178" s="1"/>
  <c r="C179" i="13" s="1"/>
  <c r="L179" s="1"/>
  <c r="C184" i="15" s="1"/>
  <c r="L184" s="1"/>
  <c r="C187" i="17" s="1"/>
  <c r="L187" s="1"/>
  <c r="C187" i="19" s="1"/>
  <c r="L187" s="1"/>
  <c r="C186" i="21" s="1"/>
  <c r="L186" s="1"/>
  <c r="C187" i="23" s="1"/>
  <c r="L187" s="1"/>
  <c r="C187" i="25" s="1"/>
  <c r="L187" s="1"/>
  <c r="K176" i="1"/>
  <c r="L175"/>
  <c r="C175" i="3" s="1"/>
  <c r="L175" s="1"/>
  <c r="C175" i="5" s="1"/>
  <c r="L175" s="1"/>
  <c r="C175" i="7" s="1"/>
  <c r="L175" s="1"/>
  <c r="C175" i="9" s="1"/>
  <c r="L175" s="1"/>
  <c r="C177" i="11" s="1"/>
  <c r="L177" s="1"/>
  <c r="C178" i="13" s="1"/>
  <c r="L178" s="1"/>
  <c r="C183" i="15" s="1"/>
  <c r="L183" s="1"/>
  <c r="C186" i="17" s="1"/>
  <c r="L186" s="1"/>
  <c r="C186" i="19" s="1"/>
  <c r="L186" s="1"/>
  <c r="C185" i="21" s="1"/>
  <c r="L185" s="1"/>
  <c r="C186" i="23" s="1"/>
  <c r="L186" s="1"/>
  <c r="C186" i="25" s="1"/>
  <c r="L186" s="1"/>
  <c r="K175" i="1"/>
  <c r="L174"/>
  <c r="C174" i="3" s="1"/>
  <c r="L174" s="1"/>
  <c r="C174" i="5" s="1"/>
  <c r="L174" s="1"/>
  <c r="C174" i="7" s="1"/>
  <c r="L174" s="1"/>
  <c r="C174" i="9" s="1"/>
  <c r="L174" s="1"/>
  <c r="C176" i="11" s="1"/>
  <c r="L176" s="1"/>
  <c r="C177" i="13" s="1"/>
  <c r="L177" s="1"/>
  <c r="C182" i="15" s="1"/>
  <c r="L182" s="1"/>
  <c r="C185" i="17" s="1"/>
  <c r="L185" s="1"/>
  <c r="C185" i="19" s="1"/>
  <c r="L185" s="1"/>
  <c r="C184" i="21" s="1"/>
  <c r="L184" s="1"/>
  <c r="C185" i="23" s="1"/>
  <c r="L185" s="1"/>
  <c r="C185" i="25" s="1"/>
  <c r="L185" s="1"/>
  <c r="K174" i="1"/>
  <c r="L173"/>
  <c r="C173" i="3" s="1"/>
  <c r="L173" s="1"/>
  <c r="C173" i="5" s="1"/>
  <c r="L173" s="1"/>
  <c r="C173" i="7" s="1"/>
  <c r="L173" s="1"/>
  <c r="C173" i="9" s="1"/>
  <c r="L173" s="1"/>
  <c r="C175" i="11" s="1"/>
  <c r="L175" s="1"/>
  <c r="C176" i="13" s="1"/>
  <c r="L176" s="1"/>
  <c r="C181" i="15" s="1"/>
  <c r="L181" s="1"/>
  <c r="C184" i="17" s="1"/>
  <c r="L184" s="1"/>
  <c r="C184" i="19" s="1"/>
  <c r="L184" s="1"/>
  <c r="C183" i="21" s="1"/>
  <c r="L183" s="1"/>
  <c r="C184" i="23" s="1"/>
  <c r="L184" s="1"/>
  <c r="C184" i="25" s="1"/>
  <c r="L184" s="1"/>
  <c r="K173" i="1"/>
  <c r="L172"/>
  <c r="C172" i="3" s="1"/>
  <c r="L172" s="1"/>
  <c r="C172" i="5" s="1"/>
  <c r="L172" s="1"/>
  <c r="C172" i="7" s="1"/>
  <c r="L172" s="1"/>
  <c r="C172" i="9" s="1"/>
  <c r="L172" s="1"/>
  <c r="C174" i="11" s="1"/>
  <c r="L174" s="1"/>
  <c r="C175" i="13" s="1"/>
  <c r="L175" s="1"/>
  <c r="C180" i="15" s="1"/>
  <c r="L180" s="1"/>
  <c r="C183" i="17" s="1"/>
  <c r="L183" s="1"/>
  <c r="C183" i="19" s="1"/>
  <c r="L183" s="1"/>
  <c r="C182" i="21" s="1"/>
  <c r="L182" s="1"/>
  <c r="C183" i="23" s="1"/>
  <c r="L183" s="1"/>
  <c r="C183" i="25" s="1"/>
  <c r="L183" s="1"/>
  <c r="K172" i="1"/>
  <c r="F171"/>
  <c r="K171" s="1"/>
  <c r="L171" s="1"/>
  <c r="C171" i="3" s="1"/>
  <c r="L171" s="1"/>
  <c r="C171" i="5" s="1"/>
  <c r="L171" s="1"/>
  <c r="C171" i="7" s="1"/>
  <c r="L171" s="1"/>
  <c r="C171" i="9" s="1"/>
  <c r="L171" s="1"/>
  <c r="C173" i="11" s="1"/>
  <c r="L173" s="1"/>
  <c r="C174" i="13" s="1"/>
  <c r="L174" s="1"/>
  <c r="C179" i="15" s="1"/>
  <c r="L179" s="1"/>
  <c r="C182" i="17" s="1"/>
  <c r="L182" s="1"/>
  <c r="C182" i="19" s="1"/>
  <c r="L182" s="1"/>
  <c r="C181" i="21" s="1"/>
  <c r="L181" s="1"/>
  <c r="C182" i="23" s="1"/>
  <c r="L182" s="1"/>
  <c r="C182" i="25" s="1"/>
  <c r="L182" s="1"/>
  <c r="K170" i="1"/>
  <c r="L170" s="1"/>
  <c r="C170" i="3" s="1"/>
  <c r="L170" s="1"/>
  <c r="C170" i="5" s="1"/>
  <c r="L170" s="1"/>
  <c r="C170" i="7" s="1"/>
  <c r="L170" s="1"/>
  <c r="C170" i="9" s="1"/>
  <c r="L170" s="1"/>
  <c r="C172" i="11" s="1"/>
  <c r="L172" s="1"/>
  <c r="C173" i="13" s="1"/>
  <c r="L173" s="1"/>
  <c r="C178" i="15" s="1"/>
  <c r="L178" s="1"/>
  <c r="C181" i="17" s="1"/>
  <c r="L181" s="1"/>
  <c r="C181" i="19" s="1"/>
  <c r="L181" s="1"/>
  <c r="C180" i="21" s="1"/>
  <c r="L180" s="1"/>
  <c r="C181" i="23" s="1"/>
  <c r="L181" s="1"/>
  <c r="C181" i="25" s="1"/>
  <c r="L181" s="1"/>
  <c r="K169" i="1"/>
  <c r="L169" s="1"/>
  <c r="C169" i="3" s="1"/>
  <c r="L169" s="1"/>
  <c r="C169" i="5" s="1"/>
  <c r="L169" s="1"/>
  <c r="C169" i="7" s="1"/>
  <c r="L169" s="1"/>
  <c r="C169" i="9" s="1"/>
  <c r="L169" s="1"/>
  <c r="C171" i="11" s="1"/>
  <c r="L171" s="1"/>
  <c r="C172" i="13" s="1"/>
  <c r="L172" s="1"/>
  <c r="C177" i="15" s="1"/>
  <c r="L177" s="1"/>
  <c r="C180" i="17" s="1"/>
  <c r="L180" s="1"/>
  <c r="C180" i="19" s="1"/>
  <c r="L180" s="1"/>
  <c r="C179" i="21" s="1"/>
  <c r="L179" s="1"/>
  <c r="C180" i="23" s="1"/>
  <c r="L180" s="1"/>
  <c r="C180" i="25" s="1"/>
  <c r="L180" s="1"/>
  <c r="K168" i="1"/>
  <c r="L168" s="1"/>
  <c r="C168" i="3" s="1"/>
  <c r="L168" s="1"/>
  <c r="C168" i="5" s="1"/>
  <c r="L168" s="1"/>
  <c r="C168" i="7" s="1"/>
  <c r="L168" s="1"/>
  <c r="C168" i="9" s="1"/>
  <c r="L168" s="1"/>
  <c r="C170" i="11" s="1"/>
  <c r="L170" s="1"/>
  <c r="C171" i="13" s="1"/>
  <c r="L171" s="1"/>
  <c r="C176" i="15" s="1"/>
  <c r="L176" s="1"/>
  <c r="C179" i="17" s="1"/>
  <c r="L179" s="1"/>
  <c r="C179" i="19" s="1"/>
  <c r="L179" s="1"/>
  <c r="C178" i="21" s="1"/>
  <c r="L178" s="1"/>
  <c r="C179" i="23" s="1"/>
  <c r="L179" s="1"/>
  <c r="C179" i="25" s="1"/>
  <c r="L179" s="1"/>
  <c r="F168" i="1"/>
  <c r="L167"/>
  <c r="C167" i="3" s="1"/>
  <c r="L167" s="1"/>
  <c r="C167" i="5" s="1"/>
  <c r="L167" s="1"/>
  <c r="C167" i="7" s="1"/>
  <c r="L167" s="1"/>
  <c r="C167" i="9" s="1"/>
  <c r="L167" s="1"/>
  <c r="C169" i="11" s="1"/>
  <c r="L169" s="1"/>
  <c r="C170" i="13" s="1"/>
  <c r="L170" s="1"/>
  <c r="C175" i="15" s="1"/>
  <c r="L175" s="1"/>
  <c r="C178" i="17" s="1"/>
  <c r="L178" s="1"/>
  <c r="C178" i="19" s="1"/>
  <c r="L178" s="1"/>
  <c r="C177" i="21" s="1"/>
  <c r="L177" s="1"/>
  <c r="C178" i="23" s="1"/>
  <c r="L178" s="1"/>
  <c r="C178" i="25" s="1"/>
  <c r="L178" s="1"/>
  <c r="K167" i="1"/>
  <c r="L166"/>
  <c r="C166" i="3" s="1"/>
  <c r="L166" s="1"/>
  <c r="C166" i="5" s="1"/>
  <c r="L166" s="1"/>
  <c r="C166" i="7" s="1"/>
  <c r="L166" s="1"/>
  <c r="C166" i="9" s="1"/>
  <c r="L166" s="1"/>
  <c r="C168" i="11" s="1"/>
  <c r="L168" s="1"/>
  <c r="C169" i="13" s="1"/>
  <c r="L169" s="1"/>
  <c r="C174" i="15" s="1"/>
  <c r="L174" s="1"/>
  <c r="C177" i="17" s="1"/>
  <c r="L177" s="1"/>
  <c r="C177" i="19" s="1"/>
  <c r="L177" s="1"/>
  <c r="C176" i="21" s="1"/>
  <c r="L176" s="1"/>
  <c r="C177" i="23" s="1"/>
  <c r="L177" s="1"/>
  <c r="C177" i="25" s="1"/>
  <c r="L177" s="1"/>
  <c r="K166" i="1"/>
  <c r="L165"/>
  <c r="C165" i="3" s="1"/>
  <c r="L165" s="1"/>
  <c r="C165" i="5" s="1"/>
  <c r="L165" s="1"/>
  <c r="C165" i="7" s="1"/>
  <c r="L165" s="1"/>
  <c r="C165" i="9" s="1"/>
  <c r="L165" s="1"/>
  <c r="C167" i="11" s="1"/>
  <c r="L167" s="1"/>
  <c r="C168" i="13" s="1"/>
  <c r="L168" s="1"/>
  <c r="C173" i="15" s="1"/>
  <c r="L173" s="1"/>
  <c r="C176" i="17" s="1"/>
  <c r="L176" s="1"/>
  <c r="C176" i="19" s="1"/>
  <c r="L176" s="1"/>
  <c r="C175" i="21" s="1"/>
  <c r="L175" s="1"/>
  <c r="C176" i="23" s="1"/>
  <c r="L176" s="1"/>
  <c r="C176" i="25" s="1"/>
  <c r="L176" s="1"/>
  <c r="K165" i="1"/>
  <c r="L164"/>
  <c r="C164" i="3" s="1"/>
  <c r="L164" s="1"/>
  <c r="C164" i="5" s="1"/>
  <c r="L164" s="1"/>
  <c r="C164" i="7" s="1"/>
  <c r="L164" s="1"/>
  <c r="C164" i="9" s="1"/>
  <c r="L164" s="1"/>
  <c r="C166" i="11" s="1"/>
  <c r="L166" s="1"/>
  <c r="C167" i="13" s="1"/>
  <c r="L167" s="1"/>
  <c r="C172" i="15" s="1"/>
  <c r="L172" s="1"/>
  <c r="C175" i="17" s="1"/>
  <c r="L175" s="1"/>
  <c r="C175" i="19" s="1"/>
  <c r="L175" s="1"/>
  <c r="C174" i="21" s="1"/>
  <c r="L174" s="1"/>
  <c r="C175" i="23" s="1"/>
  <c r="L175" s="1"/>
  <c r="C175" i="25" s="1"/>
  <c r="L175" s="1"/>
  <c r="K164" i="1"/>
  <c r="L163"/>
  <c r="C163" i="3" s="1"/>
  <c r="L163" s="1"/>
  <c r="C163" i="5" s="1"/>
  <c r="L163" s="1"/>
  <c r="C163" i="7" s="1"/>
  <c r="L163" s="1"/>
  <c r="C163" i="9" s="1"/>
  <c r="L163" s="1"/>
  <c r="C165" i="11" s="1"/>
  <c r="L165" s="1"/>
  <c r="C166" i="13" s="1"/>
  <c r="L166" s="1"/>
  <c r="C171" i="15" s="1"/>
  <c r="L171" s="1"/>
  <c r="C174" i="17" s="1"/>
  <c r="L174" s="1"/>
  <c r="C174" i="19" s="1"/>
  <c r="L174" s="1"/>
  <c r="C173" i="21" s="1"/>
  <c r="L173" s="1"/>
  <c r="C174" i="23" s="1"/>
  <c r="L174" s="1"/>
  <c r="C174" i="25" s="1"/>
  <c r="L174" s="1"/>
  <c r="K163" i="1"/>
  <c r="L162"/>
  <c r="C162" i="3" s="1"/>
  <c r="L162" s="1"/>
  <c r="C162" i="5" s="1"/>
  <c r="L162" s="1"/>
  <c r="C162" i="7" s="1"/>
  <c r="L162" s="1"/>
  <c r="C162" i="9" s="1"/>
  <c r="L162" s="1"/>
  <c r="C164" i="11" s="1"/>
  <c r="L164" s="1"/>
  <c r="C165" i="13" s="1"/>
  <c r="L165" s="1"/>
  <c r="C170" i="15" s="1"/>
  <c r="L170" s="1"/>
  <c r="C173" i="17" s="1"/>
  <c r="L173" s="1"/>
  <c r="C173" i="19" s="1"/>
  <c r="L173" s="1"/>
  <c r="C172" i="21" s="1"/>
  <c r="L172" s="1"/>
  <c r="C173" i="23" s="1"/>
  <c r="L173" s="1"/>
  <c r="C173" i="25" s="1"/>
  <c r="L173" s="1"/>
  <c r="K162" i="1"/>
  <c r="L161"/>
  <c r="C161" i="3" s="1"/>
  <c r="L161" s="1"/>
  <c r="C161" i="5" s="1"/>
  <c r="L161" s="1"/>
  <c r="C161" i="7" s="1"/>
  <c r="L161" s="1"/>
  <c r="C161" i="9" s="1"/>
  <c r="L161" s="1"/>
  <c r="C163" i="11" s="1"/>
  <c r="L163" s="1"/>
  <c r="C164" i="13" s="1"/>
  <c r="L164" s="1"/>
  <c r="C169" i="15" s="1"/>
  <c r="L169" s="1"/>
  <c r="C172" i="17" s="1"/>
  <c r="L172" s="1"/>
  <c r="C172" i="19" s="1"/>
  <c r="L172" s="1"/>
  <c r="C171" i="21" s="1"/>
  <c r="L171" s="1"/>
  <c r="C172" i="23" s="1"/>
  <c r="L172" s="1"/>
  <c r="C172" i="25" s="1"/>
  <c r="L172" s="1"/>
  <c r="K161" i="1"/>
  <c r="L160"/>
  <c r="C160" i="3" s="1"/>
  <c r="L160" s="1"/>
  <c r="C160" i="5" s="1"/>
  <c r="L160" s="1"/>
  <c r="C160" i="7" s="1"/>
  <c r="L160" s="1"/>
  <c r="C160" i="9" s="1"/>
  <c r="L160" s="1"/>
  <c r="C162" i="11" s="1"/>
  <c r="L162" s="1"/>
  <c r="C163" i="13" s="1"/>
  <c r="L163" s="1"/>
  <c r="C168" i="15" s="1"/>
  <c r="L168" s="1"/>
  <c r="C171" i="17" s="1"/>
  <c r="L171" s="1"/>
  <c r="C171" i="19" s="1"/>
  <c r="L171" s="1"/>
  <c r="C170" i="21" s="1"/>
  <c r="L170" s="1"/>
  <c r="C171" i="23" s="1"/>
  <c r="L171" s="1"/>
  <c r="C171" i="25" s="1"/>
  <c r="L171" s="1"/>
  <c r="K160" i="1"/>
  <c r="L159"/>
  <c r="C159" i="3" s="1"/>
  <c r="L159" s="1"/>
  <c r="C159" i="5" s="1"/>
  <c r="L159" s="1"/>
  <c r="C159" i="7" s="1"/>
  <c r="L159" s="1"/>
  <c r="C159" i="9" s="1"/>
  <c r="L159" s="1"/>
  <c r="C161" i="11" s="1"/>
  <c r="L161" s="1"/>
  <c r="C162" i="13" s="1"/>
  <c r="L162" s="1"/>
  <c r="C167" i="15" s="1"/>
  <c r="L167" s="1"/>
  <c r="C170" i="17" s="1"/>
  <c r="L170" s="1"/>
  <c r="C170" i="19" s="1"/>
  <c r="L170" s="1"/>
  <c r="C169" i="21" s="1"/>
  <c r="L169" s="1"/>
  <c r="C170" i="23" s="1"/>
  <c r="L170" s="1"/>
  <c r="C170" i="25" s="1"/>
  <c r="L170" s="1"/>
  <c r="K159" i="1"/>
  <c r="L158"/>
  <c r="C158" i="3" s="1"/>
  <c r="L158" s="1"/>
  <c r="C158" i="5" s="1"/>
  <c r="L158" s="1"/>
  <c r="C158" i="7" s="1"/>
  <c r="L158" s="1"/>
  <c r="C158" i="9" s="1"/>
  <c r="L158" s="1"/>
  <c r="C160" i="11" s="1"/>
  <c r="L160" s="1"/>
  <c r="C161" i="13" s="1"/>
  <c r="L161" s="1"/>
  <c r="C166" i="15" s="1"/>
  <c r="L166" s="1"/>
  <c r="C169" i="17" s="1"/>
  <c r="L169" s="1"/>
  <c r="C169" i="19" s="1"/>
  <c r="L169" s="1"/>
  <c r="C168" i="21" s="1"/>
  <c r="L168" s="1"/>
  <c r="C169" i="23" s="1"/>
  <c r="L169" s="1"/>
  <c r="C169" i="25" s="1"/>
  <c r="L169" s="1"/>
  <c r="K158" i="1"/>
  <c r="L157"/>
  <c r="C157" i="3" s="1"/>
  <c r="L157" s="1"/>
  <c r="C157" i="5" s="1"/>
  <c r="L157" s="1"/>
  <c r="C157" i="7" s="1"/>
  <c r="L157" s="1"/>
  <c r="C157" i="9" s="1"/>
  <c r="L157" s="1"/>
  <c r="C159" i="11" s="1"/>
  <c r="L159" s="1"/>
  <c r="C160" i="13" s="1"/>
  <c r="L160" s="1"/>
  <c r="C165" i="15" s="1"/>
  <c r="L165" s="1"/>
  <c r="C168" i="17" s="1"/>
  <c r="L168" s="1"/>
  <c r="C168" i="19" s="1"/>
  <c r="L168" s="1"/>
  <c r="C167" i="21" s="1"/>
  <c r="L167" s="1"/>
  <c r="C168" i="23" s="1"/>
  <c r="L168" s="1"/>
  <c r="C168" i="25" s="1"/>
  <c r="L168" s="1"/>
  <c r="K157" i="1"/>
  <c r="L156"/>
  <c r="C156" i="3" s="1"/>
  <c r="L156" s="1"/>
  <c r="C156" i="5" s="1"/>
  <c r="L156" s="1"/>
  <c r="C156" i="7" s="1"/>
  <c r="L156" s="1"/>
  <c r="C156" i="9" s="1"/>
  <c r="L156" s="1"/>
  <c r="C158" i="11" s="1"/>
  <c r="L158" s="1"/>
  <c r="C159" i="13" s="1"/>
  <c r="L159" s="1"/>
  <c r="C164" i="15" s="1"/>
  <c r="L164" s="1"/>
  <c r="C167" i="17" s="1"/>
  <c r="L167" s="1"/>
  <c r="C167" i="19" s="1"/>
  <c r="L167" s="1"/>
  <c r="C166" i="21" s="1"/>
  <c r="L166" s="1"/>
  <c r="C167" i="23" s="1"/>
  <c r="L167" s="1"/>
  <c r="C167" i="25" s="1"/>
  <c r="L167" s="1"/>
  <c r="K156" i="1"/>
  <c r="F155"/>
  <c r="K155" s="1"/>
  <c r="L155" s="1"/>
  <c r="C155" i="3" s="1"/>
  <c r="L155" s="1"/>
  <c r="C155" i="5" s="1"/>
  <c r="L155" s="1"/>
  <c r="C155" i="7" s="1"/>
  <c r="L155" s="1"/>
  <c r="C155" i="9" s="1"/>
  <c r="L155" s="1"/>
  <c r="C157" i="11" s="1"/>
  <c r="L157" s="1"/>
  <c r="C158" i="13" s="1"/>
  <c r="L158" s="1"/>
  <c r="C163" i="15" s="1"/>
  <c r="L163" s="1"/>
  <c r="C166" i="17" s="1"/>
  <c r="L166" s="1"/>
  <c r="C166" i="19" s="1"/>
  <c r="L166" s="1"/>
  <c r="C164" i="21" s="1"/>
  <c r="L164" s="1"/>
  <c r="C165" i="23" s="1"/>
  <c r="L165" s="1"/>
  <c r="C165" i="25" s="1"/>
  <c r="L165" s="1"/>
  <c r="K154" i="1"/>
  <c r="L154" s="1"/>
  <c r="C154" i="3" s="1"/>
  <c r="L154" s="1"/>
  <c r="C154" i="5" s="1"/>
  <c r="L154" s="1"/>
  <c r="C154" i="7" s="1"/>
  <c r="L154" s="1"/>
  <c r="C154" i="9" s="1"/>
  <c r="L154" s="1"/>
  <c r="C156" i="11" s="1"/>
  <c r="L156" s="1"/>
  <c r="C157" i="13" s="1"/>
  <c r="L157" s="1"/>
  <c r="C162" i="15" s="1"/>
  <c r="L162" s="1"/>
  <c r="C164" i="17" s="1"/>
  <c r="L164" s="1"/>
  <c r="C164" i="19" s="1"/>
  <c r="L164" s="1"/>
  <c r="C162" i="21" s="1"/>
  <c r="L162" s="1"/>
  <c r="C163" i="23" s="1"/>
  <c r="L163" s="1"/>
  <c r="C163" i="25" s="1"/>
  <c r="L163" s="1"/>
  <c r="K153" i="1"/>
  <c r="L153" s="1"/>
  <c r="C153" i="3" s="1"/>
  <c r="L153" s="1"/>
  <c r="C153" i="5" s="1"/>
  <c r="L153" s="1"/>
  <c r="C153" i="7" s="1"/>
  <c r="L153" s="1"/>
  <c r="C153" i="9" s="1"/>
  <c r="L153" s="1"/>
  <c r="C155" i="11" s="1"/>
  <c r="L155" s="1"/>
  <c r="C156" i="13" s="1"/>
  <c r="L156" s="1"/>
  <c r="C161" i="15" s="1"/>
  <c r="L161" s="1"/>
  <c r="C163" i="17" s="1"/>
  <c r="L163" s="1"/>
  <c r="C163" i="19" s="1"/>
  <c r="L163" s="1"/>
  <c r="C161" i="21" s="1"/>
  <c r="L161" s="1"/>
  <c r="C162" i="23" s="1"/>
  <c r="L162" s="1"/>
  <c r="C162" i="25" s="1"/>
  <c r="L162" s="1"/>
  <c r="K152" i="1"/>
  <c r="L152" s="1"/>
  <c r="C152" i="3" s="1"/>
  <c r="L152" s="1"/>
  <c r="C152" i="5" s="1"/>
  <c r="L152" s="1"/>
  <c r="C152" i="7" s="1"/>
  <c r="L152" s="1"/>
  <c r="C152" i="9" s="1"/>
  <c r="L152" s="1"/>
  <c r="C154" i="11" s="1"/>
  <c r="L154" s="1"/>
  <c r="C155" i="13" s="1"/>
  <c r="L155" s="1"/>
  <c r="C160" i="15" s="1"/>
  <c r="L160" s="1"/>
  <c r="C162" i="17" s="1"/>
  <c r="L162" s="1"/>
  <c r="C162" i="19" s="1"/>
  <c r="L162" s="1"/>
  <c r="C160" i="21" s="1"/>
  <c r="L160" s="1"/>
  <c r="C161" i="23" s="1"/>
  <c r="L161" s="1"/>
  <c r="C161" i="25" s="1"/>
  <c r="L161" s="1"/>
  <c r="F152" i="1"/>
  <c r="L151"/>
  <c r="C151" i="3" s="1"/>
  <c r="L151" s="1"/>
  <c r="C151" i="5" s="1"/>
  <c r="L151" s="1"/>
  <c r="C151" i="7" s="1"/>
  <c r="L151" s="1"/>
  <c r="C151" i="9" s="1"/>
  <c r="L151" s="1"/>
  <c r="C153" i="11" s="1"/>
  <c r="L153" s="1"/>
  <c r="C154" i="13" s="1"/>
  <c r="L154" s="1"/>
  <c r="C159" i="15" s="1"/>
  <c r="L159" s="1"/>
  <c r="C161" i="17" s="1"/>
  <c r="L161" s="1"/>
  <c r="C161" i="19" s="1"/>
  <c r="L161" s="1"/>
  <c r="C159" i="21" s="1"/>
  <c r="L159" s="1"/>
  <c r="C160" i="23" s="1"/>
  <c r="L160" s="1"/>
  <c r="C160" i="25" s="1"/>
  <c r="L160" s="1"/>
  <c r="K151" i="1"/>
  <c r="F150"/>
  <c r="K150" s="1"/>
  <c r="L150" s="1"/>
  <c r="C150" i="3" s="1"/>
  <c r="L150" s="1"/>
  <c r="C150" i="5" s="1"/>
  <c r="L150" s="1"/>
  <c r="C150" i="7" s="1"/>
  <c r="L150" s="1"/>
  <c r="C150" i="9" s="1"/>
  <c r="L150" s="1"/>
  <c r="C152" i="11" s="1"/>
  <c r="L152" s="1"/>
  <c r="C153" i="13" s="1"/>
  <c r="L153" s="1"/>
  <c r="C158" i="15" s="1"/>
  <c r="L158" s="1"/>
  <c r="C160" i="17" s="1"/>
  <c r="L160" s="1"/>
  <c r="C160" i="19" s="1"/>
  <c r="L160" s="1"/>
  <c r="C158" i="21" s="1"/>
  <c r="L158" s="1"/>
  <c r="C159" i="23" s="1"/>
  <c r="L159" s="1"/>
  <c r="C159" i="25" s="1"/>
  <c r="L159" s="1"/>
  <c r="K149" i="1"/>
  <c r="L149" s="1"/>
  <c r="C149" i="3" s="1"/>
  <c r="L149" s="1"/>
  <c r="C149" i="5" s="1"/>
  <c r="L149" s="1"/>
  <c r="C149" i="7" s="1"/>
  <c r="L149" s="1"/>
  <c r="C149" i="9" s="1"/>
  <c r="L149" s="1"/>
  <c r="C151" i="11" s="1"/>
  <c r="L151" s="1"/>
  <c r="C152" i="13" s="1"/>
  <c r="L152" s="1"/>
  <c r="C157" i="15" s="1"/>
  <c r="L157" s="1"/>
  <c r="C159" i="17" s="1"/>
  <c r="L159" s="1"/>
  <c r="C159" i="19" s="1"/>
  <c r="L159" s="1"/>
  <c r="C157" i="21" s="1"/>
  <c r="L157" s="1"/>
  <c r="C158" i="23" s="1"/>
  <c r="L158" s="1"/>
  <c r="C158" i="25" s="1"/>
  <c r="L158" s="1"/>
  <c r="K148" i="1"/>
  <c r="L148" s="1"/>
  <c r="C148" i="3" s="1"/>
  <c r="L148" s="1"/>
  <c r="C148" i="5" s="1"/>
  <c r="L148" s="1"/>
  <c r="C148" i="7" s="1"/>
  <c r="L148" s="1"/>
  <c r="C148" i="9" s="1"/>
  <c r="L148" s="1"/>
  <c r="C150" i="11" s="1"/>
  <c r="L150" s="1"/>
  <c r="C151" i="13" s="1"/>
  <c r="L151" s="1"/>
  <c r="C156" i="15" s="1"/>
  <c r="L156" s="1"/>
  <c r="C158" i="17" s="1"/>
  <c r="L158" s="1"/>
  <c r="C158" i="19" s="1"/>
  <c r="L158" s="1"/>
  <c r="C156" i="21" s="1"/>
  <c r="L156" s="1"/>
  <c r="C157" i="23" s="1"/>
  <c r="L157" s="1"/>
  <c r="C157" i="25" s="1"/>
  <c r="L157" s="1"/>
  <c r="K147" i="1"/>
  <c r="L147" s="1"/>
  <c r="C147" i="3" s="1"/>
  <c r="L147" s="1"/>
  <c r="C147" i="5" s="1"/>
  <c r="L147" s="1"/>
  <c r="C147" i="7" s="1"/>
  <c r="L147" s="1"/>
  <c r="C147" i="9" s="1"/>
  <c r="L147" s="1"/>
  <c r="C149" i="11" s="1"/>
  <c r="L149" s="1"/>
  <c r="C150" i="13" s="1"/>
  <c r="L150" s="1"/>
  <c r="C155" i="15" s="1"/>
  <c r="L155" s="1"/>
  <c r="C157" i="17" s="1"/>
  <c r="L157" s="1"/>
  <c r="C157" i="19" s="1"/>
  <c r="L157" s="1"/>
  <c r="C155" i="21" s="1"/>
  <c r="L155" s="1"/>
  <c r="C156" i="23" s="1"/>
  <c r="L156" s="1"/>
  <c r="C156" i="25" s="1"/>
  <c r="L156" s="1"/>
  <c r="K146" i="1"/>
  <c r="L146" s="1"/>
  <c r="C146" i="3" s="1"/>
  <c r="L146" s="1"/>
  <c r="C146" i="5" s="1"/>
  <c r="L146" s="1"/>
  <c r="C146" i="7" s="1"/>
  <c r="L146" s="1"/>
  <c r="C146" i="9" s="1"/>
  <c r="L146" s="1"/>
  <c r="C148" i="11" s="1"/>
  <c r="L148" s="1"/>
  <c r="C149" i="13" s="1"/>
  <c r="L149" s="1"/>
  <c r="C154" i="15" s="1"/>
  <c r="L154" s="1"/>
  <c r="C156" i="17" s="1"/>
  <c r="L156" s="1"/>
  <c r="C156" i="19" s="1"/>
  <c r="L156" s="1"/>
  <c r="C154" i="21" s="1"/>
  <c r="L154" s="1"/>
  <c r="C155" i="23" s="1"/>
  <c r="L155" s="1"/>
  <c r="C155" i="25" s="1"/>
  <c r="L155" s="1"/>
  <c r="K145" i="1"/>
  <c r="L145" s="1"/>
  <c r="C145" i="3" s="1"/>
  <c r="L145" s="1"/>
  <c r="C145" i="5" s="1"/>
  <c r="L145" s="1"/>
  <c r="C145" i="7" s="1"/>
  <c r="L145" s="1"/>
  <c r="C145" i="9" s="1"/>
  <c r="L145" s="1"/>
  <c r="C147" i="11" s="1"/>
  <c r="L147" s="1"/>
  <c r="C148" i="13" s="1"/>
  <c r="L148" s="1"/>
  <c r="C153" i="15" s="1"/>
  <c r="L153" s="1"/>
  <c r="C155" i="17" s="1"/>
  <c r="L155" s="1"/>
  <c r="C155" i="19" s="1"/>
  <c r="L155" s="1"/>
  <c r="C153" i="21" s="1"/>
  <c r="L153" s="1"/>
  <c r="C154" i="23" s="1"/>
  <c r="L154" s="1"/>
  <c r="C154" i="25" s="1"/>
  <c r="L154" s="1"/>
  <c r="K144" i="1"/>
  <c r="L144" s="1"/>
  <c r="C144" i="3" s="1"/>
  <c r="L144" s="1"/>
  <c r="C144" i="5" s="1"/>
  <c r="L144" s="1"/>
  <c r="C144" i="7" s="1"/>
  <c r="L144" s="1"/>
  <c r="C144" i="9" s="1"/>
  <c r="L144" s="1"/>
  <c r="C146" i="11" s="1"/>
  <c r="L146" s="1"/>
  <c r="C147" i="13" s="1"/>
  <c r="L147" s="1"/>
  <c r="C152" i="15" s="1"/>
  <c r="L152" s="1"/>
  <c r="C154" i="17" s="1"/>
  <c r="L154" s="1"/>
  <c r="C154" i="19" s="1"/>
  <c r="L154" s="1"/>
  <c r="C152" i="21" s="1"/>
  <c r="L152" s="1"/>
  <c r="C153" i="23" s="1"/>
  <c r="L153" s="1"/>
  <c r="C153" i="25" s="1"/>
  <c r="L153" s="1"/>
  <c r="K143" i="1"/>
  <c r="L143" s="1"/>
  <c r="C143" i="3" s="1"/>
  <c r="L143" s="1"/>
  <c r="C143" i="5" s="1"/>
  <c r="L143" s="1"/>
  <c r="C143" i="7" s="1"/>
  <c r="L143" s="1"/>
  <c r="C143" i="9" s="1"/>
  <c r="L143" s="1"/>
  <c r="C145" i="11" s="1"/>
  <c r="L145" s="1"/>
  <c r="C146" i="13" s="1"/>
  <c r="L146" s="1"/>
  <c r="C151" i="15" s="1"/>
  <c r="L151" s="1"/>
  <c r="C153" i="17" s="1"/>
  <c r="L153" s="1"/>
  <c r="C153" i="19" s="1"/>
  <c r="L153" s="1"/>
  <c r="C151" i="21" s="1"/>
  <c r="L151" s="1"/>
  <c r="C152" i="23" s="1"/>
  <c r="L152" s="1"/>
  <c r="C152" i="25" s="1"/>
  <c r="L152" s="1"/>
  <c r="F143" i="1"/>
  <c r="L142"/>
  <c r="C142" i="3" s="1"/>
  <c r="L142" s="1"/>
  <c r="C142" i="5" s="1"/>
  <c r="L142" s="1"/>
  <c r="C142" i="7" s="1"/>
  <c r="L142" s="1"/>
  <c r="C142" i="9" s="1"/>
  <c r="L142" s="1"/>
  <c r="C144" i="11" s="1"/>
  <c r="L144" s="1"/>
  <c r="C145" i="13" s="1"/>
  <c r="L145" s="1"/>
  <c r="C150" i="15" s="1"/>
  <c r="L150" s="1"/>
  <c r="C152" i="17" s="1"/>
  <c r="L152" s="1"/>
  <c r="C152" i="19" s="1"/>
  <c r="L152" s="1"/>
  <c r="C150" i="21" s="1"/>
  <c r="L150" s="1"/>
  <c r="C151" i="23" s="1"/>
  <c r="L151" s="1"/>
  <c r="C151" i="25" s="1"/>
  <c r="L151" s="1"/>
  <c r="K142" i="1"/>
  <c r="L141"/>
  <c r="C141" i="3" s="1"/>
  <c r="L141" s="1"/>
  <c r="C141" i="5" s="1"/>
  <c r="L141" s="1"/>
  <c r="C141" i="7" s="1"/>
  <c r="L141" s="1"/>
  <c r="C141" i="9" s="1"/>
  <c r="L141" s="1"/>
  <c r="C143" i="11" s="1"/>
  <c r="L143" s="1"/>
  <c r="C144" i="13" s="1"/>
  <c r="L144" s="1"/>
  <c r="C149" i="15" s="1"/>
  <c r="L149" s="1"/>
  <c r="C151" i="17" s="1"/>
  <c r="L151" s="1"/>
  <c r="C151" i="19" s="1"/>
  <c r="L151" s="1"/>
  <c r="C149" i="21" s="1"/>
  <c r="L149" s="1"/>
  <c r="C150" i="23" s="1"/>
  <c r="L150" s="1"/>
  <c r="C150" i="25" s="1"/>
  <c r="L150" s="1"/>
  <c r="K141" i="1"/>
  <c r="L140"/>
  <c r="C140" i="3" s="1"/>
  <c r="L140" s="1"/>
  <c r="C140" i="5" s="1"/>
  <c r="L140" s="1"/>
  <c r="C140" i="7" s="1"/>
  <c r="L140" s="1"/>
  <c r="C140" i="9" s="1"/>
  <c r="L140" s="1"/>
  <c r="C142" i="11" s="1"/>
  <c r="L142" s="1"/>
  <c r="C143" i="13" s="1"/>
  <c r="L143" s="1"/>
  <c r="C148" i="15" s="1"/>
  <c r="L148" s="1"/>
  <c r="C150" i="17" s="1"/>
  <c r="L150" s="1"/>
  <c r="C150" i="19" s="1"/>
  <c r="L150" s="1"/>
  <c r="C148" i="21" s="1"/>
  <c r="L148" s="1"/>
  <c r="C149" i="23" s="1"/>
  <c r="L149" s="1"/>
  <c r="C149" i="25" s="1"/>
  <c r="L149" s="1"/>
  <c r="K140" i="1"/>
  <c r="L139"/>
  <c r="C139" i="3" s="1"/>
  <c r="L139" s="1"/>
  <c r="C139" i="5" s="1"/>
  <c r="L139" s="1"/>
  <c r="C139" i="7" s="1"/>
  <c r="L139" s="1"/>
  <c r="C139" i="9" s="1"/>
  <c r="L139" s="1"/>
  <c r="C141" i="11" s="1"/>
  <c r="L141" s="1"/>
  <c r="C142" i="13" s="1"/>
  <c r="L142" s="1"/>
  <c r="C147" i="15" s="1"/>
  <c r="L147" s="1"/>
  <c r="C149" i="17" s="1"/>
  <c r="L149" s="1"/>
  <c r="C149" i="19" s="1"/>
  <c r="L149" s="1"/>
  <c r="C147" i="21" s="1"/>
  <c r="L147" s="1"/>
  <c r="C148" i="23" s="1"/>
  <c r="L148" s="1"/>
  <c r="C148" i="25" s="1"/>
  <c r="L148" s="1"/>
  <c r="K139" i="1"/>
  <c r="L138"/>
  <c r="C138" i="3" s="1"/>
  <c r="L138" s="1"/>
  <c r="C138" i="5" s="1"/>
  <c r="L138" s="1"/>
  <c r="C138" i="7" s="1"/>
  <c r="L138" s="1"/>
  <c r="C138" i="9" s="1"/>
  <c r="L138" s="1"/>
  <c r="C140" i="11" s="1"/>
  <c r="L140" s="1"/>
  <c r="C141" i="13" s="1"/>
  <c r="L141" s="1"/>
  <c r="C146" i="15" s="1"/>
  <c r="L146" s="1"/>
  <c r="C148" i="17" s="1"/>
  <c r="L148" s="1"/>
  <c r="C148" i="19" s="1"/>
  <c r="L148" s="1"/>
  <c r="C146" i="21" s="1"/>
  <c r="L146" s="1"/>
  <c r="C147" i="23" s="1"/>
  <c r="L147" s="1"/>
  <c r="C147" i="25" s="1"/>
  <c r="L147" s="1"/>
  <c r="K138" i="1"/>
  <c r="L137"/>
  <c r="C137" i="3" s="1"/>
  <c r="L137" s="1"/>
  <c r="C137" i="5" s="1"/>
  <c r="L137" s="1"/>
  <c r="C137" i="7" s="1"/>
  <c r="L137" s="1"/>
  <c r="C137" i="9" s="1"/>
  <c r="L137" s="1"/>
  <c r="C139" i="11" s="1"/>
  <c r="L139" s="1"/>
  <c r="C140" i="13" s="1"/>
  <c r="L140" s="1"/>
  <c r="C145" i="15" s="1"/>
  <c r="L145" s="1"/>
  <c r="C147" i="17" s="1"/>
  <c r="L147" s="1"/>
  <c r="C147" i="19" s="1"/>
  <c r="L147" s="1"/>
  <c r="C145" i="21" s="1"/>
  <c r="L145" s="1"/>
  <c r="C146" i="23" s="1"/>
  <c r="L146" s="1"/>
  <c r="C146" i="25" s="1"/>
  <c r="L146" s="1"/>
  <c r="K137" i="1"/>
  <c r="F136"/>
  <c r="K136" s="1"/>
  <c r="L136" s="1"/>
  <c r="C136" i="3" s="1"/>
  <c r="L136" s="1"/>
  <c r="C136" i="5" s="1"/>
  <c r="L136" s="1"/>
  <c r="C136" i="7" s="1"/>
  <c r="L136" s="1"/>
  <c r="C136" i="9" s="1"/>
  <c r="L136" s="1"/>
  <c r="C138" i="11" s="1"/>
  <c r="L138" s="1"/>
  <c r="C139" i="13" s="1"/>
  <c r="L139" s="1"/>
  <c r="C144" i="15" s="1"/>
  <c r="L144" s="1"/>
  <c r="C146" i="17" s="1"/>
  <c r="L146" s="1"/>
  <c r="C146" i="19" s="1"/>
  <c r="L146" s="1"/>
  <c r="C144" i="21" s="1"/>
  <c r="L144" s="1"/>
  <c r="C145" i="23" s="1"/>
  <c r="L145" s="1"/>
  <c r="C145" i="25" s="1"/>
  <c r="L145" s="1"/>
  <c r="K135" i="1"/>
  <c r="L135" s="1"/>
  <c r="C135" i="3" s="1"/>
  <c r="L135" s="1"/>
  <c r="C135" i="5" s="1"/>
  <c r="L135" s="1"/>
  <c r="C135" i="7" s="1"/>
  <c r="L135" s="1"/>
  <c r="C135" i="9" s="1"/>
  <c r="L135" s="1"/>
  <c r="C137" i="11" s="1"/>
  <c r="L137" s="1"/>
  <c r="C138" i="13" s="1"/>
  <c r="L138" s="1"/>
  <c r="C143" i="15" s="1"/>
  <c r="L143" s="1"/>
  <c r="C145" i="17" s="1"/>
  <c r="L145" s="1"/>
  <c r="C145" i="19" s="1"/>
  <c r="L145" s="1"/>
  <c r="C143" i="21" s="1"/>
  <c r="L143" s="1"/>
  <c r="C144" i="23" s="1"/>
  <c r="L144" s="1"/>
  <c r="C144" i="25" s="1"/>
  <c r="L144" s="1"/>
  <c r="K134" i="1"/>
  <c r="L134" s="1"/>
  <c r="C134" i="3" s="1"/>
  <c r="L134" s="1"/>
  <c r="C134" i="5" s="1"/>
  <c r="L134" s="1"/>
  <c r="C134" i="7" s="1"/>
  <c r="L134" s="1"/>
  <c r="C134" i="9" s="1"/>
  <c r="L134" s="1"/>
  <c r="C136" i="11" s="1"/>
  <c r="L136" s="1"/>
  <c r="C137" i="13" s="1"/>
  <c r="L137" s="1"/>
  <c r="C142" i="15" s="1"/>
  <c r="L142" s="1"/>
  <c r="C144" i="17" s="1"/>
  <c r="L144" s="1"/>
  <c r="C144" i="19" s="1"/>
  <c r="L144" s="1"/>
  <c r="C142" i="21" s="1"/>
  <c r="L142" s="1"/>
  <c r="C143" i="23" s="1"/>
  <c r="L143" s="1"/>
  <c r="C143" i="25" s="1"/>
  <c r="L143" s="1"/>
  <c r="H133" i="1"/>
  <c r="F133"/>
  <c r="K133" s="1"/>
  <c r="L133" s="1"/>
  <c r="C133" i="3" s="1"/>
  <c r="L133" s="1"/>
  <c r="C133" i="5" s="1"/>
  <c r="L133" s="1"/>
  <c r="C133" i="7" s="1"/>
  <c r="L133" s="1"/>
  <c r="C133" i="9" s="1"/>
  <c r="L133" s="1"/>
  <c r="C135" i="11" s="1"/>
  <c r="L135" s="1"/>
  <c r="C136" i="13" s="1"/>
  <c r="L136" s="1"/>
  <c r="C141" i="15" s="1"/>
  <c r="L141" s="1"/>
  <c r="C143" i="17" s="1"/>
  <c r="L143" s="1"/>
  <c r="C143" i="19" s="1"/>
  <c r="L143" s="1"/>
  <c r="C141" i="21" s="1"/>
  <c r="L141" s="1"/>
  <c r="C142" i="23" s="1"/>
  <c r="L142" s="1"/>
  <c r="C142" i="25" s="1"/>
  <c r="L142" s="1"/>
  <c r="K132" i="1"/>
  <c r="L132" s="1"/>
  <c r="C132" i="3" s="1"/>
  <c r="L132" s="1"/>
  <c r="C132" i="5" s="1"/>
  <c r="L132" s="1"/>
  <c r="C132" i="7" s="1"/>
  <c r="L132" s="1"/>
  <c r="C132" i="9" s="1"/>
  <c r="L132" s="1"/>
  <c r="C134" i="11" s="1"/>
  <c r="L134" s="1"/>
  <c r="C135" i="13" s="1"/>
  <c r="L135" s="1"/>
  <c r="C140" i="15" s="1"/>
  <c r="L140" s="1"/>
  <c r="C142" i="17" s="1"/>
  <c r="L142" s="1"/>
  <c r="C142" i="19" s="1"/>
  <c r="L142" s="1"/>
  <c r="C140" i="21" s="1"/>
  <c r="L140" s="1"/>
  <c r="C141" i="23" s="1"/>
  <c r="L141" s="1"/>
  <c r="C141" i="25" s="1"/>
  <c r="L141" s="1"/>
  <c r="K131" i="1"/>
  <c r="L131" s="1"/>
  <c r="C131" i="3" s="1"/>
  <c r="L131" s="1"/>
  <c r="C131" i="5" s="1"/>
  <c r="L131" s="1"/>
  <c r="C131" i="7" s="1"/>
  <c r="L131" s="1"/>
  <c r="C131" i="9" s="1"/>
  <c r="L131" s="1"/>
  <c r="C133" i="11" s="1"/>
  <c r="L133" s="1"/>
  <c r="C134" i="13" s="1"/>
  <c r="L134" s="1"/>
  <c r="C139" i="15" s="1"/>
  <c r="L139" s="1"/>
  <c r="C141" i="17" s="1"/>
  <c r="L141" s="1"/>
  <c r="C141" i="19" s="1"/>
  <c r="L141" s="1"/>
  <c r="C139" i="21" s="1"/>
  <c r="L139" s="1"/>
  <c r="C140" i="23" s="1"/>
  <c r="L140" s="1"/>
  <c r="C140" i="25" s="1"/>
  <c r="L140" s="1"/>
  <c r="K130" i="1"/>
  <c r="L130" s="1"/>
  <c r="C130" i="3" s="1"/>
  <c r="L130" s="1"/>
  <c r="C130" i="5" s="1"/>
  <c r="L130" s="1"/>
  <c r="C130" i="7" s="1"/>
  <c r="L130" s="1"/>
  <c r="C130" i="9" s="1"/>
  <c r="L130" s="1"/>
  <c r="C132" i="11" s="1"/>
  <c r="L132" s="1"/>
  <c r="C133" i="13" s="1"/>
  <c r="L133" s="1"/>
  <c r="C138" i="15" s="1"/>
  <c r="L138" s="1"/>
  <c r="C140" i="17" s="1"/>
  <c r="L140" s="1"/>
  <c r="C140" i="19" s="1"/>
  <c r="L140" s="1"/>
  <c r="C138" i="21" s="1"/>
  <c r="L138" s="1"/>
  <c r="C139" i="23" s="1"/>
  <c r="L139" s="1"/>
  <c r="C139" i="25" s="1"/>
  <c r="L139" s="1"/>
  <c r="K129" i="1"/>
  <c r="L129" s="1"/>
  <c r="C129" i="3" s="1"/>
  <c r="L129" s="1"/>
  <c r="C129" i="5" s="1"/>
  <c r="L129" s="1"/>
  <c r="C129" i="7" s="1"/>
  <c r="L129" s="1"/>
  <c r="C129" i="9" s="1"/>
  <c r="L129" s="1"/>
  <c r="C131" i="11" s="1"/>
  <c r="L131" s="1"/>
  <c r="C132" i="13" s="1"/>
  <c r="L132" s="1"/>
  <c r="C137" i="15" s="1"/>
  <c r="L137" s="1"/>
  <c r="C139" i="17" s="1"/>
  <c r="L139" s="1"/>
  <c r="C139" i="19" s="1"/>
  <c r="L139" s="1"/>
  <c r="C137" i="21" s="1"/>
  <c r="L137" s="1"/>
  <c r="C138" i="23" s="1"/>
  <c r="L138" s="1"/>
  <c r="C138" i="25" s="1"/>
  <c r="L138" s="1"/>
  <c r="K128" i="1"/>
  <c r="L128" s="1"/>
  <c r="C128" i="3" s="1"/>
  <c r="L128" s="1"/>
  <c r="C128" i="5" s="1"/>
  <c r="L128" s="1"/>
  <c r="C128" i="7" s="1"/>
  <c r="L128" s="1"/>
  <c r="C128" i="9" s="1"/>
  <c r="L128" s="1"/>
  <c r="C130" i="11" s="1"/>
  <c r="L130" s="1"/>
  <c r="C131" i="13" s="1"/>
  <c r="L131" s="1"/>
  <c r="C136" i="15" s="1"/>
  <c r="L136" s="1"/>
  <c r="C138" i="17" s="1"/>
  <c r="L138" s="1"/>
  <c r="C138" i="19" s="1"/>
  <c r="L138" s="1"/>
  <c r="C136" i="21" s="1"/>
  <c r="L136" s="1"/>
  <c r="C137" i="23" s="1"/>
  <c r="L137" s="1"/>
  <c r="C137" i="25" s="1"/>
  <c r="L137" s="1"/>
  <c r="K127" i="1"/>
  <c r="L127" s="1"/>
  <c r="C127" i="3" s="1"/>
  <c r="L127" s="1"/>
  <c r="C127" i="5" s="1"/>
  <c r="L127" s="1"/>
  <c r="C127" i="7" s="1"/>
  <c r="L127" s="1"/>
  <c r="C127" i="9" s="1"/>
  <c r="L127" s="1"/>
  <c r="C129" i="11" s="1"/>
  <c r="L129" s="1"/>
  <c r="C130" i="13" s="1"/>
  <c r="L130" s="1"/>
  <c r="C135" i="15" s="1"/>
  <c r="L135" s="1"/>
  <c r="C137" i="17" s="1"/>
  <c r="L137" s="1"/>
  <c r="C137" i="19" s="1"/>
  <c r="L137" s="1"/>
  <c r="C135" i="21" s="1"/>
  <c r="L135" s="1"/>
  <c r="C136" i="23" s="1"/>
  <c r="L136" s="1"/>
  <c r="C136" i="25" s="1"/>
  <c r="L136" s="1"/>
  <c r="K126" i="1"/>
  <c r="L126" s="1"/>
  <c r="C126" i="3" s="1"/>
  <c r="L126" s="1"/>
  <c r="C126" i="5" s="1"/>
  <c r="L126" s="1"/>
  <c r="C126" i="7" s="1"/>
  <c r="L126" s="1"/>
  <c r="C126" i="9" s="1"/>
  <c r="L126" s="1"/>
  <c r="C128" i="11" s="1"/>
  <c r="L128" s="1"/>
  <c r="C129" i="13" s="1"/>
  <c r="L129" s="1"/>
  <c r="C134" i="15" s="1"/>
  <c r="L134" s="1"/>
  <c r="C136" i="17" s="1"/>
  <c r="L136" s="1"/>
  <c r="C136" i="19" s="1"/>
  <c r="L136" s="1"/>
  <c r="C134" i="21" s="1"/>
  <c r="L134" s="1"/>
  <c r="C134" i="23" s="1"/>
  <c r="L134" s="1"/>
  <c r="C134" i="25" s="1"/>
  <c r="L134" s="1"/>
  <c r="F126" i="1"/>
  <c r="L125"/>
  <c r="C125" i="3" s="1"/>
  <c r="L125" s="1"/>
  <c r="C125" i="5" s="1"/>
  <c r="L125" s="1"/>
  <c r="C125" i="7" s="1"/>
  <c r="L125" s="1"/>
  <c r="C125" i="9" s="1"/>
  <c r="L125" s="1"/>
  <c r="C127" i="11" s="1"/>
  <c r="L127" s="1"/>
  <c r="C128" i="13" s="1"/>
  <c r="L128" s="1"/>
  <c r="C133" i="15" s="1"/>
  <c r="L133" s="1"/>
  <c r="C135" i="17" s="1"/>
  <c r="L135" s="1"/>
  <c r="C135" i="19" s="1"/>
  <c r="L135" s="1"/>
  <c r="C133" i="21" s="1"/>
  <c r="L133" s="1"/>
  <c r="C133" i="23" s="1"/>
  <c r="L133" s="1"/>
  <c r="C133" i="25" s="1"/>
  <c r="L133" s="1"/>
  <c r="K125" i="1"/>
  <c r="L124"/>
  <c r="C124" i="3" s="1"/>
  <c r="L124" s="1"/>
  <c r="C124" i="5" s="1"/>
  <c r="L124" s="1"/>
  <c r="C124" i="7" s="1"/>
  <c r="L124" s="1"/>
  <c r="C124" i="9" s="1"/>
  <c r="L124" s="1"/>
  <c r="C126" i="11" s="1"/>
  <c r="L126" s="1"/>
  <c r="C127" i="13" s="1"/>
  <c r="L127" s="1"/>
  <c r="C132" i="15" s="1"/>
  <c r="L132" s="1"/>
  <c r="C134" i="17" s="1"/>
  <c r="L134" s="1"/>
  <c r="C134" i="19" s="1"/>
  <c r="L134" s="1"/>
  <c r="C132" i="21" s="1"/>
  <c r="L132" s="1"/>
  <c r="C132" i="23" s="1"/>
  <c r="L132" s="1"/>
  <c r="C132" i="25" s="1"/>
  <c r="L132" s="1"/>
  <c r="K124" i="1"/>
  <c r="L123"/>
  <c r="C123" i="3" s="1"/>
  <c r="L123" s="1"/>
  <c r="C123" i="5" s="1"/>
  <c r="L123" s="1"/>
  <c r="C123" i="7" s="1"/>
  <c r="L123" s="1"/>
  <c r="C123" i="9" s="1"/>
  <c r="L123" s="1"/>
  <c r="C125" i="11" s="1"/>
  <c r="L125" s="1"/>
  <c r="C126" i="13" s="1"/>
  <c r="L126" s="1"/>
  <c r="C131" i="15" s="1"/>
  <c r="L131" s="1"/>
  <c r="C133" i="17" s="1"/>
  <c r="L133" s="1"/>
  <c r="C133" i="19" s="1"/>
  <c r="L133" s="1"/>
  <c r="C131" i="21" s="1"/>
  <c r="L131" s="1"/>
  <c r="C131" i="23" s="1"/>
  <c r="L131" s="1"/>
  <c r="C131" i="25" s="1"/>
  <c r="L131" s="1"/>
  <c r="K123" i="1"/>
  <c r="L122"/>
  <c r="C122" i="3" s="1"/>
  <c r="L122" s="1"/>
  <c r="C122" i="5" s="1"/>
  <c r="L122" s="1"/>
  <c r="C122" i="7" s="1"/>
  <c r="L122" s="1"/>
  <c r="C122" i="9" s="1"/>
  <c r="L122" s="1"/>
  <c r="C124" i="11" s="1"/>
  <c r="L124" s="1"/>
  <c r="C125" i="13" s="1"/>
  <c r="L125" s="1"/>
  <c r="C130" i="15" s="1"/>
  <c r="L130" s="1"/>
  <c r="C132" i="17" s="1"/>
  <c r="L132" s="1"/>
  <c r="C132" i="19" s="1"/>
  <c r="L132" s="1"/>
  <c r="C130" i="21" s="1"/>
  <c r="L130" s="1"/>
  <c r="C130" i="23" s="1"/>
  <c r="L130" s="1"/>
  <c r="C130" i="25" s="1"/>
  <c r="L130" s="1"/>
  <c r="K122" i="1"/>
  <c r="L121"/>
  <c r="C121" i="3" s="1"/>
  <c r="L121" s="1"/>
  <c r="C121" i="5" s="1"/>
  <c r="L121" s="1"/>
  <c r="C121" i="7" s="1"/>
  <c r="L121" s="1"/>
  <c r="C121" i="9" s="1"/>
  <c r="L121" s="1"/>
  <c r="C123" i="11" s="1"/>
  <c r="L123" s="1"/>
  <c r="C124" i="13" s="1"/>
  <c r="L124" s="1"/>
  <c r="C129" i="15" s="1"/>
  <c r="L129" s="1"/>
  <c r="C131" i="17" s="1"/>
  <c r="L131" s="1"/>
  <c r="C131" i="19" s="1"/>
  <c r="L131" s="1"/>
  <c r="C129" i="21" s="1"/>
  <c r="L129" s="1"/>
  <c r="C129" i="23" s="1"/>
  <c r="L129" s="1"/>
  <c r="C129" i="25" s="1"/>
  <c r="L129" s="1"/>
  <c r="K121" i="1"/>
  <c r="F120"/>
  <c r="K120" s="1"/>
  <c r="L120" s="1"/>
  <c r="C120" i="3" s="1"/>
  <c r="L120" s="1"/>
  <c r="C120" i="5" s="1"/>
  <c r="L120" s="1"/>
  <c r="C120" i="7" s="1"/>
  <c r="L120" s="1"/>
  <c r="C120" i="9" s="1"/>
  <c r="L120" s="1"/>
  <c r="C122" i="11" s="1"/>
  <c r="L122" s="1"/>
  <c r="C123" i="13" s="1"/>
  <c r="L123" s="1"/>
  <c r="C128" i="15" s="1"/>
  <c r="L128" s="1"/>
  <c r="C130" i="17" s="1"/>
  <c r="L130" s="1"/>
  <c r="C130" i="19" s="1"/>
  <c r="L130" s="1"/>
  <c r="C128" i="21" s="1"/>
  <c r="L128" s="1"/>
  <c r="C128" i="23" s="1"/>
  <c r="L128" s="1"/>
  <c r="C128" i="25" s="1"/>
  <c r="L128" s="1"/>
  <c r="K119" i="1"/>
  <c r="L119" s="1"/>
  <c r="C119" i="3" s="1"/>
  <c r="L119" s="1"/>
  <c r="C119" i="5" s="1"/>
  <c r="L119" s="1"/>
  <c r="C119" i="7" s="1"/>
  <c r="L119" s="1"/>
  <c r="C119" i="9" s="1"/>
  <c r="L119" s="1"/>
  <c r="C121" i="11" s="1"/>
  <c r="L121" s="1"/>
  <c r="C122" i="13" s="1"/>
  <c r="L122" s="1"/>
  <c r="C127" i="15" s="1"/>
  <c r="L127" s="1"/>
  <c r="C129" i="17" s="1"/>
  <c r="L129" s="1"/>
  <c r="C129" i="19" s="1"/>
  <c r="L129" s="1"/>
  <c r="C127" i="21" s="1"/>
  <c r="L127" s="1"/>
  <c r="C127" i="23" s="1"/>
  <c r="L127" s="1"/>
  <c r="C127" i="25" s="1"/>
  <c r="L127" s="1"/>
  <c r="K118" i="1"/>
  <c r="L118" s="1"/>
  <c r="C118" i="3" s="1"/>
  <c r="L118" s="1"/>
  <c r="C118" i="5" s="1"/>
  <c r="L118" s="1"/>
  <c r="C118" i="7" s="1"/>
  <c r="L118" s="1"/>
  <c r="C118" i="9" s="1"/>
  <c r="L118" s="1"/>
  <c r="C120" i="11" s="1"/>
  <c r="L120" s="1"/>
  <c r="C121" i="13" s="1"/>
  <c r="L121" s="1"/>
  <c r="C126" i="15" s="1"/>
  <c r="L126" s="1"/>
  <c r="C128" i="17" s="1"/>
  <c r="L128" s="1"/>
  <c r="C128" i="19" s="1"/>
  <c r="L128" s="1"/>
  <c r="C126" i="21" s="1"/>
  <c r="L126" s="1"/>
  <c r="C126" i="23" s="1"/>
  <c r="L126" s="1"/>
  <c r="C126" i="25" s="1"/>
  <c r="L126" s="1"/>
  <c r="K117" i="1"/>
  <c r="L117" s="1"/>
  <c r="C117" i="3" s="1"/>
  <c r="L117" s="1"/>
  <c r="C117" i="5" s="1"/>
  <c r="L117" s="1"/>
  <c r="C117" i="7" s="1"/>
  <c r="L117" s="1"/>
  <c r="C117" i="9" s="1"/>
  <c r="L117" s="1"/>
  <c r="C119" i="11" s="1"/>
  <c r="L119" s="1"/>
  <c r="C120" i="13" s="1"/>
  <c r="L120" s="1"/>
  <c r="C125" i="15" s="1"/>
  <c r="L125" s="1"/>
  <c r="C127" i="17" s="1"/>
  <c r="L127" s="1"/>
  <c r="C127" i="19" s="1"/>
  <c r="L127" s="1"/>
  <c r="C125" i="21" s="1"/>
  <c r="L125" s="1"/>
  <c r="C125" i="23" s="1"/>
  <c r="L125" s="1"/>
  <c r="C125" i="25" s="1"/>
  <c r="L125" s="1"/>
  <c r="K116" i="1"/>
  <c r="L116" s="1"/>
  <c r="C116" i="3" s="1"/>
  <c r="L116" s="1"/>
  <c r="C116" i="5" s="1"/>
  <c r="L116" s="1"/>
  <c r="C116" i="7" s="1"/>
  <c r="L116" s="1"/>
  <c r="C116" i="9" s="1"/>
  <c r="L116" s="1"/>
  <c r="C118" i="11" s="1"/>
  <c r="L118" s="1"/>
  <c r="C119" i="13" s="1"/>
  <c r="L119" s="1"/>
  <c r="C124" i="15" s="1"/>
  <c r="L124" s="1"/>
  <c r="C126" i="17" s="1"/>
  <c r="L126" s="1"/>
  <c r="C126" i="19" s="1"/>
  <c r="L126" s="1"/>
  <c r="C124" i="21" s="1"/>
  <c r="L124" s="1"/>
  <c r="C124" i="23" s="1"/>
  <c r="L124" s="1"/>
  <c r="C124" i="25" s="1"/>
  <c r="L124" s="1"/>
  <c r="F116" i="1"/>
  <c r="L115"/>
  <c r="C115" i="3" s="1"/>
  <c r="L115" s="1"/>
  <c r="C115" i="5" s="1"/>
  <c r="L115" s="1"/>
  <c r="C115" i="7" s="1"/>
  <c r="L115" s="1"/>
  <c r="C115" i="9" s="1"/>
  <c r="L115" s="1"/>
  <c r="C117" i="11" s="1"/>
  <c r="L117" s="1"/>
  <c r="C118" i="13" s="1"/>
  <c r="L118" s="1"/>
  <c r="C123" i="15" s="1"/>
  <c r="L123" s="1"/>
  <c r="C125" i="17" s="1"/>
  <c r="L125" s="1"/>
  <c r="C125" i="19" s="1"/>
  <c r="L125" s="1"/>
  <c r="C123" i="21" s="1"/>
  <c r="L123" s="1"/>
  <c r="C123" i="23" s="1"/>
  <c r="L123" s="1"/>
  <c r="C123" i="25" s="1"/>
  <c r="L123" s="1"/>
  <c r="K115" i="1"/>
  <c r="L114"/>
  <c r="C114" i="3" s="1"/>
  <c r="L114" s="1"/>
  <c r="C114" i="5" s="1"/>
  <c r="L114" s="1"/>
  <c r="C114" i="7" s="1"/>
  <c r="L114" s="1"/>
  <c r="C114" i="9" s="1"/>
  <c r="L114" s="1"/>
  <c r="C116" i="11" s="1"/>
  <c r="L116" s="1"/>
  <c r="C117" i="13" s="1"/>
  <c r="L117" s="1"/>
  <c r="C122" i="15" s="1"/>
  <c r="L122" s="1"/>
  <c r="C124" i="17" s="1"/>
  <c r="L124" s="1"/>
  <c r="C124" i="19" s="1"/>
  <c r="L124" s="1"/>
  <c r="C122" i="21" s="1"/>
  <c r="L122" s="1"/>
  <c r="C122" i="23" s="1"/>
  <c r="L122" s="1"/>
  <c r="C122" i="25" s="1"/>
  <c r="L122" s="1"/>
  <c r="K114" i="1"/>
  <c r="L113"/>
  <c r="C113" i="3" s="1"/>
  <c r="L113" s="1"/>
  <c r="C113" i="5" s="1"/>
  <c r="L113" s="1"/>
  <c r="C113" i="7" s="1"/>
  <c r="L113" s="1"/>
  <c r="C113" i="9" s="1"/>
  <c r="L113" s="1"/>
  <c r="C115" i="11" s="1"/>
  <c r="L115" s="1"/>
  <c r="C116" i="13" s="1"/>
  <c r="L116" s="1"/>
  <c r="C121" i="15" s="1"/>
  <c r="L121" s="1"/>
  <c r="C123" i="17" s="1"/>
  <c r="L123" s="1"/>
  <c r="C123" i="19" s="1"/>
  <c r="L123" s="1"/>
  <c r="C121" i="21" s="1"/>
  <c r="L121" s="1"/>
  <c r="C121" i="23" s="1"/>
  <c r="L121" s="1"/>
  <c r="C121" i="25" s="1"/>
  <c r="L121" s="1"/>
  <c r="K113" i="1"/>
  <c r="F112"/>
  <c r="K112" s="1"/>
  <c r="L112" s="1"/>
  <c r="C112" i="3" s="1"/>
  <c r="L112" s="1"/>
  <c r="C112" i="5" s="1"/>
  <c r="L112" s="1"/>
  <c r="C112" i="7" s="1"/>
  <c r="L112" s="1"/>
  <c r="C112" i="9" s="1"/>
  <c r="L112" s="1"/>
  <c r="C114" i="11" s="1"/>
  <c r="L114" s="1"/>
  <c r="C115" i="13" s="1"/>
  <c r="L115" s="1"/>
  <c r="C120" i="15" s="1"/>
  <c r="L120" s="1"/>
  <c r="C122" i="17" s="1"/>
  <c r="L122" s="1"/>
  <c r="C122" i="19" s="1"/>
  <c r="L122" s="1"/>
  <c r="C120" i="21" s="1"/>
  <c r="L120" s="1"/>
  <c r="C120" i="23" s="1"/>
  <c r="L120" s="1"/>
  <c r="C120" i="25" s="1"/>
  <c r="L120" s="1"/>
  <c r="K111" i="1"/>
  <c r="L111" s="1"/>
  <c r="C111" i="3" s="1"/>
  <c r="L111" s="1"/>
  <c r="C111" i="5" s="1"/>
  <c r="L111" s="1"/>
  <c r="C111" i="7" s="1"/>
  <c r="L111" s="1"/>
  <c r="C111" i="9" s="1"/>
  <c r="L111" s="1"/>
  <c r="C113" i="11" s="1"/>
  <c r="L113" s="1"/>
  <c r="C114" i="13" s="1"/>
  <c r="L114" s="1"/>
  <c r="C119" i="15" s="1"/>
  <c r="L119" s="1"/>
  <c r="C121" i="17" s="1"/>
  <c r="L121" s="1"/>
  <c r="C121" i="19" s="1"/>
  <c r="L121" s="1"/>
  <c r="C119" i="21" s="1"/>
  <c r="L119" s="1"/>
  <c r="C119" i="23" s="1"/>
  <c r="L119" s="1"/>
  <c r="C119" i="25" s="1"/>
  <c r="L119" s="1"/>
  <c r="K110" i="1"/>
  <c r="L110" s="1"/>
  <c r="C110" i="3" s="1"/>
  <c r="L110" s="1"/>
  <c r="C110" i="5" s="1"/>
  <c r="L110" s="1"/>
  <c r="C110" i="7" s="1"/>
  <c r="L110" s="1"/>
  <c r="C110" i="9" s="1"/>
  <c r="L110" s="1"/>
  <c r="C112" i="11" s="1"/>
  <c r="L112" s="1"/>
  <c r="C113" i="13" s="1"/>
  <c r="L113" s="1"/>
  <c r="C118" i="15" s="1"/>
  <c r="L118" s="1"/>
  <c r="C120" i="17" s="1"/>
  <c r="L120" s="1"/>
  <c r="C120" i="19" s="1"/>
  <c r="L120" s="1"/>
  <c r="C118" i="21" s="1"/>
  <c r="L118" s="1"/>
  <c r="C118" i="23" s="1"/>
  <c r="L118" s="1"/>
  <c r="C118" i="25" s="1"/>
  <c r="L118" s="1"/>
  <c r="F110" i="1"/>
  <c r="L109"/>
  <c r="C109" i="3" s="1"/>
  <c r="L109" s="1"/>
  <c r="C109" i="5" s="1"/>
  <c r="L109" s="1"/>
  <c r="C109" i="7" s="1"/>
  <c r="L109" s="1"/>
  <c r="C109" i="9" s="1"/>
  <c r="L109" s="1"/>
  <c r="C111" i="11" s="1"/>
  <c r="L111" s="1"/>
  <c r="C112" i="13" s="1"/>
  <c r="L112" s="1"/>
  <c r="C117" i="15" s="1"/>
  <c r="L117" s="1"/>
  <c r="C119" i="17" s="1"/>
  <c r="L119" s="1"/>
  <c r="C119" i="19" s="1"/>
  <c r="L119" s="1"/>
  <c r="C117" i="21" s="1"/>
  <c r="L117" s="1"/>
  <c r="C117" i="23" s="1"/>
  <c r="L117" s="1"/>
  <c r="C117" i="25" s="1"/>
  <c r="L117" s="1"/>
  <c r="K109" i="1"/>
  <c r="L108"/>
  <c r="C108" i="3" s="1"/>
  <c r="L108" s="1"/>
  <c r="C108" i="5" s="1"/>
  <c r="L108" s="1"/>
  <c r="C108" i="7" s="1"/>
  <c r="L108" s="1"/>
  <c r="C108" i="9" s="1"/>
  <c r="L108" s="1"/>
  <c r="C110" i="11" s="1"/>
  <c r="L110" s="1"/>
  <c r="C111" i="13" s="1"/>
  <c r="L111" s="1"/>
  <c r="C116" i="15" s="1"/>
  <c r="L116" s="1"/>
  <c r="C118" i="17" s="1"/>
  <c r="L118" s="1"/>
  <c r="C118" i="19" s="1"/>
  <c r="L118" s="1"/>
  <c r="C116" i="21" s="1"/>
  <c r="L116" s="1"/>
  <c r="C116" i="23" s="1"/>
  <c r="L116" s="1"/>
  <c r="C116" i="25" s="1"/>
  <c r="L116" s="1"/>
  <c r="K108" i="1"/>
  <c r="L107"/>
  <c r="C107" i="3" s="1"/>
  <c r="L107" s="1"/>
  <c r="C107" i="5" s="1"/>
  <c r="L107" s="1"/>
  <c r="C107" i="7" s="1"/>
  <c r="L107" s="1"/>
  <c r="C107" i="9" s="1"/>
  <c r="L107" s="1"/>
  <c r="C109" i="11" s="1"/>
  <c r="L109" s="1"/>
  <c r="C110" i="13" s="1"/>
  <c r="L110" s="1"/>
  <c r="C115" i="15" s="1"/>
  <c r="L115" s="1"/>
  <c r="C117" i="17" s="1"/>
  <c r="L117" s="1"/>
  <c r="C117" i="19" s="1"/>
  <c r="L117" s="1"/>
  <c r="C115" i="21" s="1"/>
  <c r="L115" s="1"/>
  <c r="C115" i="23" s="1"/>
  <c r="L115" s="1"/>
  <c r="C115" i="25" s="1"/>
  <c r="L115" s="1"/>
  <c r="K107" i="1"/>
  <c r="L106"/>
  <c r="C106" i="3" s="1"/>
  <c r="L106" s="1"/>
  <c r="C106" i="5" s="1"/>
  <c r="L106" s="1"/>
  <c r="C106" i="7" s="1"/>
  <c r="L106" s="1"/>
  <c r="C106" i="9" s="1"/>
  <c r="L106" s="1"/>
  <c r="C108" i="11" s="1"/>
  <c r="L108" s="1"/>
  <c r="C109" i="13" s="1"/>
  <c r="L109" s="1"/>
  <c r="C114" i="15" s="1"/>
  <c r="L114" s="1"/>
  <c r="C116" i="17" s="1"/>
  <c r="L116" s="1"/>
  <c r="C116" i="19" s="1"/>
  <c r="L116" s="1"/>
  <c r="C114" i="21" s="1"/>
  <c r="L114" s="1"/>
  <c r="C114" i="23" s="1"/>
  <c r="L114" s="1"/>
  <c r="C114" i="25" s="1"/>
  <c r="L114" s="1"/>
  <c r="K106" i="1"/>
  <c r="L105"/>
  <c r="C105" i="3" s="1"/>
  <c r="L105" s="1"/>
  <c r="C105" i="5" s="1"/>
  <c r="L105" s="1"/>
  <c r="C105" i="7" s="1"/>
  <c r="L105" s="1"/>
  <c r="C105" i="9" s="1"/>
  <c r="L105" s="1"/>
  <c r="C107" i="11" s="1"/>
  <c r="L107" s="1"/>
  <c r="C108" i="13" s="1"/>
  <c r="L108" s="1"/>
  <c r="C113" i="15" s="1"/>
  <c r="L113" s="1"/>
  <c r="C115" i="17" s="1"/>
  <c r="L115" s="1"/>
  <c r="C115" i="19" s="1"/>
  <c r="L115" s="1"/>
  <c r="C113" i="21" s="1"/>
  <c r="L113" s="1"/>
  <c r="C113" i="23" s="1"/>
  <c r="L113" s="1"/>
  <c r="C113" i="25" s="1"/>
  <c r="L113" s="1"/>
  <c r="K105" i="1"/>
  <c r="F104"/>
  <c r="K104" s="1"/>
  <c r="L104" s="1"/>
  <c r="C104" i="3" s="1"/>
  <c r="L104" s="1"/>
  <c r="C104" i="5" s="1"/>
  <c r="L104" s="1"/>
  <c r="C104" i="7" s="1"/>
  <c r="L104" s="1"/>
  <c r="C104" i="9" s="1"/>
  <c r="L104" s="1"/>
  <c r="C106" i="11" s="1"/>
  <c r="L106" s="1"/>
  <c r="C107" i="13" s="1"/>
  <c r="L107" s="1"/>
  <c r="C112" i="15" s="1"/>
  <c r="L112" s="1"/>
  <c r="C114" i="17" s="1"/>
  <c r="L114" s="1"/>
  <c r="C114" i="19" s="1"/>
  <c r="L114" s="1"/>
  <c r="C112" i="21" s="1"/>
  <c r="L112" s="1"/>
  <c r="C112" i="23" s="1"/>
  <c r="L112" s="1"/>
  <c r="C112" i="25" s="1"/>
  <c r="L112" s="1"/>
  <c r="K103" i="1"/>
  <c r="L103" s="1"/>
  <c r="C103" i="3" s="1"/>
  <c r="L103" s="1"/>
  <c r="C103" i="5" s="1"/>
  <c r="L103" s="1"/>
  <c r="C103" i="7" s="1"/>
  <c r="L103" s="1"/>
  <c r="C103" i="9" s="1"/>
  <c r="L103" s="1"/>
  <c r="C105" i="11" s="1"/>
  <c r="L105" s="1"/>
  <c r="C106" i="13" s="1"/>
  <c r="L106" s="1"/>
  <c r="C111" i="15" s="1"/>
  <c r="L111" s="1"/>
  <c r="C113" i="17" s="1"/>
  <c r="L113" s="1"/>
  <c r="C113" i="19" s="1"/>
  <c r="L113" s="1"/>
  <c r="C111" i="21" s="1"/>
  <c r="L111" s="1"/>
  <c r="C111" i="23" s="1"/>
  <c r="L111" s="1"/>
  <c r="C111" i="25" s="1"/>
  <c r="L111" s="1"/>
  <c r="K102" i="1"/>
  <c r="L102" s="1"/>
  <c r="C102" i="3" s="1"/>
  <c r="L102" s="1"/>
  <c r="C102" i="5" s="1"/>
  <c r="L102" s="1"/>
  <c r="C102" i="7" s="1"/>
  <c r="L102" s="1"/>
  <c r="C102" i="9" s="1"/>
  <c r="L102" s="1"/>
  <c r="C104" i="11" s="1"/>
  <c r="L104" s="1"/>
  <c r="C105" i="13" s="1"/>
  <c r="L105" s="1"/>
  <c r="C110" i="15" s="1"/>
  <c r="L110" s="1"/>
  <c r="C112" i="17" s="1"/>
  <c r="L112" s="1"/>
  <c r="F102" i="1"/>
  <c r="L101"/>
  <c r="C101" i="3" s="1"/>
  <c r="L101" s="1"/>
  <c r="C101" i="5" s="1"/>
  <c r="L101" s="1"/>
  <c r="C101" i="7" s="1"/>
  <c r="L101" s="1"/>
  <c r="C101" i="9" s="1"/>
  <c r="L101" s="1"/>
  <c r="C103" i="11" s="1"/>
  <c r="L103" s="1"/>
  <c r="C104" i="13" s="1"/>
  <c r="L104" s="1"/>
  <c r="C109" i="15" s="1"/>
  <c r="L109" s="1"/>
  <c r="C111" i="17" s="1"/>
  <c r="L111" s="1"/>
  <c r="C112" i="19" s="1"/>
  <c r="L112" s="1"/>
  <c r="C110" i="21" s="1"/>
  <c r="L110" s="1"/>
  <c r="C110" i="23" s="1"/>
  <c r="L110" s="1"/>
  <c r="C110" i="25" s="1"/>
  <c r="L110" s="1"/>
  <c r="K101" i="1"/>
  <c r="L100"/>
  <c r="C100" i="3" s="1"/>
  <c r="L100" s="1"/>
  <c r="C100" i="5" s="1"/>
  <c r="L100" s="1"/>
  <c r="C100" i="7" s="1"/>
  <c r="L100" s="1"/>
  <c r="C100" i="9" s="1"/>
  <c r="L100" s="1"/>
  <c r="C102" i="11" s="1"/>
  <c r="L102" s="1"/>
  <c r="C103" i="13" s="1"/>
  <c r="L103" s="1"/>
  <c r="C108" i="15" s="1"/>
  <c r="L108" s="1"/>
  <c r="C110" i="17" s="1"/>
  <c r="L110" s="1"/>
  <c r="C111" i="19" s="1"/>
  <c r="L111" s="1"/>
  <c r="C109" i="21" s="1"/>
  <c r="L109" s="1"/>
  <c r="C109" i="23" s="1"/>
  <c r="L109" s="1"/>
  <c r="C109" i="25" s="1"/>
  <c r="L109" s="1"/>
  <c r="K100" i="1"/>
  <c r="L99"/>
  <c r="C99" i="3" s="1"/>
  <c r="L99" s="1"/>
  <c r="C99" i="5" s="1"/>
  <c r="L99" s="1"/>
  <c r="C99" i="7" s="1"/>
  <c r="L99" s="1"/>
  <c r="C99" i="9" s="1"/>
  <c r="L99" s="1"/>
  <c r="C101" i="11" s="1"/>
  <c r="L101" s="1"/>
  <c r="C102" i="13" s="1"/>
  <c r="L102" s="1"/>
  <c r="C107" i="15" s="1"/>
  <c r="L107" s="1"/>
  <c r="C109" i="17" s="1"/>
  <c r="L109" s="1"/>
  <c r="C110" i="19" s="1"/>
  <c r="L110" s="1"/>
  <c r="C108" i="21" s="1"/>
  <c r="L108" s="1"/>
  <c r="C108" i="23" s="1"/>
  <c r="L108" s="1"/>
  <c r="C108" i="25" s="1"/>
  <c r="L108" s="1"/>
  <c r="K99" i="1"/>
  <c r="L98"/>
  <c r="C98" i="3" s="1"/>
  <c r="L98" s="1"/>
  <c r="C98" i="5" s="1"/>
  <c r="L98" s="1"/>
  <c r="C98" i="7" s="1"/>
  <c r="L98" s="1"/>
  <c r="C98" i="9" s="1"/>
  <c r="L98" s="1"/>
  <c r="C100" i="11" s="1"/>
  <c r="L100" s="1"/>
  <c r="C101" i="13" s="1"/>
  <c r="L101" s="1"/>
  <c r="C106" i="15" s="1"/>
  <c r="L106" s="1"/>
  <c r="C108" i="17" s="1"/>
  <c r="L108" s="1"/>
  <c r="C109" i="19" s="1"/>
  <c r="L109" s="1"/>
  <c r="C107" i="21" s="1"/>
  <c r="L107" s="1"/>
  <c r="C107" i="23" s="1"/>
  <c r="L107" s="1"/>
  <c r="C107" i="25" s="1"/>
  <c r="L107" s="1"/>
  <c r="K98" i="1"/>
  <c r="L97"/>
  <c r="C97" i="3" s="1"/>
  <c r="L97" s="1"/>
  <c r="C97" i="5" s="1"/>
  <c r="L97" s="1"/>
  <c r="C97" i="7" s="1"/>
  <c r="L97" s="1"/>
  <c r="C97" i="9" s="1"/>
  <c r="L97" s="1"/>
  <c r="C99" i="11" s="1"/>
  <c r="L99" s="1"/>
  <c r="C100" i="13" s="1"/>
  <c r="L100" s="1"/>
  <c r="C105" i="15" s="1"/>
  <c r="L105" s="1"/>
  <c r="C107" i="17" s="1"/>
  <c r="L107" s="1"/>
  <c r="C108" i="19" s="1"/>
  <c r="L108" s="1"/>
  <c r="C106" i="21" s="1"/>
  <c r="L106" s="1"/>
  <c r="C106" i="23" s="1"/>
  <c r="L106" s="1"/>
  <c r="C106" i="25" s="1"/>
  <c r="L106" s="1"/>
  <c r="K97" i="1"/>
  <c r="L96"/>
  <c r="C96" i="3" s="1"/>
  <c r="L96" s="1"/>
  <c r="C96" i="5" s="1"/>
  <c r="L96" s="1"/>
  <c r="C96" i="7" s="1"/>
  <c r="L96" s="1"/>
  <c r="C96" i="9" s="1"/>
  <c r="L96" s="1"/>
  <c r="C98" i="11" s="1"/>
  <c r="L98" s="1"/>
  <c r="C99" i="13" s="1"/>
  <c r="L99" s="1"/>
  <c r="C104" i="15" s="1"/>
  <c r="L104" s="1"/>
  <c r="C106" i="17" s="1"/>
  <c r="L106" s="1"/>
  <c r="C107" i="19" s="1"/>
  <c r="L107" s="1"/>
  <c r="C105" i="21" s="1"/>
  <c r="L105" s="1"/>
  <c r="C105" i="23" s="1"/>
  <c r="L105" s="1"/>
  <c r="C105" i="25" s="1"/>
  <c r="L105" s="1"/>
  <c r="K96" i="1"/>
  <c r="L95"/>
  <c r="C95" i="3" s="1"/>
  <c r="L95" s="1"/>
  <c r="C95" i="5" s="1"/>
  <c r="L95" s="1"/>
  <c r="C95" i="7" s="1"/>
  <c r="L95" s="1"/>
  <c r="C95" i="9" s="1"/>
  <c r="L95" s="1"/>
  <c r="C97" i="11" s="1"/>
  <c r="L97" s="1"/>
  <c r="C98" i="13" s="1"/>
  <c r="L98" s="1"/>
  <c r="C103" i="15" s="1"/>
  <c r="L103" s="1"/>
  <c r="C105" i="17" s="1"/>
  <c r="L105" s="1"/>
  <c r="C106" i="19" s="1"/>
  <c r="L106" s="1"/>
  <c r="C104" i="21" s="1"/>
  <c r="L104" s="1"/>
  <c r="C104" i="23" s="1"/>
  <c r="L104" s="1"/>
  <c r="C104" i="25" s="1"/>
  <c r="L104" s="1"/>
  <c r="K95" i="1"/>
  <c r="L94"/>
  <c r="C94" i="3" s="1"/>
  <c r="L94" s="1"/>
  <c r="C94" i="5" s="1"/>
  <c r="L94" s="1"/>
  <c r="C94" i="7" s="1"/>
  <c r="L94" s="1"/>
  <c r="C94" i="9" s="1"/>
  <c r="L94" s="1"/>
  <c r="C96" i="11" s="1"/>
  <c r="L96" s="1"/>
  <c r="C97" i="13" s="1"/>
  <c r="L97" s="1"/>
  <c r="C102" i="15" s="1"/>
  <c r="L102" s="1"/>
  <c r="C104" i="17" s="1"/>
  <c r="L104" s="1"/>
  <c r="C105" i="19" s="1"/>
  <c r="L105" s="1"/>
  <c r="C103" i="21" s="1"/>
  <c r="L103" s="1"/>
  <c r="C103" i="23" s="1"/>
  <c r="L103" s="1"/>
  <c r="C103" i="25" s="1"/>
  <c r="L103" s="1"/>
  <c r="K94" i="1"/>
  <c r="L93"/>
  <c r="C93" i="3" s="1"/>
  <c r="L93" s="1"/>
  <c r="C93" i="5" s="1"/>
  <c r="L93" s="1"/>
  <c r="C93" i="7" s="1"/>
  <c r="L93" s="1"/>
  <c r="C93" i="9" s="1"/>
  <c r="L93" s="1"/>
  <c r="C95" i="11" s="1"/>
  <c r="L95" s="1"/>
  <c r="C96" i="13" s="1"/>
  <c r="L96" s="1"/>
  <c r="C101" i="15" s="1"/>
  <c r="L101" s="1"/>
  <c r="C103" i="17" s="1"/>
  <c r="L103" s="1"/>
  <c r="C104" i="19" s="1"/>
  <c r="L104" s="1"/>
  <c r="C102" i="21" s="1"/>
  <c r="L102" s="1"/>
  <c r="C102" i="23" s="1"/>
  <c r="L102" s="1"/>
  <c r="C102" i="25" s="1"/>
  <c r="L102" s="1"/>
  <c r="K93" i="1"/>
  <c r="F92"/>
  <c r="K92" s="1"/>
  <c r="L92" s="1"/>
  <c r="C92" i="3" s="1"/>
  <c r="L92" s="1"/>
  <c r="C92" i="5" s="1"/>
  <c r="L92" s="1"/>
  <c r="C92" i="7" s="1"/>
  <c r="L92" s="1"/>
  <c r="C92" i="9" s="1"/>
  <c r="L92" s="1"/>
  <c r="C94" i="11" s="1"/>
  <c r="L94" s="1"/>
  <c r="C95" i="13" s="1"/>
  <c r="L95" s="1"/>
  <c r="C100" i="15" s="1"/>
  <c r="L100" s="1"/>
  <c r="C102" i="17" s="1"/>
  <c r="L102" s="1"/>
  <c r="C103" i="19" s="1"/>
  <c r="L103" s="1"/>
  <c r="C101" i="21" s="1"/>
  <c r="L101" s="1"/>
  <c r="C101" i="23" s="1"/>
  <c r="L101" s="1"/>
  <c r="C101" i="25" s="1"/>
  <c r="L101" s="1"/>
  <c r="K91" i="1"/>
  <c r="L91" s="1"/>
  <c r="C91" i="3" s="1"/>
  <c r="L91" s="1"/>
  <c r="C91" i="5" s="1"/>
  <c r="L91" s="1"/>
  <c r="C91" i="7" s="1"/>
  <c r="L91" s="1"/>
  <c r="C91" i="9" s="1"/>
  <c r="L91" s="1"/>
  <c r="C93" i="11" s="1"/>
  <c r="L93" s="1"/>
  <c r="C94" i="13" s="1"/>
  <c r="L94" s="1"/>
  <c r="C99" i="15" s="1"/>
  <c r="L99" s="1"/>
  <c r="C101" i="17" s="1"/>
  <c r="L101" s="1"/>
  <c r="C102" i="19" s="1"/>
  <c r="L102" s="1"/>
  <c r="C100" i="21" s="1"/>
  <c r="L100" s="1"/>
  <c r="C100" i="23" s="1"/>
  <c r="L100" s="1"/>
  <c r="C100" i="25" s="1"/>
  <c r="L100" s="1"/>
  <c r="K90" i="1"/>
  <c r="L90" s="1"/>
  <c r="C90" i="3" s="1"/>
  <c r="L90" s="1"/>
  <c r="C90" i="5" s="1"/>
  <c r="L90" s="1"/>
  <c r="C90" i="7" s="1"/>
  <c r="L90" s="1"/>
  <c r="C90" i="9" s="1"/>
  <c r="L90" s="1"/>
  <c r="C92" i="11" s="1"/>
  <c r="L92" s="1"/>
  <c r="C93" i="13" s="1"/>
  <c r="L93" s="1"/>
  <c r="C98" i="15" s="1"/>
  <c r="L98" s="1"/>
  <c r="C100" i="17" s="1"/>
  <c r="L100" s="1"/>
  <c r="C101" i="19" s="1"/>
  <c r="L101" s="1"/>
  <c r="C99" i="21" s="1"/>
  <c r="L99" s="1"/>
  <c r="C99" i="23" s="1"/>
  <c r="L99" s="1"/>
  <c r="C99" i="25" s="1"/>
  <c r="L99" s="1"/>
  <c r="K89" i="1"/>
  <c r="L89" s="1"/>
  <c r="C89" i="3" s="1"/>
  <c r="L89" s="1"/>
  <c r="C89" i="5" s="1"/>
  <c r="L89" s="1"/>
  <c r="C89" i="7" s="1"/>
  <c r="L89" s="1"/>
  <c r="C89" i="9" s="1"/>
  <c r="L89" s="1"/>
  <c r="C91" i="11" s="1"/>
  <c r="L91" s="1"/>
  <c r="C92" i="13" s="1"/>
  <c r="L92" s="1"/>
  <c r="C97" i="15" s="1"/>
  <c r="L97" s="1"/>
  <c r="C99" i="17" s="1"/>
  <c r="L99" s="1"/>
  <c r="C100" i="19" s="1"/>
  <c r="L100" s="1"/>
  <c r="C98" i="21" s="1"/>
  <c r="L98" s="1"/>
  <c r="C98" i="23" s="1"/>
  <c r="L98" s="1"/>
  <c r="C98" i="25" s="1"/>
  <c r="L98" s="1"/>
  <c r="K88" i="1"/>
  <c r="L88" s="1"/>
  <c r="C88" i="3" s="1"/>
  <c r="L88" s="1"/>
  <c r="C88" i="5" s="1"/>
  <c r="L88" s="1"/>
  <c r="C88" i="7" s="1"/>
  <c r="L88" s="1"/>
  <c r="C88" i="9" s="1"/>
  <c r="L88" s="1"/>
  <c r="C89" i="11" s="1"/>
  <c r="L89" s="1"/>
  <c r="C90" i="13" s="1"/>
  <c r="L90" s="1"/>
  <c r="C95" i="15" s="1"/>
  <c r="L95" s="1"/>
  <c r="C97" i="17" s="1"/>
  <c r="L97" s="1"/>
  <c r="C98" i="19" s="1"/>
  <c r="L98" s="1"/>
  <c r="C96" i="21" s="1"/>
  <c r="L96" s="1"/>
  <c r="C96" i="23" s="1"/>
  <c r="L96" s="1"/>
  <c r="C96" i="25" s="1"/>
  <c r="L96" s="1"/>
  <c r="K87" i="1"/>
  <c r="L87" s="1"/>
  <c r="C87" i="3" s="1"/>
  <c r="L87" s="1"/>
  <c r="C87" i="5" s="1"/>
  <c r="L87" s="1"/>
  <c r="C87" i="7" s="1"/>
  <c r="L87" s="1"/>
  <c r="C87" i="9" s="1"/>
  <c r="L87" s="1"/>
  <c r="C87" i="11" s="1"/>
  <c r="L87" s="1"/>
  <c r="C88" i="13" s="1"/>
  <c r="L88" s="1"/>
  <c r="C93" i="15" s="1"/>
  <c r="L93" s="1"/>
  <c r="C95" i="17" s="1"/>
  <c r="L95" s="1"/>
  <c r="C96" i="19" s="1"/>
  <c r="L96" s="1"/>
  <c r="C94" i="21" s="1"/>
  <c r="L94" s="1"/>
  <c r="C94" i="23" s="1"/>
  <c r="L94" s="1"/>
  <c r="C94" i="25" s="1"/>
  <c r="L94" s="1"/>
  <c r="K86" i="1"/>
  <c r="L86" s="1"/>
  <c r="C86" i="3" s="1"/>
  <c r="L86" s="1"/>
  <c r="C86" i="5" s="1"/>
  <c r="L86" s="1"/>
  <c r="C86" i="7" s="1"/>
  <c r="L86" s="1"/>
  <c r="C86" i="9" s="1"/>
  <c r="L86" s="1"/>
  <c r="C86" i="11" s="1"/>
  <c r="L86" s="1"/>
  <c r="C87" i="13" s="1"/>
  <c r="L87" s="1"/>
  <c r="C92" i="15" s="1"/>
  <c r="L92" s="1"/>
  <c r="C94" i="17" s="1"/>
  <c r="L94" s="1"/>
  <c r="C95" i="19" s="1"/>
  <c r="L95" s="1"/>
  <c r="C93" i="21" s="1"/>
  <c r="L93" s="1"/>
  <c r="C93" i="23" s="1"/>
  <c r="L93" s="1"/>
  <c r="C93" i="25" s="1"/>
  <c r="L93" s="1"/>
  <c r="K85" i="1"/>
  <c r="L85" s="1"/>
  <c r="C85" i="3" s="1"/>
  <c r="L85" s="1"/>
  <c r="C85" i="5" s="1"/>
  <c r="L85" s="1"/>
  <c r="C85" i="7" s="1"/>
  <c r="L85" s="1"/>
  <c r="C85" i="9" s="1"/>
  <c r="L85" s="1"/>
  <c r="C85" i="11" s="1"/>
  <c r="L85" s="1"/>
  <c r="C86" i="13" s="1"/>
  <c r="L86" s="1"/>
  <c r="C91" i="15" s="1"/>
  <c r="L91" s="1"/>
  <c r="C93" i="17" s="1"/>
  <c r="L93" s="1"/>
  <c r="C94" i="19" s="1"/>
  <c r="L94" s="1"/>
  <c r="C92" i="21" s="1"/>
  <c r="L92" s="1"/>
  <c r="C92" i="23" s="1"/>
  <c r="L92" s="1"/>
  <c r="C92" i="25" s="1"/>
  <c r="L92" s="1"/>
  <c r="K84" i="1"/>
  <c r="L84" s="1"/>
  <c r="C84" i="3" s="1"/>
  <c r="L84" s="1"/>
  <c r="C84" i="5" s="1"/>
  <c r="L84" s="1"/>
  <c r="C84" i="7" s="1"/>
  <c r="L84" s="1"/>
  <c r="C84" i="9" s="1"/>
  <c r="L84" s="1"/>
  <c r="C84" i="11" s="1"/>
  <c r="L84" s="1"/>
  <c r="C85" i="13" s="1"/>
  <c r="L85" s="1"/>
  <c r="C90" i="15" s="1"/>
  <c r="L90" s="1"/>
  <c r="C92" i="17" s="1"/>
  <c r="L92" s="1"/>
  <c r="C93" i="19" s="1"/>
  <c r="L93" s="1"/>
  <c r="C91" i="21" s="1"/>
  <c r="L91" s="1"/>
  <c r="C91" i="23" s="1"/>
  <c r="L91" s="1"/>
  <c r="C91" i="25" s="1"/>
  <c r="L91" s="1"/>
  <c r="K83" i="1"/>
  <c r="L83" s="1"/>
  <c r="C83" i="3" s="1"/>
  <c r="L83" s="1"/>
  <c r="C83" i="5" s="1"/>
  <c r="L83" s="1"/>
  <c r="C83" i="7" s="1"/>
  <c r="L83" s="1"/>
  <c r="C83" i="9" s="1"/>
  <c r="L83" s="1"/>
  <c r="C83" i="11" s="1"/>
  <c r="L83" s="1"/>
  <c r="C84" i="13" s="1"/>
  <c r="L84" s="1"/>
  <c r="C89" i="15" s="1"/>
  <c r="L89" s="1"/>
  <c r="C91" i="17" s="1"/>
  <c r="L91" s="1"/>
  <c r="C92" i="19" s="1"/>
  <c r="L92" s="1"/>
  <c r="C90" i="21" s="1"/>
  <c r="L90" s="1"/>
  <c r="C90" i="23" s="1"/>
  <c r="L90" s="1"/>
  <c r="C90" i="25" s="1"/>
  <c r="L90" s="1"/>
  <c r="K82" i="1"/>
  <c r="L82" s="1"/>
  <c r="C82" i="3" s="1"/>
  <c r="L82" s="1"/>
  <c r="C82" i="5" s="1"/>
  <c r="L82" s="1"/>
  <c r="C82" i="7" s="1"/>
  <c r="L82" s="1"/>
  <c r="C82" i="9" s="1"/>
  <c r="L82" s="1"/>
  <c r="C82" i="11" s="1"/>
  <c r="L82" s="1"/>
  <c r="C83" i="13" s="1"/>
  <c r="L83" s="1"/>
  <c r="C88" i="15" s="1"/>
  <c r="L88" s="1"/>
  <c r="C90" i="17" s="1"/>
  <c r="L90" s="1"/>
  <c r="C91" i="19" s="1"/>
  <c r="L91" s="1"/>
  <c r="C89" i="21" s="1"/>
  <c r="L89" s="1"/>
  <c r="C89" i="23" s="1"/>
  <c r="L89" s="1"/>
  <c r="C89" i="25" s="1"/>
  <c r="L89" s="1"/>
  <c r="K81" i="1"/>
  <c r="L81" s="1"/>
  <c r="C81" i="3" s="1"/>
  <c r="L81" s="1"/>
  <c r="C81" i="5" s="1"/>
  <c r="L81" s="1"/>
  <c r="C81" i="7" s="1"/>
  <c r="L81" s="1"/>
  <c r="C81" i="9" s="1"/>
  <c r="L81" s="1"/>
  <c r="C81" i="11" s="1"/>
  <c r="L81" s="1"/>
  <c r="C82" i="13" s="1"/>
  <c r="L82" s="1"/>
  <c r="C87" i="15" s="1"/>
  <c r="L87" s="1"/>
  <c r="C89" i="17" s="1"/>
  <c r="L89" s="1"/>
  <c r="C90" i="19" s="1"/>
  <c r="L90" s="1"/>
  <c r="C88" i="21" s="1"/>
  <c r="L88" s="1"/>
  <c r="C88" i="23" s="1"/>
  <c r="L88" s="1"/>
  <c r="C88" i="25" s="1"/>
  <c r="L88" s="1"/>
  <c r="K80" i="1"/>
  <c r="L80" s="1"/>
  <c r="C80" i="3" s="1"/>
  <c r="L80" s="1"/>
  <c r="C80" i="5" s="1"/>
  <c r="L80" s="1"/>
  <c r="C80" i="7" s="1"/>
  <c r="L80" s="1"/>
  <c r="C80" i="9" s="1"/>
  <c r="L80" s="1"/>
  <c r="C80" i="11" s="1"/>
  <c r="L80" s="1"/>
  <c r="C81" i="13" s="1"/>
  <c r="L81" s="1"/>
  <c r="C86" i="15" s="1"/>
  <c r="L86" s="1"/>
  <c r="C88" i="17" s="1"/>
  <c r="L88" s="1"/>
  <c r="C89" i="19" s="1"/>
  <c r="L89" s="1"/>
  <c r="C87" i="21" s="1"/>
  <c r="L87" s="1"/>
  <c r="C87" i="23" s="1"/>
  <c r="L87" s="1"/>
  <c r="C87" i="25" s="1"/>
  <c r="L87" s="1"/>
  <c r="K79" i="1"/>
  <c r="L79" s="1"/>
  <c r="C79" i="3" s="1"/>
  <c r="L79" s="1"/>
  <c r="C79" i="5" s="1"/>
  <c r="L79" s="1"/>
  <c r="C79" i="7" s="1"/>
  <c r="L79" s="1"/>
  <c r="C79" i="9" s="1"/>
  <c r="L79" s="1"/>
  <c r="C79" i="11" s="1"/>
  <c r="L79" s="1"/>
  <c r="C80" i="13" s="1"/>
  <c r="L80" s="1"/>
  <c r="C85" i="15" s="1"/>
  <c r="L85" s="1"/>
  <c r="C87" i="17" s="1"/>
  <c r="L87" s="1"/>
  <c r="C88" i="19" s="1"/>
  <c r="L88" s="1"/>
  <c r="C86" i="21" s="1"/>
  <c r="L86" s="1"/>
  <c r="C86" i="23" s="1"/>
  <c r="L86" s="1"/>
  <c r="C86" i="25" s="1"/>
  <c r="L86" s="1"/>
  <c r="K78" i="1"/>
  <c r="L78" s="1"/>
  <c r="C78" i="3" s="1"/>
  <c r="L78" s="1"/>
  <c r="C78" i="5" s="1"/>
  <c r="L78" s="1"/>
  <c r="C78" i="7" s="1"/>
  <c r="L78" s="1"/>
  <c r="C78" i="9" s="1"/>
  <c r="L78" s="1"/>
  <c r="C78" i="11" s="1"/>
  <c r="L78" s="1"/>
  <c r="C79" i="13" s="1"/>
  <c r="L79" s="1"/>
  <c r="C84" i="15" s="1"/>
  <c r="L84" s="1"/>
  <c r="C86" i="17" s="1"/>
  <c r="L86" s="1"/>
  <c r="C87" i="19" s="1"/>
  <c r="L87" s="1"/>
  <c r="C85" i="21" s="1"/>
  <c r="L85" s="1"/>
  <c r="C85" i="23" s="1"/>
  <c r="L85" s="1"/>
  <c r="C85" i="25" s="1"/>
  <c r="L85" s="1"/>
  <c r="K77" i="1"/>
  <c r="L77" s="1"/>
  <c r="C77" i="3" s="1"/>
  <c r="L77" s="1"/>
  <c r="C77" i="5" s="1"/>
  <c r="L77" s="1"/>
  <c r="C77" i="7" s="1"/>
  <c r="L77" s="1"/>
  <c r="C77" i="9" s="1"/>
  <c r="L77" s="1"/>
  <c r="C77" i="11" s="1"/>
  <c r="L77" s="1"/>
  <c r="C78" i="13" s="1"/>
  <c r="L78" s="1"/>
  <c r="C83" i="15" s="1"/>
  <c r="L83" s="1"/>
  <c r="C85" i="17" s="1"/>
  <c r="L85" s="1"/>
  <c r="C86" i="19" s="1"/>
  <c r="L86" s="1"/>
  <c r="C84" i="21" s="1"/>
  <c r="L84" s="1"/>
  <c r="C84" i="23" s="1"/>
  <c r="L84" s="1"/>
  <c r="C84" i="25" s="1"/>
  <c r="L84" s="1"/>
  <c r="K76" i="1"/>
  <c r="L76" s="1"/>
  <c r="C76" i="3" s="1"/>
  <c r="L76" s="1"/>
  <c r="C76" i="5" s="1"/>
  <c r="L76" s="1"/>
  <c r="C76" i="7" s="1"/>
  <c r="L76" s="1"/>
  <c r="C76" i="9" s="1"/>
  <c r="L76" s="1"/>
  <c r="C76" i="11" s="1"/>
  <c r="L76" s="1"/>
  <c r="C77" i="13" s="1"/>
  <c r="L77" s="1"/>
  <c r="C82" i="15" s="1"/>
  <c r="L82" s="1"/>
  <c r="C84" i="17" s="1"/>
  <c r="L84" s="1"/>
  <c r="C85" i="19" s="1"/>
  <c r="L85" s="1"/>
  <c r="C83" i="21" s="1"/>
  <c r="L83" s="1"/>
  <c r="C83" i="23" s="1"/>
  <c r="L83" s="1"/>
  <c r="C83" i="25" s="1"/>
  <c r="L83" s="1"/>
  <c r="F76" i="1"/>
  <c r="L75"/>
  <c r="C75" i="3" s="1"/>
  <c r="L75" s="1"/>
  <c r="C75" i="5" s="1"/>
  <c r="L75" s="1"/>
  <c r="C75" i="7" s="1"/>
  <c r="L75" s="1"/>
  <c r="C75" i="9" s="1"/>
  <c r="L75" s="1"/>
  <c r="C75" i="11" s="1"/>
  <c r="L75" s="1"/>
  <c r="C76" i="13" s="1"/>
  <c r="L76" s="1"/>
  <c r="C81" i="15" s="1"/>
  <c r="L81" s="1"/>
  <c r="C83" i="17" s="1"/>
  <c r="L83" s="1"/>
  <c r="C84" i="19" s="1"/>
  <c r="L84" s="1"/>
  <c r="C82" i="21" s="1"/>
  <c r="L82" s="1"/>
  <c r="C82" i="23" s="1"/>
  <c r="L82" s="1"/>
  <c r="C82" i="25" s="1"/>
  <c r="L82" s="1"/>
  <c r="K75" i="1"/>
  <c r="L74"/>
  <c r="C74" i="3" s="1"/>
  <c r="L74" s="1"/>
  <c r="C74" i="5" s="1"/>
  <c r="L74" s="1"/>
  <c r="C74" i="7" s="1"/>
  <c r="L74" s="1"/>
  <c r="C74" i="9" s="1"/>
  <c r="L74" s="1"/>
  <c r="C74" i="11" s="1"/>
  <c r="L74" s="1"/>
  <c r="C75" i="13" s="1"/>
  <c r="L75" s="1"/>
  <c r="C80" i="15" s="1"/>
  <c r="L80" s="1"/>
  <c r="C82" i="17" s="1"/>
  <c r="L82" s="1"/>
  <c r="C83" i="19" s="1"/>
  <c r="L83" s="1"/>
  <c r="C81" i="21" s="1"/>
  <c r="L81" s="1"/>
  <c r="C81" i="23" s="1"/>
  <c r="L81" s="1"/>
  <c r="C81" i="25" s="1"/>
  <c r="L81" s="1"/>
  <c r="K74" i="1"/>
  <c r="L73"/>
  <c r="C73" i="3" s="1"/>
  <c r="L73" s="1"/>
  <c r="C73" i="5" s="1"/>
  <c r="L73" s="1"/>
  <c r="C73" i="7" s="1"/>
  <c r="L73" s="1"/>
  <c r="C73" i="9" s="1"/>
  <c r="L73" s="1"/>
  <c r="C73" i="11" s="1"/>
  <c r="L73" s="1"/>
  <c r="C74" i="13" s="1"/>
  <c r="L74" s="1"/>
  <c r="C79" i="15" s="1"/>
  <c r="L79" s="1"/>
  <c r="C81" i="17" s="1"/>
  <c r="L81" s="1"/>
  <c r="C82" i="19" s="1"/>
  <c r="L82" s="1"/>
  <c r="C80" i="21" s="1"/>
  <c r="L80" s="1"/>
  <c r="C80" i="23" s="1"/>
  <c r="L80" s="1"/>
  <c r="C80" i="25" s="1"/>
  <c r="L80" s="1"/>
  <c r="K73" i="1"/>
  <c r="F72"/>
  <c r="K72" s="1"/>
  <c r="L72" s="1"/>
  <c r="C72" i="3" s="1"/>
  <c r="L72" s="1"/>
  <c r="C72" i="5" s="1"/>
  <c r="L72" s="1"/>
  <c r="C72" i="7" s="1"/>
  <c r="L72" s="1"/>
  <c r="C72" i="9" s="1"/>
  <c r="L72" s="1"/>
  <c r="C72" i="11" s="1"/>
  <c r="L72" s="1"/>
  <c r="C73" i="13" s="1"/>
  <c r="L73" s="1"/>
  <c r="C78" i="15" s="1"/>
  <c r="L78" s="1"/>
  <c r="C80" i="17" s="1"/>
  <c r="L80" s="1"/>
  <c r="C81" i="19" s="1"/>
  <c r="L81" s="1"/>
  <c r="C79" i="21" s="1"/>
  <c r="L79" s="1"/>
  <c r="C79" i="23" s="1"/>
  <c r="L79" s="1"/>
  <c r="C79" i="25" s="1"/>
  <c r="L79" s="1"/>
  <c r="K71" i="1"/>
  <c r="L71" s="1"/>
  <c r="C71" i="3" s="1"/>
  <c r="L71" s="1"/>
  <c r="C71" i="5" s="1"/>
  <c r="L71" s="1"/>
  <c r="C71" i="7" s="1"/>
  <c r="L71" s="1"/>
  <c r="C71" i="9" s="1"/>
  <c r="L71" s="1"/>
  <c r="C71" i="11" s="1"/>
  <c r="L71" s="1"/>
  <c r="C72" i="13" s="1"/>
  <c r="L72" s="1"/>
  <c r="C77" i="15" s="1"/>
  <c r="L77" s="1"/>
  <c r="C79" i="17" s="1"/>
  <c r="L79" s="1"/>
  <c r="C80" i="19" s="1"/>
  <c r="L80" s="1"/>
  <c r="C78" i="21" s="1"/>
  <c r="L78" s="1"/>
  <c r="C78" i="23" s="1"/>
  <c r="L78" s="1"/>
  <c r="C78" i="25" s="1"/>
  <c r="L78" s="1"/>
  <c r="K70" i="1"/>
  <c r="L70" s="1"/>
  <c r="C70" i="3" s="1"/>
  <c r="L70" s="1"/>
  <c r="C70" i="5" s="1"/>
  <c r="L70" s="1"/>
  <c r="C70" i="7" s="1"/>
  <c r="L70" s="1"/>
  <c r="C70" i="9" s="1"/>
  <c r="L70" s="1"/>
  <c r="C70" i="11" s="1"/>
  <c r="L70" s="1"/>
  <c r="C70" i="13" s="1"/>
  <c r="L70" s="1"/>
  <c r="C75" i="15" s="1"/>
  <c r="L75" s="1"/>
  <c r="C77" i="17" s="1"/>
  <c r="L77" s="1"/>
  <c r="C78" i="19" s="1"/>
  <c r="L78" s="1"/>
  <c r="C76" i="21" s="1"/>
  <c r="L76" s="1"/>
  <c r="C76" i="23" s="1"/>
  <c r="L76" s="1"/>
  <c r="C76" i="25" s="1"/>
  <c r="L76" s="1"/>
  <c r="K69" i="1"/>
  <c r="L69" s="1"/>
  <c r="C69" i="3" s="1"/>
  <c r="L69" s="1"/>
  <c r="C69" i="5" s="1"/>
  <c r="L69" s="1"/>
  <c r="C69" i="7" s="1"/>
  <c r="L69" s="1"/>
  <c r="C69" i="9" s="1"/>
  <c r="L69" s="1"/>
  <c r="C69" i="11" s="1"/>
  <c r="L69" s="1"/>
  <c r="C69" i="13" s="1"/>
  <c r="L69" s="1"/>
  <c r="C74" i="15" s="1"/>
  <c r="L74" s="1"/>
  <c r="C76" i="17" s="1"/>
  <c r="L76" s="1"/>
  <c r="C77" i="19" s="1"/>
  <c r="L77" s="1"/>
  <c r="C75" i="21" s="1"/>
  <c r="L75" s="1"/>
  <c r="C75" i="23" s="1"/>
  <c r="L75" s="1"/>
  <c r="C75" i="25" s="1"/>
  <c r="L75" s="1"/>
  <c r="K68" i="1"/>
  <c r="L68" s="1"/>
  <c r="C68" i="3" s="1"/>
  <c r="L68" s="1"/>
  <c r="C68" i="5" s="1"/>
  <c r="L68" s="1"/>
  <c r="C68" i="7" s="1"/>
  <c r="L68" s="1"/>
  <c r="C68" i="9" s="1"/>
  <c r="L68" s="1"/>
  <c r="C68" i="11" s="1"/>
  <c r="L68" s="1"/>
  <c r="C68" i="13" s="1"/>
  <c r="L68" s="1"/>
  <c r="C73" i="15" s="1"/>
  <c r="L73" s="1"/>
  <c r="C75" i="17" s="1"/>
  <c r="L75" s="1"/>
  <c r="C76" i="19" s="1"/>
  <c r="L76" s="1"/>
  <c r="C74" i="21" s="1"/>
  <c r="L74" s="1"/>
  <c r="C74" i="23" s="1"/>
  <c r="L74" s="1"/>
  <c r="C74" i="25" s="1"/>
  <c r="L74" s="1"/>
  <c r="K67" i="1"/>
  <c r="L67" s="1"/>
  <c r="C67" i="3" s="1"/>
  <c r="L67" s="1"/>
  <c r="C67" i="5" s="1"/>
  <c r="L67" s="1"/>
  <c r="C67" i="7" s="1"/>
  <c r="L67" s="1"/>
  <c r="C67" i="9" s="1"/>
  <c r="L67" s="1"/>
  <c r="C67" i="11" s="1"/>
  <c r="L67" s="1"/>
  <c r="C67" i="13" s="1"/>
  <c r="L67" s="1"/>
  <c r="C72" i="15" s="1"/>
  <c r="L72" s="1"/>
  <c r="C74" i="17" s="1"/>
  <c r="L74" s="1"/>
  <c r="C75" i="19" s="1"/>
  <c r="L75" s="1"/>
  <c r="C73" i="21" s="1"/>
  <c r="L73" s="1"/>
  <c r="C73" i="23" s="1"/>
  <c r="L73" s="1"/>
  <c r="C73" i="25" s="1"/>
  <c r="L73" s="1"/>
  <c r="K66" i="1"/>
  <c r="L66" s="1"/>
  <c r="C66" i="3" s="1"/>
  <c r="L66" s="1"/>
  <c r="C66" i="5" s="1"/>
  <c r="L66" s="1"/>
  <c r="C66" i="7" s="1"/>
  <c r="L66" s="1"/>
  <c r="C66" i="9" s="1"/>
  <c r="L66" s="1"/>
  <c r="C66" i="11" s="1"/>
  <c r="L66" s="1"/>
  <c r="C66" i="13" s="1"/>
  <c r="L66" s="1"/>
  <c r="C71" i="15" s="1"/>
  <c r="L71" s="1"/>
  <c r="C73" i="17" s="1"/>
  <c r="L73" s="1"/>
  <c r="C74" i="19" s="1"/>
  <c r="L74" s="1"/>
  <c r="C72" i="21" s="1"/>
  <c r="L72" s="1"/>
  <c r="C72" i="23" s="1"/>
  <c r="L72" s="1"/>
  <c r="C72" i="25" s="1"/>
  <c r="L72" s="1"/>
  <c r="F66" i="1"/>
  <c r="L65"/>
  <c r="C65" i="3" s="1"/>
  <c r="L65" s="1"/>
  <c r="C65" i="5" s="1"/>
  <c r="L65" s="1"/>
  <c r="C65" i="7" s="1"/>
  <c r="L65" s="1"/>
  <c r="C65" i="9" s="1"/>
  <c r="L65" s="1"/>
  <c r="C65" i="11" s="1"/>
  <c r="L65" s="1"/>
  <c r="C65" i="13" s="1"/>
  <c r="L65" s="1"/>
  <c r="C70" i="15" s="1"/>
  <c r="L70" s="1"/>
  <c r="C72" i="17" s="1"/>
  <c r="L72" s="1"/>
  <c r="C73" i="19" s="1"/>
  <c r="L73" s="1"/>
  <c r="C71" i="21" s="1"/>
  <c r="L71" s="1"/>
  <c r="C71" i="23" s="1"/>
  <c r="L71" s="1"/>
  <c r="C71" i="25" s="1"/>
  <c r="L71" s="1"/>
  <c r="K65" i="1"/>
  <c r="L64"/>
  <c r="C64" i="3" s="1"/>
  <c r="L64" s="1"/>
  <c r="C64" i="5" s="1"/>
  <c r="L64" s="1"/>
  <c r="C64" i="7" s="1"/>
  <c r="L64" s="1"/>
  <c r="C64" i="9" s="1"/>
  <c r="L64" s="1"/>
  <c r="C64" i="11" s="1"/>
  <c r="L64" s="1"/>
  <c r="C64" i="13" s="1"/>
  <c r="L64" s="1"/>
  <c r="C69" i="15" s="1"/>
  <c r="L69" s="1"/>
  <c r="C71" i="17" s="1"/>
  <c r="L71" s="1"/>
  <c r="C72" i="19" s="1"/>
  <c r="L72" s="1"/>
  <c r="C70" i="21" s="1"/>
  <c r="L70" s="1"/>
  <c r="C70" i="23" s="1"/>
  <c r="L70" s="1"/>
  <c r="C70" i="25" s="1"/>
  <c r="L70" s="1"/>
  <c r="K64" i="1"/>
  <c r="F63"/>
  <c r="K63" s="1"/>
  <c r="L63" s="1"/>
  <c r="C63" i="3" s="1"/>
  <c r="L63" s="1"/>
  <c r="C63" i="5" s="1"/>
  <c r="L63" s="1"/>
  <c r="C63" i="7" s="1"/>
  <c r="L63" s="1"/>
  <c r="C63" i="9" s="1"/>
  <c r="L63" s="1"/>
  <c r="C63" i="11" s="1"/>
  <c r="L63" s="1"/>
  <c r="C63" i="13" s="1"/>
  <c r="L63" s="1"/>
  <c r="C68" i="15" s="1"/>
  <c r="L68" s="1"/>
  <c r="C70" i="17" s="1"/>
  <c r="L70" s="1"/>
  <c r="C71" i="19" s="1"/>
  <c r="L71" s="1"/>
  <c r="C69" i="21" s="1"/>
  <c r="L69" s="1"/>
  <c r="C69" i="23" s="1"/>
  <c r="L69" s="1"/>
  <c r="C69" i="25" s="1"/>
  <c r="L69" s="1"/>
  <c r="K62" i="1"/>
  <c r="L62" s="1"/>
  <c r="C62" i="3" s="1"/>
  <c r="L62" s="1"/>
  <c r="C62" i="5" s="1"/>
  <c r="L62" s="1"/>
  <c r="C62" i="7" s="1"/>
  <c r="L62" s="1"/>
  <c r="C62" i="9" s="1"/>
  <c r="L62" s="1"/>
  <c r="C62" i="11" s="1"/>
  <c r="L62" s="1"/>
  <c r="C62" i="13" s="1"/>
  <c r="L62" s="1"/>
  <c r="C67" i="15" s="1"/>
  <c r="L67" s="1"/>
  <c r="C69" i="17" s="1"/>
  <c r="L69" s="1"/>
  <c r="C70" i="19" s="1"/>
  <c r="L70" s="1"/>
  <c r="C68" i="21" s="1"/>
  <c r="L68" s="1"/>
  <c r="C68" i="23" s="1"/>
  <c r="L68" s="1"/>
  <c r="C68" i="25" s="1"/>
  <c r="L68" s="1"/>
  <c r="K61" i="1"/>
  <c r="L61" s="1"/>
  <c r="C61" i="3" s="1"/>
  <c r="L61" s="1"/>
  <c r="C61" i="5" s="1"/>
  <c r="L61" s="1"/>
  <c r="C61" i="7" s="1"/>
  <c r="L61" s="1"/>
  <c r="C61" i="9" s="1"/>
  <c r="L61" s="1"/>
  <c r="C61" i="11" s="1"/>
  <c r="L61" s="1"/>
  <c r="C61" i="13" s="1"/>
  <c r="L61" s="1"/>
  <c r="C66" i="15" s="1"/>
  <c r="L66" s="1"/>
  <c r="C68" i="17" s="1"/>
  <c r="L68" s="1"/>
  <c r="C69" i="19" s="1"/>
  <c r="L69" s="1"/>
  <c r="C67" i="21" s="1"/>
  <c r="L67" s="1"/>
  <c r="C67" i="23" s="1"/>
  <c r="L67" s="1"/>
  <c r="C67" i="25" s="1"/>
  <c r="L67" s="1"/>
  <c r="K60" i="1"/>
  <c r="L60" s="1"/>
  <c r="C60" i="3" s="1"/>
  <c r="L60" s="1"/>
  <c r="C60" i="5" s="1"/>
  <c r="L60" s="1"/>
  <c r="C60" i="7" s="1"/>
  <c r="L60" s="1"/>
  <c r="C60" i="9" s="1"/>
  <c r="L60" s="1"/>
  <c r="C60" i="11" s="1"/>
  <c r="L60" s="1"/>
  <c r="C60" i="13" s="1"/>
  <c r="L60" s="1"/>
  <c r="C65" i="15" s="1"/>
  <c r="L65" s="1"/>
  <c r="C66" i="17" s="1"/>
  <c r="L66" s="1"/>
  <c r="C67" i="19" s="1"/>
  <c r="L67" s="1"/>
  <c r="C65" i="21" s="1"/>
  <c r="L65" s="1"/>
  <c r="C65" i="23" s="1"/>
  <c r="L65" s="1"/>
  <c r="C65" i="25" s="1"/>
  <c r="L65" s="1"/>
  <c r="K59" i="1"/>
  <c r="L59" s="1"/>
  <c r="C59" i="3" s="1"/>
  <c r="L59" s="1"/>
  <c r="C59" i="5" s="1"/>
  <c r="L59" s="1"/>
  <c r="C59" i="7" s="1"/>
  <c r="L59" s="1"/>
  <c r="C59" i="9" s="1"/>
  <c r="L59" s="1"/>
  <c r="C59" i="11" s="1"/>
  <c r="L59" s="1"/>
  <c r="C59" i="13" s="1"/>
  <c r="L59" s="1"/>
  <c r="C64" i="15" s="1"/>
  <c r="L64" s="1"/>
  <c r="C65" i="17" s="1"/>
  <c r="L65" s="1"/>
  <c r="C66" i="19" s="1"/>
  <c r="L66" s="1"/>
  <c r="C64" i="21" s="1"/>
  <c r="L64" s="1"/>
  <c r="C64" i="23" s="1"/>
  <c r="L64" s="1"/>
  <c r="C64" i="25" s="1"/>
  <c r="L64" s="1"/>
  <c r="K58" i="1"/>
  <c r="L58" s="1"/>
  <c r="C58" i="3" s="1"/>
  <c r="L58" s="1"/>
  <c r="C58" i="5" s="1"/>
  <c r="L58" s="1"/>
  <c r="C58" i="7" s="1"/>
  <c r="L58" s="1"/>
  <c r="C58" i="9" s="1"/>
  <c r="L58" s="1"/>
  <c r="C58" i="11" s="1"/>
  <c r="L58" s="1"/>
  <c r="C58" i="13" s="1"/>
  <c r="L58" s="1"/>
  <c r="C63" i="15" s="1"/>
  <c r="L63" s="1"/>
  <c r="C64" i="17" s="1"/>
  <c r="L64" s="1"/>
  <c r="C65" i="19" s="1"/>
  <c r="L65" s="1"/>
  <c r="C63" i="21" s="1"/>
  <c r="L63" s="1"/>
  <c r="C63" i="23" s="1"/>
  <c r="L63" s="1"/>
  <c r="C63" i="25" s="1"/>
  <c r="L63" s="1"/>
  <c r="K57" i="1"/>
  <c r="L57" s="1"/>
  <c r="C57" i="3" s="1"/>
  <c r="L57" s="1"/>
  <c r="C57" i="5" s="1"/>
  <c r="L57" s="1"/>
  <c r="C57" i="7" s="1"/>
  <c r="L57" s="1"/>
  <c r="C57" i="9" s="1"/>
  <c r="L57" s="1"/>
  <c r="C57" i="11" s="1"/>
  <c r="L57" s="1"/>
  <c r="C57" i="13" s="1"/>
  <c r="L57" s="1"/>
  <c r="C62" i="15" s="1"/>
  <c r="L62" s="1"/>
  <c r="C63" i="17" s="1"/>
  <c r="L63" s="1"/>
  <c r="C64" i="19" s="1"/>
  <c r="L64" s="1"/>
  <c r="C62" i="21" s="1"/>
  <c r="L62" s="1"/>
  <c r="C62" i="23" s="1"/>
  <c r="L62" s="1"/>
  <c r="C62" i="25" s="1"/>
  <c r="L62" s="1"/>
  <c r="K56" i="1"/>
  <c r="L56" s="1"/>
  <c r="C56" i="3" s="1"/>
  <c r="L56" s="1"/>
  <c r="C56" i="5" s="1"/>
  <c r="L56" s="1"/>
  <c r="C56" i="7" s="1"/>
  <c r="L56" s="1"/>
  <c r="C56" i="9" s="1"/>
  <c r="L56" s="1"/>
  <c r="C56" i="11" s="1"/>
  <c r="L56" s="1"/>
  <c r="C56" i="13" s="1"/>
  <c r="L56" s="1"/>
  <c r="C61" i="15" s="1"/>
  <c r="L61" s="1"/>
  <c r="C62" i="17" s="1"/>
  <c r="L62" s="1"/>
  <c r="C63" i="19" s="1"/>
  <c r="L63" s="1"/>
  <c r="C61" i="21" s="1"/>
  <c r="L61" s="1"/>
  <c r="C61" i="23" s="1"/>
  <c r="L61" s="1"/>
  <c r="C61" i="25" s="1"/>
  <c r="L61" s="1"/>
  <c r="K55" i="1"/>
  <c r="L55" s="1"/>
  <c r="C55" i="3" s="1"/>
  <c r="L55" s="1"/>
  <c r="C55" i="5" s="1"/>
  <c r="L55" s="1"/>
  <c r="C55" i="7" s="1"/>
  <c r="L55" s="1"/>
  <c r="C55" i="9" s="1"/>
  <c r="L55" s="1"/>
  <c r="C55" i="11" s="1"/>
  <c r="L55" s="1"/>
  <c r="C55" i="13" s="1"/>
  <c r="L55" s="1"/>
  <c r="C60" i="15" s="1"/>
  <c r="L60" s="1"/>
  <c r="C61" i="17" s="1"/>
  <c r="L61" s="1"/>
  <c r="C62" i="19" s="1"/>
  <c r="L62" s="1"/>
  <c r="C60" i="21" s="1"/>
  <c r="L60" s="1"/>
  <c r="C60" i="23" s="1"/>
  <c r="L60" s="1"/>
  <c r="C60" i="25" s="1"/>
  <c r="L60" s="1"/>
  <c r="K54" i="1"/>
  <c r="L54" s="1"/>
  <c r="C54" i="3" s="1"/>
  <c r="L54" s="1"/>
  <c r="C54" i="5" s="1"/>
  <c r="L54" s="1"/>
  <c r="C54" i="7" s="1"/>
  <c r="L54" s="1"/>
  <c r="C54" i="9" s="1"/>
  <c r="L54" s="1"/>
  <c r="C54" i="11" s="1"/>
  <c r="L54" s="1"/>
  <c r="C54" i="13" s="1"/>
  <c r="L54" s="1"/>
  <c r="C59" i="15" s="1"/>
  <c r="L59" s="1"/>
  <c r="C60" i="17" s="1"/>
  <c r="L60" s="1"/>
  <c r="C61" i="19" s="1"/>
  <c r="L61" s="1"/>
  <c r="C59" i="21" s="1"/>
  <c r="L59" s="1"/>
  <c r="C59" i="23" s="1"/>
  <c r="L59" s="1"/>
  <c r="C59" i="25" s="1"/>
  <c r="L59" s="1"/>
  <c r="K53" i="1"/>
  <c r="L53" s="1"/>
  <c r="C53" i="3" s="1"/>
  <c r="L53" s="1"/>
  <c r="C53" i="5" s="1"/>
  <c r="L53" s="1"/>
  <c r="C53" i="7" s="1"/>
  <c r="L53" s="1"/>
  <c r="C53" i="9" s="1"/>
  <c r="L53" s="1"/>
  <c r="C53" i="11" s="1"/>
  <c r="L53" s="1"/>
  <c r="C53" i="13" s="1"/>
  <c r="L53" s="1"/>
  <c r="C58" i="15" s="1"/>
  <c r="L58" s="1"/>
  <c r="C59" i="17" s="1"/>
  <c r="L59" s="1"/>
  <c r="C60" i="19" s="1"/>
  <c r="L60" s="1"/>
  <c r="C58" i="21" s="1"/>
  <c r="L58" s="1"/>
  <c r="C58" i="23" s="1"/>
  <c r="L58" s="1"/>
  <c r="C58" i="25" s="1"/>
  <c r="L58" s="1"/>
  <c r="K52" i="1"/>
  <c r="L52" s="1"/>
  <c r="C52" i="3" s="1"/>
  <c r="L52" s="1"/>
  <c r="C52" i="5" s="1"/>
  <c r="L52" s="1"/>
  <c r="C52" i="7" s="1"/>
  <c r="L52" s="1"/>
  <c r="C52" i="9" s="1"/>
  <c r="L52" s="1"/>
  <c r="C52" i="11" s="1"/>
  <c r="L52" s="1"/>
  <c r="C52" i="13" s="1"/>
  <c r="L52" s="1"/>
  <c r="C57" i="15" s="1"/>
  <c r="L57" s="1"/>
  <c r="C58" i="17" s="1"/>
  <c r="L58" s="1"/>
  <c r="C59" i="19" s="1"/>
  <c r="L59" s="1"/>
  <c r="C57" i="21" s="1"/>
  <c r="L57" s="1"/>
  <c r="C57" i="23" s="1"/>
  <c r="L57" s="1"/>
  <c r="C57" i="25" s="1"/>
  <c r="L57" s="1"/>
  <c r="K51" i="1"/>
  <c r="L51" s="1"/>
  <c r="C51" i="3" s="1"/>
  <c r="L51" s="1"/>
  <c r="C51" i="5" s="1"/>
  <c r="L51" s="1"/>
  <c r="C51" i="7" s="1"/>
  <c r="L51" s="1"/>
  <c r="C51" i="9" s="1"/>
  <c r="L51" s="1"/>
  <c r="C51" i="11" s="1"/>
  <c r="L51" s="1"/>
  <c r="C51" i="13" s="1"/>
  <c r="L51" s="1"/>
  <c r="C55" i="15" s="1"/>
  <c r="L55" s="1"/>
  <c r="C56" i="17" s="1"/>
  <c r="L56" s="1"/>
  <c r="C57" i="19" s="1"/>
  <c r="L57" s="1"/>
  <c r="C55" i="21" s="1"/>
  <c r="L55" s="1"/>
  <c r="C55" i="23" s="1"/>
  <c r="L55" s="1"/>
  <c r="C55" i="25" s="1"/>
  <c r="L55" s="1"/>
  <c r="F51" i="1"/>
  <c r="L50"/>
  <c r="C50" i="3" s="1"/>
  <c r="L50" s="1"/>
  <c r="C50" i="5" s="1"/>
  <c r="L50" s="1"/>
  <c r="C50" i="7" s="1"/>
  <c r="L50" s="1"/>
  <c r="C50" i="9" s="1"/>
  <c r="L50" s="1"/>
  <c r="C50" i="11" s="1"/>
  <c r="L50" s="1"/>
  <c r="C50" i="13" s="1"/>
  <c r="L50" s="1"/>
  <c r="C54" i="15" s="1"/>
  <c r="L54" s="1"/>
  <c r="C55" i="17" s="1"/>
  <c r="L55" s="1"/>
  <c r="C56" i="19" s="1"/>
  <c r="L56" s="1"/>
  <c r="C54" i="21" s="1"/>
  <c r="L54" s="1"/>
  <c r="C54" i="23" s="1"/>
  <c r="L54" s="1"/>
  <c r="C54" i="25" s="1"/>
  <c r="L54" s="1"/>
  <c r="K50" i="1"/>
  <c r="L49"/>
  <c r="C49" i="3" s="1"/>
  <c r="L49" s="1"/>
  <c r="C49" i="5" s="1"/>
  <c r="L49" s="1"/>
  <c r="C49" i="7" s="1"/>
  <c r="L49" s="1"/>
  <c r="C49" i="9" s="1"/>
  <c r="L49" s="1"/>
  <c r="C49" i="11" s="1"/>
  <c r="L49" s="1"/>
  <c r="C49" i="13" s="1"/>
  <c r="L49" s="1"/>
  <c r="C53" i="15" s="1"/>
  <c r="L53" s="1"/>
  <c r="C53" i="17" s="1"/>
  <c r="L53" s="1"/>
  <c r="C54" i="19" s="1"/>
  <c r="L54" s="1"/>
  <c r="C52" i="21" s="1"/>
  <c r="L52" s="1"/>
  <c r="C52" i="23" s="1"/>
  <c r="L52" s="1"/>
  <c r="C52" i="25" s="1"/>
  <c r="L52" s="1"/>
  <c r="K49" i="1"/>
  <c r="F48"/>
  <c r="K48" s="1"/>
  <c r="L48" s="1"/>
  <c r="C48" i="3" s="1"/>
  <c r="L48" s="1"/>
  <c r="C48" i="5" s="1"/>
  <c r="L48" s="1"/>
  <c r="C48" i="7" s="1"/>
  <c r="L48" s="1"/>
  <c r="C48" i="9" s="1"/>
  <c r="L48" s="1"/>
  <c r="C48" i="11" s="1"/>
  <c r="L48" s="1"/>
  <c r="C48" i="13" s="1"/>
  <c r="L48" s="1"/>
  <c r="C52" i="15" s="1"/>
  <c r="L52" s="1"/>
  <c r="C52" i="17" s="1"/>
  <c r="L52" s="1"/>
  <c r="C53" i="19" s="1"/>
  <c r="L53" s="1"/>
  <c r="C51" i="21" s="1"/>
  <c r="L51" s="1"/>
  <c r="C51" i="23" s="1"/>
  <c r="L51" s="1"/>
  <c r="C51" i="25" s="1"/>
  <c r="L51" s="1"/>
  <c r="K47" i="1"/>
  <c r="L47" s="1"/>
  <c r="C47" i="3" s="1"/>
  <c r="L47" s="1"/>
  <c r="C47" i="5" s="1"/>
  <c r="L47" s="1"/>
  <c r="C47" i="7" s="1"/>
  <c r="L47" s="1"/>
  <c r="C47" i="9" s="1"/>
  <c r="L47" s="1"/>
  <c r="C47" i="11" s="1"/>
  <c r="L47" s="1"/>
  <c r="C47" i="13" s="1"/>
  <c r="L47" s="1"/>
  <c r="C51" i="15" s="1"/>
  <c r="L51" s="1"/>
  <c r="C51" i="17" s="1"/>
  <c r="L51" s="1"/>
  <c r="C52" i="19" s="1"/>
  <c r="L52" s="1"/>
  <c r="C50" i="21" s="1"/>
  <c r="L50" s="1"/>
  <c r="C50" i="23" s="1"/>
  <c r="L50" s="1"/>
  <c r="C50" i="25" s="1"/>
  <c r="L50" s="1"/>
  <c r="K46" i="1"/>
  <c r="L46" s="1"/>
  <c r="C46" i="3" s="1"/>
  <c r="L46" s="1"/>
  <c r="C46" i="5" s="1"/>
  <c r="L46" s="1"/>
  <c r="C46" i="7" s="1"/>
  <c r="L46" s="1"/>
  <c r="C46" i="9" s="1"/>
  <c r="L46" s="1"/>
  <c r="C46" i="11" s="1"/>
  <c r="L46" s="1"/>
  <c r="C46" i="13" s="1"/>
  <c r="L46" s="1"/>
  <c r="C50" i="15" s="1"/>
  <c r="L50" s="1"/>
  <c r="C50" i="17" s="1"/>
  <c r="L50" s="1"/>
  <c r="C51" i="19" s="1"/>
  <c r="L51" s="1"/>
  <c r="K45" i="1"/>
  <c r="L45" s="1"/>
  <c r="C45" i="3" s="1"/>
  <c r="L45" s="1"/>
  <c r="C45" i="5" s="1"/>
  <c r="L45" s="1"/>
  <c r="C45" i="7" s="1"/>
  <c r="L45" s="1"/>
  <c r="C45" i="9" s="1"/>
  <c r="L45" s="1"/>
  <c r="C45" i="11" s="1"/>
  <c r="L45" s="1"/>
  <c r="C45" i="13" s="1"/>
  <c r="L45" s="1"/>
  <c r="C49" i="15" s="1"/>
  <c r="L49" s="1"/>
  <c r="C49" i="17" s="1"/>
  <c r="L49" s="1"/>
  <c r="C50" i="19" s="1"/>
  <c r="L50" s="1"/>
  <c r="C49" i="21" s="1"/>
  <c r="L49" s="1"/>
  <c r="C49" i="23" s="1"/>
  <c r="L49" s="1"/>
  <c r="C49" i="25" s="1"/>
  <c r="L49" s="1"/>
  <c r="F45" i="1"/>
  <c r="L44"/>
  <c r="C44" i="3" s="1"/>
  <c r="L44" s="1"/>
  <c r="C44" i="5" s="1"/>
  <c r="L44" s="1"/>
  <c r="C44" i="7" s="1"/>
  <c r="L44" s="1"/>
  <c r="C44" i="9" s="1"/>
  <c r="L44" s="1"/>
  <c r="C44" i="11" s="1"/>
  <c r="L44" s="1"/>
  <c r="C44" i="13" s="1"/>
  <c r="L44" s="1"/>
  <c r="C48" i="15" s="1"/>
  <c r="L48" s="1"/>
  <c r="C48" i="17" s="1"/>
  <c r="L48" s="1"/>
  <c r="C49" i="19" s="1"/>
  <c r="L49" s="1"/>
  <c r="C48" i="21" s="1"/>
  <c r="L48" s="1"/>
  <c r="C48" i="23" s="1"/>
  <c r="L48" s="1"/>
  <c r="C48" i="25" s="1"/>
  <c r="L48" s="1"/>
  <c r="K44" i="1"/>
  <c r="L43"/>
  <c r="C43" i="3" s="1"/>
  <c r="L43" s="1"/>
  <c r="C43" i="5" s="1"/>
  <c r="L43" s="1"/>
  <c r="C43" i="7" s="1"/>
  <c r="L43" s="1"/>
  <c r="C43" i="9" s="1"/>
  <c r="L43" s="1"/>
  <c r="C43" i="11" s="1"/>
  <c r="L43" s="1"/>
  <c r="C43" i="13" s="1"/>
  <c r="L43" s="1"/>
  <c r="C47" i="15" s="1"/>
  <c r="L47" s="1"/>
  <c r="C47" i="17" s="1"/>
  <c r="L47" s="1"/>
  <c r="C48" i="19" s="1"/>
  <c r="L48" s="1"/>
  <c r="C47" i="21" s="1"/>
  <c r="L47" s="1"/>
  <c r="C47" i="23" s="1"/>
  <c r="L47" s="1"/>
  <c r="C47" i="25" s="1"/>
  <c r="L47" s="1"/>
  <c r="K43" i="1"/>
  <c r="L42"/>
  <c r="C42" i="3" s="1"/>
  <c r="L42" s="1"/>
  <c r="C42" i="5" s="1"/>
  <c r="L42" s="1"/>
  <c r="C42" i="7" s="1"/>
  <c r="L42" s="1"/>
  <c r="C42" i="9" s="1"/>
  <c r="L42" s="1"/>
  <c r="C42" i="11" s="1"/>
  <c r="L42" s="1"/>
  <c r="C42" i="13" s="1"/>
  <c r="L42" s="1"/>
  <c r="C46" i="15" s="1"/>
  <c r="L46" s="1"/>
  <c r="C46" i="17" s="1"/>
  <c r="L46" s="1"/>
  <c r="C47" i="19" s="1"/>
  <c r="L47" s="1"/>
  <c r="C46" i="21" s="1"/>
  <c r="L46" s="1"/>
  <c r="C46" i="23" s="1"/>
  <c r="L46" s="1"/>
  <c r="C46" i="25" s="1"/>
  <c r="L46" s="1"/>
  <c r="K42" i="1"/>
  <c r="F41"/>
  <c r="K41" s="1"/>
  <c r="L41" s="1"/>
  <c r="C41" i="3" s="1"/>
  <c r="L41" s="1"/>
  <c r="C41" i="5" s="1"/>
  <c r="L41" s="1"/>
  <c r="C41" i="7" s="1"/>
  <c r="L41" s="1"/>
  <c r="C41" i="9" s="1"/>
  <c r="L41" s="1"/>
  <c r="C41" i="11" s="1"/>
  <c r="L41" s="1"/>
  <c r="C41" i="13" s="1"/>
  <c r="L41" s="1"/>
  <c r="C45" i="15" s="1"/>
  <c r="L45" s="1"/>
  <c r="C45" i="17" s="1"/>
  <c r="L45" s="1"/>
  <c r="C46" i="19" s="1"/>
  <c r="L46" s="1"/>
  <c r="C45" i="21" s="1"/>
  <c r="L45" s="1"/>
  <c r="C45" i="23" s="1"/>
  <c r="L45" s="1"/>
  <c r="C45" i="25" s="1"/>
  <c r="L45" s="1"/>
  <c r="K40" i="1"/>
  <c r="L40" s="1"/>
  <c r="C40" i="3" s="1"/>
  <c r="L40" s="1"/>
  <c r="C40" i="5" s="1"/>
  <c r="L40" s="1"/>
  <c r="C40" i="7" s="1"/>
  <c r="L40" s="1"/>
  <c r="C40" i="9" s="1"/>
  <c r="L40" s="1"/>
  <c r="C40" i="11" s="1"/>
  <c r="L40" s="1"/>
  <c r="C40" i="13" s="1"/>
  <c r="L40" s="1"/>
  <c r="C44" i="15" s="1"/>
  <c r="L44" s="1"/>
  <c r="C44" i="17" s="1"/>
  <c r="L44" s="1"/>
  <c r="C45" i="19" s="1"/>
  <c r="L45" s="1"/>
  <c r="C44" i="21" s="1"/>
  <c r="L44" s="1"/>
  <c r="C44" i="23" s="1"/>
  <c r="L44" s="1"/>
  <c r="C44" i="25" s="1"/>
  <c r="L44" s="1"/>
  <c r="K39" i="1"/>
  <c r="L39" s="1"/>
  <c r="C39" i="3" s="1"/>
  <c r="L39" s="1"/>
  <c r="C39" i="5" s="1"/>
  <c r="L39" s="1"/>
  <c r="C39" i="7" s="1"/>
  <c r="L39" s="1"/>
  <c r="C39" i="9" s="1"/>
  <c r="L39" s="1"/>
  <c r="C39" i="11" s="1"/>
  <c r="L39" s="1"/>
  <c r="C39" i="13" s="1"/>
  <c r="L39" s="1"/>
  <c r="C43" i="15" s="1"/>
  <c r="L43" s="1"/>
  <c r="C43" i="17" s="1"/>
  <c r="L43" s="1"/>
  <c r="C44" i="19" s="1"/>
  <c r="L44" s="1"/>
  <c r="C43" i="21" s="1"/>
  <c r="L43" s="1"/>
  <c r="C43" i="23" s="1"/>
  <c r="L43" s="1"/>
  <c r="C43" i="25" s="1"/>
  <c r="L43" s="1"/>
  <c r="K38" i="1"/>
  <c r="L38" s="1"/>
  <c r="C38" i="3" s="1"/>
  <c r="L38" s="1"/>
  <c r="C38" i="5" s="1"/>
  <c r="L38" s="1"/>
  <c r="C38" i="7" s="1"/>
  <c r="L38" s="1"/>
  <c r="C38" i="9" s="1"/>
  <c r="L38" s="1"/>
  <c r="C38" i="11" s="1"/>
  <c r="L38" s="1"/>
  <c r="C38" i="13" s="1"/>
  <c r="L38" s="1"/>
  <c r="C41" i="15" s="1"/>
  <c r="L41" s="1"/>
  <c r="C41" i="17" s="1"/>
  <c r="L41" s="1"/>
  <c r="C42" i="19" s="1"/>
  <c r="L42" s="1"/>
  <c r="C41" i="21" s="1"/>
  <c r="L41" s="1"/>
  <c r="C41" i="23" s="1"/>
  <c r="L41" s="1"/>
  <c r="C41" i="25" s="1"/>
  <c r="L41" s="1"/>
  <c r="K37" i="1"/>
  <c r="L37" s="1"/>
  <c r="C37" i="3" s="1"/>
  <c r="L37" s="1"/>
  <c r="C37" i="5" s="1"/>
  <c r="L37" s="1"/>
  <c r="C37" i="7" s="1"/>
  <c r="L37" s="1"/>
  <c r="C37" i="9" s="1"/>
  <c r="L37" s="1"/>
  <c r="C37" i="11" s="1"/>
  <c r="L37" s="1"/>
  <c r="C37" i="13" s="1"/>
  <c r="L37" s="1"/>
  <c r="C40" i="15" s="1"/>
  <c r="L40" s="1"/>
  <c r="C40" i="17" s="1"/>
  <c r="L40" s="1"/>
  <c r="C41" i="19" s="1"/>
  <c r="L41" s="1"/>
  <c r="C40" i="21" s="1"/>
  <c r="L40" s="1"/>
  <c r="C40" i="23" s="1"/>
  <c r="L40" s="1"/>
  <c r="C40" i="25" s="1"/>
  <c r="L40" s="1"/>
  <c r="K36" i="1"/>
  <c r="L36" s="1"/>
  <c r="C36" i="3" s="1"/>
  <c r="L36" s="1"/>
  <c r="C36" i="5" s="1"/>
  <c r="L36" s="1"/>
  <c r="C36" i="7" s="1"/>
  <c r="L36" s="1"/>
  <c r="C36" i="9" s="1"/>
  <c r="L36" s="1"/>
  <c r="C36" i="11" s="1"/>
  <c r="L36" s="1"/>
  <c r="C36" i="13" s="1"/>
  <c r="L36" s="1"/>
  <c r="C39" i="15" s="1"/>
  <c r="L39" s="1"/>
  <c r="C39" i="17" s="1"/>
  <c r="L39" s="1"/>
  <c r="C40" i="19" s="1"/>
  <c r="L40" s="1"/>
  <c r="C39" i="21" s="1"/>
  <c r="L39" s="1"/>
  <c r="C39" i="23" s="1"/>
  <c r="L39" s="1"/>
  <c r="C39" i="25" s="1"/>
  <c r="L39" s="1"/>
  <c r="K35" i="1"/>
  <c r="L35" s="1"/>
  <c r="C35" i="3" s="1"/>
  <c r="L35" s="1"/>
  <c r="C35" i="5" s="1"/>
  <c r="L35" s="1"/>
  <c r="C35" i="7" s="1"/>
  <c r="L35" s="1"/>
  <c r="C35" i="9" s="1"/>
  <c r="L35" s="1"/>
  <c r="C35" i="11" s="1"/>
  <c r="L35" s="1"/>
  <c r="C35" i="13" s="1"/>
  <c r="L35" s="1"/>
  <c r="C38" i="15" s="1"/>
  <c r="L38" s="1"/>
  <c r="C38" i="17" s="1"/>
  <c r="L38" s="1"/>
  <c r="C39" i="19" s="1"/>
  <c r="L39" s="1"/>
  <c r="C38" i="21" s="1"/>
  <c r="L38" s="1"/>
  <c r="C38" i="23" s="1"/>
  <c r="L38" s="1"/>
  <c r="C38" i="25" s="1"/>
  <c r="L38" s="1"/>
  <c r="K34" i="1"/>
  <c r="L34" s="1"/>
  <c r="C34" i="3" s="1"/>
  <c r="L34" s="1"/>
  <c r="C34" i="5" s="1"/>
  <c r="L34" s="1"/>
  <c r="C34" i="7" s="1"/>
  <c r="L34" s="1"/>
  <c r="C34" i="9" s="1"/>
  <c r="L34" s="1"/>
  <c r="C34" i="11" s="1"/>
  <c r="L34" s="1"/>
  <c r="C34" i="13" s="1"/>
  <c r="L34" s="1"/>
  <c r="C36" i="15" s="1"/>
  <c r="L36" s="1"/>
  <c r="C36" i="17" s="1"/>
  <c r="L36" s="1"/>
  <c r="C37" i="19" s="1"/>
  <c r="L37" s="1"/>
  <c r="C36" i="21" s="1"/>
  <c r="L36" s="1"/>
  <c r="C36" i="23" s="1"/>
  <c r="L36" s="1"/>
  <c r="C36" i="25" s="1"/>
  <c r="L36" s="1"/>
  <c r="K33" i="1"/>
  <c r="L33" s="1"/>
  <c r="C33" i="3" s="1"/>
  <c r="L33" s="1"/>
  <c r="C33" i="5" s="1"/>
  <c r="L33" s="1"/>
  <c r="C33" i="7" s="1"/>
  <c r="L33" s="1"/>
  <c r="C33" i="9" s="1"/>
  <c r="L33" s="1"/>
  <c r="C33" i="11" s="1"/>
  <c r="L33" s="1"/>
  <c r="C33" i="13" s="1"/>
  <c r="L33" s="1"/>
  <c r="C35" i="15" s="1"/>
  <c r="L35" s="1"/>
  <c r="C35" i="17" s="1"/>
  <c r="L35" s="1"/>
  <c r="C36" i="19" s="1"/>
  <c r="L36" s="1"/>
  <c r="C35" i="21" s="1"/>
  <c r="L35" s="1"/>
  <c r="C35" i="23" s="1"/>
  <c r="L35" s="1"/>
  <c r="C35" i="25" s="1"/>
  <c r="L35" s="1"/>
  <c r="K32" i="1"/>
  <c r="L32" s="1"/>
  <c r="C32" i="3" s="1"/>
  <c r="L32" s="1"/>
  <c r="C32" i="5" s="1"/>
  <c r="L32" s="1"/>
  <c r="C32" i="7" s="1"/>
  <c r="L32" s="1"/>
  <c r="C32" i="9" s="1"/>
  <c r="L32" s="1"/>
  <c r="C32" i="11" s="1"/>
  <c r="L32" s="1"/>
  <c r="C32" i="13" s="1"/>
  <c r="L32" s="1"/>
  <c r="C33" i="15" s="1"/>
  <c r="L33" s="1"/>
  <c r="C33" i="17" s="1"/>
  <c r="L33" s="1"/>
  <c r="C34" i="19" s="1"/>
  <c r="L34" s="1"/>
  <c r="C33" i="21" s="1"/>
  <c r="L33" s="1"/>
  <c r="C33" i="23" s="1"/>
  <c r="L33" s="1"/>
  <c r="C33" i="25" s="1"/>
  <c r="L33" s="1"/>
  <c r="K31" i="1"/>
  <c r="L31" s="1"/>
  <c r="C31" i="3" s="1"/>
  <c r="L31" s="1"/>
  <c r="C31" i="5" s="1"/>
  <c r="L31" s="1"/>
  <c r="C31" i="7" s="1"/>
  <c r="L31" s="1"/>
  <c r="C31" i="9" s="1"/>
  <c r="L31" s="1"/>
  <c r="C31" i="11" s="1"/>
  <c r="L31" s="1"/>
  <c r="C31" i="13" s="1"/>
  <c r="L31" s="1"/>
  <c r="C32" i="15" s="1"/>
  <c r="L32" s="1"/>
  <c r="C32" i="17" s="1"/>
  <c r="L32" s="1"/>
  <c r="C33" i="19" s="1"/>
  <c r="L33" s="1"/>
  <c r="C32" i="21" s="1"/>
  <c r="L32" s="1"/>
  <c r="C32" i="23" s="1"/>
  <c r="L32" s="1"/>
  <c r="C32" i="25" s="1"/>
  <c r="L32" s="1"/>
  <c r="K30" i="1"/>
  <c r="L30" s="1"/>
  <c r="C30" i="3" s="1"/>
  <c r="L30" s="1"/>
  <c r="C30" i="5" s="1"/>
  <c r="L30" s="1"/>
  <c r="C30" i="7" s="1"/>
  <c r="L30" s="1"/>
  <c r="C30" i="9" s="1"/>
  <c r="L30" s="1"/>
  <c r="C30" i="11" s="1"/>
  <c r="L30" s="1"/>
  <c r="C30" i="13" s="1"/>
  <c r="L30" s="1"/>
  <c r="C31" i="15" s="1"/>
  <c r="L31" s="1"/>
  <c r="C31" i="17" s="1"/>
  <c r="L31" s="1"/>
  <c r="C32" i="19" s="1"/>
  <c r="L32" s="1"/>
  <c r="C31" i="21" s="1"/>
  <c r="L31" s="1"/>
  <c r="C31" i="23" s="1"/>
  <c r="L31" s="1"/>
  <c r="C31" i="25" s="1"/>
  <c r="L31" s="1"/>
  <c r="K29" i="1"/>
  <c r="L29" s="1"/>
  <c r="C29" i="3" s="1"/>
  <c r="L29" s="1"/>
  <c r="C29" i="5" s="1"/>
  <c r="L29" s="1"/>
  <c r="C29" i="7" s="1"/>
  <c r="L29" s="1"/>
  <c r="C29" i="9" s="1"/>
  <c r="L29" s="1"/>
  <c r="C29" i="11" s="1"/>
  <c r="L29" s="1"/>
  <c r="C29" i="13" s="1"/>
  <c r="L29" s="1"/>
  <c r="C30" i="15" s="1"/>
  <c r="L30" s="1"/>
  <c r="C30" i="17" s="1"/>
  <c r="L30" s="1"/>
  <c r="C31" i="19" s="1"/>
  <c r="L31" s="1"/>
  <c r="C30" i="21" s="1"/>
  <c r="L30" s="1"/>
  <c r="C30" i="23" s="1"/>
  <c r="L30" s="1"/>
  <c r="C30" i="25" s="1"/>
  <c r="L30" s="1"/>
  <c r="K28" i="1"/>
  <c r="L28" s="1"/>
  <c r="C28" i="3" s="1"/>
  <c r="L28" s="1"/>
  <c r="C28" i="5" s="1"/>
  <c r="L28" s="1"/>
  <c r="C28" i="7" s="1"/>
  <c r="L28" s="1"/>
  <c r="C28" i="9" s="1"/>
  <c r="L28" s="1"/>
  <c r="C28" i="11" s="1"/>
  <c r="L28" s="1"/>
  <c r="C28" i="13" s="1"/>
  <c r="L28" s="1"/>
  <c r="C29" i="15" s="1"/>
  <c r="L29" s="1"/>
  <c r="C29" i="17" s="1"/>
  <c r="L29" s="1"/>
  <c r="C30" i="19" s="1"/>
  <c r="L30" s="1"/>
  <c r="C29" i="21" s="1"/>
  <c r="L29" s="1"/>
  <c r="C29" i="23" s="1"/>
  <c r="L29" s="1"/>
  <c r="C29" i="25" s="1"/>
  <c r="L29" s="1"/>
  <c r="K27" i="1"/>
  <c r="L27" s="1"/>
  <c r="C27" i="3" s="1"/>
  <c r="L27" s="1"/>
  <c r="C27" i="5" s="1"/>
  <c r="L27" s="1"/>
  <c r="C27" i="7" s="1"/>
  <c r="L27" s="1"/>
  <c r="C27" i="9" s="1"/>
  <c r="L27" s="1"/>
  <c r="C27" i="11" s="1"/>
  <c r="L27" s="1"/>
  <c r="C27" i="13" s="1"/>
  <c r="L27" s="1"/>
  <c r="C28" i="15" s="1"/>
  <c r="L28" s="1"/>
  <c r="C28" i="17" s="1"/>
  <c r="L28" s="1"/>
  <c r="C29" i="19" s="1"/>
  <c r="L29" s="1"/>
  <c r="K26" i="1"/>
  <c r="L26" s="1"/>
  <c r="C26" i="3" s="1"/>
  <c r="L26" s="1"/>
  <c r="C26" i="5" s="1"/>
  <c r="L26" s="1"/>
  <c r="C26" i="7" s="1"/>
  <c r="L26" s="1"/>
  <c r="C26" i="9" s="1"/>
  <c r="L26" s="1"/>
  <c r="C26" i="11" s="1"/>
  <c r="L26" s="1"/>
  <c r="C26" i="13" s="1"/>
  <c r="L26" s="1"/>
  <c r="C27" i="15" s="1"/>
  <c r="L27" s="1"/>
  <c r="C27" i="17" s="1"/>
  <c r="L27" s="1"/>
  <c r="C28" i="19" s="1"/>
  <c r="L28" s="1"/>
  <c r="C28" i="21" s="1"/>
  <c r="L28" s="1"/>
  <c r="C28" i="23" s="1"/>
  <c r="L28" s="1"/>
  <c r="C28" i="25" s="1"/>
  <c r="L28" s="1"/>
  <c r="F26" i="1"/>
  <c r="L25"/>
  <c r="C25" i="3" s="1"/>
  <c r="L25" s="1"/>
  <c r="C25" i="5" s="1"/>
  <c r="L25" s="1"/>
  <c r="C25" i="7" s="1"/>
  <c r="L25" s="1"/>
  <c r="C25" i="9" s="1"/>
  <c r="L25" s="1"/>
  <c r="C25" i="11" s="1"/>
  <c r="L25" s="1"/>
  <c r="C25" i="13" s="1"/>
  <c r="L25" s="1"/>
  <c r="C26" i="15" s="1"/>
  <c r="L26" s="1"/>
  <c r="C26" i="17" s="1"/>
  <c r="L26" s="1"/>
  <c r="C27" i="19" s="1"/>
  <c r="L27" s="1"/>
  <c r="C27" i="21" s="1"/>
  <c r="L27" s="1"/>
  <c r="C27" i="23" s="1"/>
  <c r="L27" s="1"/>
  <c r="C27" i="25" s="1"/>
  <c r="L27" s="1"/>
  <c r="K25" i="1"/>
  <c r="F24"/>
  <c r="K24" s="1"/>
  <c r="L24" s="1"/>
  <c r="C24" i="3" s="1"/>
  <c r="L24" s="1"/>
  <c r="C24" i="5" s="1"/>
  <c r="L24" s="1"/>
  <c r="C24" i="7" s="1"/>
  <c r="L24" s="1"/>
  <c r="C24" i="9" s="1"/>
  <c r="L24" s="1"/>
  <c r="C24" i="11" s="1"/>
  <c r="L24" s="1"/>
  <c r="C24" i="13" s="1"/>
  <c r="L24" s="1"/>
  <c r="C25" i="15" s="1"/>
  <c r="L25" s="1"/>
  <c r="C25" i="17" s="1"/>
  <c r="L25" s="1"/>
  <c r="C26" i="19" s="1"/>
  <c r="L26" s="1"/>
  <c r="C26" i="21" s="1"/>
  <c r="L26" s="1"/>
  <c r="C26" i="23" s="1"/>
  <c r="L26" s="1"/>
  <c r="C26" i="25" s="1"/>
  <c r="L26" s="1"/>
  <c r="K23" i="1"/>
  <c r="L23" s="1"/>
  <c r="C23" i="3" s="1"/>
  <c r="L23" s="1"/>
  <c r="C23" i="5" s="1"/>
  <c r="L23" s="1"/>
  <c r="C23" i="7" s="1"/>
  <c r="L23" s="1"/>
  <c r="C23" i="9" s="1"/>
  <c r="L23" s="1"/>
  <c r="C23" i="11" s="1"/>
  <c r="L23" s="1"/>
  <c r="C23" i="13" s="1"/>
  <c r="L23" s="1"/>
  <c r="C24" i="15" s="1"/>
  <c r="L24" s="1"/>
  <c r="C24" i="17" s="1"/>
  <c r="L24" s="1"/>
  <c r="C25" i="19" s="1"/>
  <c r="L25" s="1"/>
  <c r="C25" i="21" s="1"/>
  <c r="L25" s="1"/>
  <c r="C25" i="23" s="1"/>
  <c r="L25" s="1"/>
  <c r="C25" i="25" s="1"/>
  <c r="L25" s="1"/>
  <c r="K22" i="1"/>
  <c r="L22" s="1"/>
  <c r="C22" i="3" s="1"/>
  <c r="L22" s="1"/>
  <c r="C22" i="5" s="1"/>
  <c r="L22" s="1"/>
  <c r="C22" i="7" s="1"/>
  <c r="L22" s="1"/>
  <c r="C22" i="9" s="1"/>
  <c r="L22" s="1"/>
  <c r="C22" i="11" s="1"/>
  <c r="L22" s="1"/>
  <c r="C22" i="13" s="1"/>
  <c r="L22" s="1"/>
  <c r="C23" i="15" s="1"/>
  <c r="L23" s="1"/>
  <c r="C23" i="17" s="1"/>
  <c r="L23" s="1"/>
  <c r="C24" i="19" s="1"/>
  <c r="L24" s="1"/>
  <c r="C24" i="21" s="1"/>
  <c r="L24" s="1"/>
  <c r="C24" i="23" s="1"/>
  <c r="L24" s="1"/>
  <c r="C24" i="25" s="1"/>
  <c r="L24" s="1"/>
  <c r="K21" i="1"/>
  <c r="L21" s="1"/>
  <c r="C21" i="3" s="1"/>
  <c r="L21" s="1"/>
  <c r="C21" i="5" s="1"/>
  <c r="L21" s="1"/>
  <c r="C21" i="7" s="1"/>
  <c r="L21" s="1"/>
  <c r="C21" i="9" s="1"/>
  <c r="L21" s="1"/>
  <c r="C21" i="11" s="1"/>
  <c r="L21" s="1"/>
  <c r="C21" i="13" s="1"/>
  <c r="L21" s="1"/>
  <c r="C22" i="15" s="1"/>
  <c r="L22" s="1"/>
  <c r="C22" i="17" s="1"/>
  <c r="L22" s="1"/>
  <c r="C23" i="19" s="1"/>
  <c r="L23" s="1"/>
  <c r="C23" i="21" s="1"/>
  <c r="L23" s="1"/>
  <c r="C23" i="23" s="1"/>
  <c r="L23" s="1"/>
  <c r="C23" i="25" s="1"/>
  <c r="L23" s="1"/>
  <c r="K20" i="1"/>
  <c r="L20" s="1"/>
  <c r="C20" i="3" s="1"/>
  <c r="L20" s="1"/>
  <c r="C20" i="5" s="1"/>
  <c r="L20" s="1"/>
  <c r="C20" i="7" s="1"/>
  <c r="L20" s="1"/>
  <c r="C20" i="9" s="1"/>
  <c r="L20" s="1"/>
  <c r="C20" i="11" s="1"/>
  <c r="L20" s="1"/>
  <c r="C20" i="13" s="1"/>
  <c r="L20" s="1"/>
  <c r="C21" i="15" s="1"/>
  <c r="L21" s="1"/>
  <c r="C21" i="17" s="1"/>
  <c r="L21" s="1"/>
  <c r="C22" i="19" s="1"/>
  <c r="L22" s="1"/>
  <c r="C22" i="21" s="1"/>
  <c r="L22" s="1"/>
  <c r="C22" i="23" s="1"/>
  <c r="L22" s="1"/>
  <c r="C22" i="25" s="1"/>
  <c r="L22" s="1"/>
  <c r="K19" i="1"/>
  <c r="L19" s="1"/>
  <c r="C19" i="3" s="1"/>
  <c r="L19" s="1"/>
  <c r="C19" i="5" s="1"/>
  <c r="L19" s="1"/>
  <c r="C19" i="7" s="1"/>
  <c r="L19" s="1"/>
  <c r="C19" i="9" s="1"/>
  <c r="L19" s="1"/>
  <c r="C19" i="11" s="1"/>
  <c r="L19" s="1"/>
  <c r="C19" i="13" s="1"/>
  <c r="L19" s="1"/>
  <c r="C20" i="15" s="1"/>
  <c r="L20" s="1"/>
  <c r="C20" i="17" s="1"/>
  <c r="L20" s="1"/>
  <c r="C21" i="19" s="1"/>
  <c r="L21" s="1"/>
  <c r="C21" i="21" s="1"/>
  <c r="L21" s="1"/>
  <c r="C21" i="23" s="1"/>
  <c r="L21" s="1"/>
  <c r="C21" i="25" s="1"/>
  <c r="L21" s="1"/>
  <c r="K18" i="1"/>
  <c r="L18" s="1"/>
  <c r="C18" i="3" s="1"/>
  <c r="L18" s="1"/>
  <c r="C18" i="5" s="1"/>
  <c r="L18" s="1"/>
  <c r="C18" i="7" s="1"/>
  <c r="L18" s="1"/>
  <c r="C18" i="9" s="1"/>
  <c r="L18" s="1"/>
  <c r="C18" i="11" s="1"/>
  <c r="L18" s="1"/>
  <c r="C18" i="13" s="1"/>
  <c r="L18" s="1"/>
  <c r="C19" i="15" s="1"/>
  <c r="L19" s="1"/>
  <c r="C19" i="17" s="1"/>
  <c r="L19" s="1"/>
  <c r="C20" i="19" s="1"/>
  <c r="L20" s="1"/>
  <c r="C20" i="21" s="1"/>
  <c r="L20" s="1"/>
  <c r="C20" i="23" s="1"/>
  <c r="L20" s="1"/>
  <c r="C20" i="25" s="1"/>
  <c r="L20" s="1"/>
  <c r="F18" i="1"/>
  <c r="F17"/>
  <c r="K17" s="1"/>
  <c r="L17" s="1"/>
  <c r="C17" i="3" s="1"/>
  <c r="L17" s="1"/>
  <c r="C17" i="5" s="1"/>
  <c r="L17" s="1"/>
  <c r="C17" i="7" s="1"/>
  <c r="L17" s="1"/>
  <c r="C17" i="9" s="1"/>
  <c r="L17" s="1"/>
  <c r="C17" i="11" s="1"/>
  <c r="L17" s="1"/>
  <c r="C17" i="13" s="1"/>
  <c r="L17" s="1"/>
  <c r="C18" i="15" s="1"/>
  <c r="L18" s="1"/>
  <c r="C18" i="17" s="1"/>
  <c r="L18" s="1"/>
  <c r="C19" i="19" s="1"/>
  <c r="L19" s="1"/>
  <c r="C19" i="21" s="1"/>
  <c r="L19" s="1"/>
  <c r="C19" i="23" s="1"/>
  <c r="L19" s="1"/>
  <c r="C19" i="25" s="1"/>
  <c r="L19" s="1"/>
  <c r="K16" i="1"/>
  <c r="L16" s="1"/>
  <c r="C16" i="3" s="1"/>
  <c r="L16" s="1"/>
  <c r="C16" i="5" s="1"/>
  <c r="L16" s="1"/>
  <c r="C16" i="7" s="1"/>
  <c r="L16" s="1"/>
  <c r="C16" i="9" s="1"/>
  <c r="L16" s="1"/>
  <c r="C16" i="11" s="1"/>
  <c r="L16" s="1"/>
  <c r="C16" i="13" s="1"/>
  <c r="L16" s="1"/>
  <c r="C17" i="15" s="1"/>
  <c r="L17" s="1"/>
  <c r="C17" i="17" s="1"/>
  <c r="L17" s="1"/>
  <c r="C18" i="19" s="1"/>
  <c r="L18" s="1"/>
  <c r="K15" i="1"/>
  <c r="L15" s="1"/>
  <c r="C15" i="3" s="1"/>
  <c r="L15" s="1"/>
  <c r="C15" i="5" s="1"/>
  <c r="L15" s="1"/>
  <c r="C15" i="7" s="1"/>
  <c r="L15" s="1"/>
  <c r="C15" i="9" s="1"/>
  <c r="L15" s="1"/>
  <c r="C15" i="11" s="1"/>
  <c r="L15" s="1"/>
  <c r="C15" i="13" s="1"/>
  <c r="L15" s="1"/>
  <c r="C16" i="15" s="1"/>
  <c r="L16" s="1"/>
  <c r="C16" i="17" s="1"/>
  <c r="L16" s="1"/>
  <c r="C17" i="19" s="1"/>
  <c r="L17" s="1"/>
  <c r="K14" i="1"/>
  <c r="L14" s="1"/>
  <c r="C14" i="3" s="1"/>
  <c r="L14" s="1"/>
  <c r="C14" i="5" s="1"/>
  <c r="L14" s="1"/>
  <c r="C14" i="7" s="1"/>
  <c r="L14" s="1"/>
  <c r="C14" i="9" s="1"/>
  <c r="L14" s="1"/>
  <c r="C14" i="11" s="1"/>
  <c r="L14" s="1"/>
  <c r="C14" i="13" s="1"/>
  <c r="L14" s="1"/>
  <c r="C15" i="15" s="1"/>
  <c r="L15" s="1"/>
  <c r="C15" i="17" s="1"/>
  <c r="L15" s="1"/>
  <c r="C16" i="19" s="1"/>
  <c r="L16" s="1"/>
  <c r="C18" i="21" s="1"/>
  <c r="L18" s="1"/>
  <c r="C18" i="23" s="1"/>
  <c r="L18" s="1"/>
  <c r="C18" i="25" s="1"/>
  <c r="L18" s="1"/>
  <c r="F14" i="1"/>
  <c r="F13"/>
  <c r="K13" s="1"/>
  <c r="L13" s="1"/>
  <c r="C13" i="3" s="1"/>
  <c r="L13" s="1"/>
  <c r="C13" i="5" s="1"/>
  <c r="L13" s="1"/>
  <c r="C13" i="7" s="1"/>
  <c r="L13" s="1"/>
  <c r="C13" i="9" s="1"/>
  <c r="L13" s="1"/>
  <c r="C13" i="11" s="1"/>
  <c r="L13" s="1"/>
  <c r="C13" i="13" s="1"/>
  <c r="L13" s="1"/>
  <c r="C14" i="15" s="1"/>
  <c r="L14" s="1"/>
  <c r="C14" i="17" s="1"/>
  <c r="L14" s="1"/>
  <c r="C15" i="19" s="1"/>
  <c r="L15" s="1"/>
  <c r="C17" i="21" s="1"/>
  <c r="L17" s="1"/>
  <c r="C17" i="23" s="1"/>
  <c r="L17" s="1"/>
  <c r="C17" i="25" s="1"/>
  <c r="L17" s="1"/>
  <c r="K12" i="1"/>
  <c r="L12" s="1"/>
  <c r="C12" i="3" s="1"/>
  <c r="L12" s="1"/>
  <c r="C12" i="5" s="1"/>
  <c r="L12" s="1"/>
  <c r="C12" i="7" s="1"/>
  <c r="L12" s="1"/>
  <c r="C12" i="9" s="1"/>
  <c r="L12" s="1"/>
  <c r="C12" i="11" s="1"/>
  <c r="L12" s="1"/>
  <c r="C12" i="13" s="1"/>
  <c r="L12" s="1"/>
  <c r="C13" i="15" s="1"/>
  <c r="L13" s="1"/>
  <c r="C13" i="17" s="1"/>
  <c r="L13" s="1"/>
  <c r="C14" i="19" s="1"/>
  <c r="L14" s="1"/>
  <c r="C16" i="21" s="1"/>
  <c r="L16" s="1"/>
  <c r="C16" i="23" s="1"/>
  <c r="L16" s="1"/>
  <c r="C16" i="25" s="1"/>
  <c r="L16" s="1"/>
  <c r="K11" i="1"/>
  <c r="L11" s="1"/>
  <c r="C11" i="3" s="1"/>
  <c r="L11" s="1"/>
  <c r="C11" i="5" s="1"/>
  <c r="L11" s="1"/>
  <c r="C11" i="7" s="1"/>
  <c r="L11" s="1"/>
  <c r="C11" i="9" s="1"/>
  <c r="L11" s="1"/>
  <c r="C11" i="11" s="1"/>
  <c r="L11" s="1"/>
  <c r="C11" i="13" s="1"/>
  <c r="L11" s="1"/>
  <c r="C12" i="15" s="1"/>
  <c r="L12" s="1"/>
  <c r="C12" i="17" s="1"/>
  <c r="L12" s="1"/>
  <c r="C13" i="19" s="1"/>
  <c r="L13" s="1"/>
  <c r="C15" i="21" s="1"/>
  <c r="L15" s="1"/>
  <c r="C15" i="23" s="1"/>
  <c r="L15" s="1"/>
  <c r="C15" i="25" s="1"/>
  <c r="L15" s="1"/>
  <c r="F11" i="1"/>
  <c r="L10"/>
  <c r="C10" i="3" s="1"/>
  <c r="L10" s="1"/>
  <c r="C10" i="5" s="1"/>
  <c r="L10" s="1"/>
  <c r="C10" i="7" s="1"/>
  <c r="L10" s="1"/>
  <c r="C10" i="9" s="1"/>
  <c r="L10" s="1"/>
  <c r="C10" i="11" s="1"/>
  <c r="L10" s="1"/>
  <c r="C10" i="13" s="1"/>
  <c r="L10" s="1"/>
  <c r="C11" i="15" s="1"/>
  <c r="L11" s="1"/>
  <c r="C11" i="17" s="1"/>
  <c r="L11" s="1"/>
  <c r="C12" i="19" s="1"/>
  <c r="L12" s="1"/>
  <c r="C14" i="21" s="1"/>
  <c r="L14" s="1"/>
  <c r="C14" i="23" s="1"/>
  <c r="L14" s="1"/>
  <c r="C14" i="25" s="1"/>
  <c r="L14" s="1"/>
  <c r="K10" i="1"/>
  <c r="F9"/>
  <c r="K9" s="1"/>
  <c r="L9" s="1"/>
  <c r="C9" i="3" s="1"/>
  <c r="L9" s="1"/>
  <c r="C9" i="5" s="1"/>
  <c r="L9" s="1"/>
  <c r="C9" i="7" s="1"/>
  <c r="L9" s="1"/>
  <c r="C9" i="9" s="1"/>
  <c r="L9" s="1"/>
  <c r="C9" i="11" s="1"/>
  <c r="L9" s="1"/>
  <c r="C9" i="13" s="1"/>
  <c r="L9" s="1"/>
  <c r="C10" i="15" s="1"/>
  <c r="L10" s="1"/>
  <c r="C10" i="17" s="1"/>
  <c r="L10" s="1"/>
  <c r="C11" i="19" s="1"/>
  <c r="L11" s="1"/>
  <c r="C13" i="21" s="1"/>
  <c r="L13" s="1"/>
  <c r="C13" i="23" s="1"/>
  <c r="L13" s="1"/>
  <c r="C13" i="25" s="1"/>
  <c r="L13" s="1"/>
  <c r="K8" i="1"/>
  <c r="L8" s="1"/>
  <c r="C8" i="3" s="1"/>
  <c r="L8" s="1"/>
  <c r="C8" i="5" s="1"/>
  <c r="L8" s="1"/>
  <c r="C8" i="7" s="1"/>
  <c r="L8" s="1"/>
  <c r="C8" i="9" s="1"/>
  <c r="L8" s="1"/>
  <c r="C8" i="11" s="1"/>
  <c r="L8" s="1"/>
  <c r="C8" i="13" s="1"/>
  <c r="L8" s="1"/>
  <c r="C9" i="15" s="1"/>
  <c r="L9" s="1"/>
  <c r="C9" i="17" s="1"/>
  <c r="L9" s="1"/>
  <c r="C10" i="19" s="1"/>
  <c r="L10" s="1"/>
  <c r="K7" i="1"/>
  <c r="L7" s="1"/>
  <c r="C7" i="3" s="1"/>
  <c r="L7" s="1"/>
  <c r="C7" i="5" s="1"/>
  <c r="L7" s="1"/>
  <c r="C7" i="7" s="1"/>
  <c r="L7" s="1"/>
  <c r="C7" i="9" s="1"/>
  <c r="L7" s="1"/>
  <c r="C7" i="11" s="1"/>
  <c r="L7" s="1"/>
  <c r="C7" i="13" s="1"/>
  <c r="L7" s="1"/>
  <c r="C7" i="15" s="1"/>
  <c r="L7" s="1"/>
  <c r="C7" i="17" s="1"/>
  <c r="L7" s="1"/>
  <c r="C8" i="19" s="1"/>
  <c r="L8" s="1"/>
  <c r="C11" i="21" s="1"/>
  <c r="L11" s="1"/>
  <c r="C11" i="23" s="1"/>
  <c r="L11" s="1"/>
  <c r="C11" i="25" s="1"/>
  <c r="L11" s="1"/>
  <c r="F7" i="1"/>
  <c r="L6"/>
  <c r="C6" i="3" s="1"/>
  <c r="L6" s="1"/>
  <c r="C6" i="5" s="1"/>
  <c r="L6" s="1"/>
  <c r="C6" i="7" s="1"/>
  <c r="L6" s="1"/>
  <c r="C6" i="9" s="1"/>
  <c r="L6" s="1"/>
  <c r="C6" i="11" s="1"/>
  <c r="L6" s="1"/>
  <c r="C6" i="13" s="1"/>
  <c r="L6" s="1"/>
  <c r="C6" i="15" s="1"/>
  <c r="L6" s="1"/>
  <c r="C6" i="17" s="1"/>
  <c r="L6" s="1"/>
  <c r="C6" i="19" s="1"/>
  <c r="L6" s="1"/>
  <c r="C9" i="21" s="1"/>
  <c r="L9" s="1"/>
  <c r="C9" i="23" s="1"/>
  <c r="L9" s="1"/>
  <c r="C9" i="25" s="1"/>
  <c r="L9" s="1"/>
  <c r="K6" i="1"/>
  <c r="F5"/>
  <c r="K5" s="1"/>
  <c r="L5" s="1"/>
  <c r="C5" i="3" s="1"/>
  <c r="L5" s="1"/>
  <c r="C5" i="5" s="1"/>
  <c r="L5" s="1"/>
  <c r="C5" i="7" s="1"/>
  <c r="L5" s="1"/>
  <c r="C5" i="9" s="1"/>
  <c r="L5" s="1"/>
  <c r="C5" i="11" s="1"/>
  <c r="L5" s="1"/>
  <c r="C5" i="13" s="1"/>
  <c r="L5" s="1"/>
  <c r="C5" i="15" s="1"/>
  <c r="L5" s="1"/>
  <c r="C5" i="17" s="1"/>
  <c r="L5" s="1"/>
  <c r="C5" i="19" s="1"/>
  <c r="L5" s="1"/>
  <c r="C5" i="21" s="1"/>
  <c r="L5" s="1"/>
  <c r="C5" i="23" s="1"/>
  <c r="L5" s="1"/>
  <c r="C5" i="25" s="1"/>
  <c r="L5" s="1"/>
  <c r="L135" i="23" l="1"/>
  <c r="C135" i="25" s="1"/>
  <c r="L135" s="1"/>
</calcChain>
</file>

<file path=xl/sharedStrings.xml><?xml version="1.0" encoding="utf-8"?>
<sst xmlns="http://schemas.openxmlformats.org/spreadsheetml/2006/main" count="18102" uniqueCount="671">
  <si>
    <t xml:space="preserve"> МЕДИКАМЕНТЫ</t>
  </si>
  <si>
    <t>№</t>
  </si>
  <si>
    <t>Наименование</t>
  </si>
  <si>
    <t>Дата прихода</t>
  </si>
  <si>
    <t>Кол-во</t>
  </si>
  <si>
    <t>Рощинское ПО</t>
  </si>
  <si>
    <t>Выборгское ДПО</t>
  </si>
  <si>
    <t>Сланцевское ПО</t>
  </si>
  <si>
    <t>Всеволожское ДПО</t>
  </si>
  <si>
    <t>Другие структурные подразделения ЛОПНД</t>
  </si>
  <si>
    <t>Всего расход</t>
  </si>
  <si>
    <t>Срок годности</t>
  </si>
  <si>
    <t>Источник финансирования</t>
  </si>
  <si>
    <t>Перечень ЖНВЛП</t>
  </si>
  <si>
    <t>Латинское наименование</t>
  </si>
  <si>
    <t>Адреналин р-р 1 мг/мл — 1 мл №5 амп</t>
  </si>
  <si>
    <t>Стационар 901</t>
  </si>
  <si>
    <t>ЖВ</t>
  </si>
  <si>
    <t>Sol. Adrenalini 1 mg/ml 1 ml № 5 in amp</t>
  </si>
  <si>
    <t>Азитромицин  500 мг №3 табл.</t>
  </si>
  <si>
    <t>Azithromycini 500 mg №3 in tabl.</t>
  </si>
  <si>
    <t>Акинетон 2 мг. № 100 табл.</t>
  </si>
  <si>
    <t>Akinetoni 2 mg № 100 in tabl.</t>
  </si>
  <si>
    <t>Алимезол р-р 5 мг/мл — 100 мл (метронидазол)</t>
  </si>
  <si>
    <t>Аминазин 100мг №10 табл.</t>
  </si>
  <si>
    <t>Aminazini 100 mg № 10 in tabl.</t>
  </si>
  <si>
    <t>Д/с 903</t>
  </si>
  <si>
    <t>Аминазин 50 мг №10 табл.</t>
  </si>
  <si>
    <t>Aminazini 50 mg № 10 in tabl.</t>
  </si>
  <si>
    <t>Аминазин 25 мг №10 табл.</t>
  </si>
  <si>
    <t>Aminazini 25 mg № 10 in tabl.</t>
  </si>
  <si>
    <t>Аминазин р-р 25 мг/мл — 2 мл № 10 амп.</t>
  </si>
  <si>
    <t>Sol. Aminazini 25 mg/ml 2 ml № 10 in amp</t>
  </si>
  <si>
    <t>Аминокапроновая к-та р-р 50 мг/мл — 100 мл №1</t>
  </si>
  <si>
    <t>Sol. Acidi aminocaproici 50 mg/ml 100 ml in flac.</t>
  </si>
  <si>
    <t>Амитриптилин 25 мг № 50 табл.</t>
  </si>
  <si>
    <t>Amitriptylini 25 mg № 50 in tabl.</t>
  </si>
  <si>
    <t>Амитриптилин р-р 10 мг/мл — 2 мл №10 амп.</t>
  </si>
  <si>
    <t>Sol. Amitriptylini 10 mg/ml 2 ml № 10 in amp</t>
  </si>
  <si>
    <t>Амоксиклав пор. д/р-ра в/в 1г+200мг фл. № 5</t>
  </si>
  <si>
    <t>Pulv. Amoksiklavi 1000+200 mg №5 in flac.</t>
  </si>
  <si>
    <t>Амоксиклав 875мг+125мг №14 табл. (маркировка)</t>
  </si>
  <si>
    <t>Amoksiklavi 875+125 mg № 14 in tabl.</t>
  </si>
  <si>
    <t>Амоксициллин 500мг №20 табл.</t>
  </si>
  <si>
    <t xml:space="preserve">Аммиак р-р 10% 40 мл </t>
  </si>
  <si>
    <t>нет</t>
  </si>
  <si>
    <t>Sоl. Аmmonii саustici 10 % 40 ml</t>
  </si>
  <si>
    <t>Анальгин р-р 500 мг/мл 2 мл. №10 амп.</t>
  </si>
  <si>
    <t>Sol. Analgini 500 mg/ml 2 ml № 10 in amp.</t>
  </si>
  <si>
    <t>Анальгин 500 мг №10 табл.</t>
  </si>
  <si>
    <t>Analgini 500 mg № 10 in tabl.</t>
  </si>
  <si>
    <t>Анаприлин 10 мг №50 табл.</t>
  </si>
  <si>
    <t>Anaprilini 10 mg № 50 in tabl.</t>
  </si>
  <si>
    <t>Анаприлин 40 мг №50 табл.</t>
  </si>
  <si>
    <t>Анафранил 75 мг №10 табл.</t>
  </si>
  <si>
    <t>Анафранил 2 мл №10 амп.</t>
  </si>
  <si>
    <t>Арбидол 100 мг № 20 капсулы</t>
  </si>
  <si>
    <t>Арипризол 10 мг № 30 табл</t>
  </si>
  <si>
    <t>Ariprizoli 10 mg № 30 in tabl.</t>
  </si>
  <si>
    <t>Аскорбиновая кислота р-р 50 мг/мл 2 мл №10 амп.</t>
  </si>
  <si>
    <t>Sol. Acidi ascorbici 50 mg/ml 2 ml in amp.</t>
  </si>
  <si>
    <t>Аспаркам № 60 табл.</t>
  </si>
  <si>
    <t>Asparcami № 60 in tabl.</t>
  </si>
  <si>
    <t>Аспаркам 5 мл №10 амп.</t>
  </si>
  <si>
    <t>Астрокс р-р 2 мл №10</t>
  </si>
  <si>
    <t>Атаракс 25 мг №25 табл</t>
  </si>
  <si>
    <t>Ataraxi 25 mg № 25 in tabl.</t>
  </si>
  <si>
    <t>Атенолол 100мг №30 табл.</t>
  </si>
  <si>
    <t>Atenololi 100 mg № 30 in tabl.</t>
  </si>
  <si>
    <t>Ацетилсалициловая к-та 500 мг № 10 табл.</t>
  </si>
  <si>
    <t>Acidi acetylsalicylici 500 mg № 10 in tabl.</t>
  </si>
  <si>
    <t>Ацилок р-р 2мл №10 амп.</t>
  </si>
  <si>
    <t>Ацикловир 200 мг.№20 табл.</t>
  </si>
  <si>
    <t>Acicloviri 200 mg № 20 in tabl.</t>
  </si>
  <si>
    <t>Ацекардол 50мг №30 табл</t>
  </si>
  <si>
    <t>Acecardoli 50 mg № 30 in tabl.</t>
  </si>
  <si>
    <t>Беклометазон-аэронатив 100 мкг/200 доз</t>
  </si>
  <si>
    <t>Бензилбензоат 20% эмульсия 200 гр</t>
  </si>
  <si>
    <t>Бензилбензоат 20% мазь 25 гр.</t>
  </si>
  <si>
    <t>Ung. Benzylbenzoati 20% 25,0</t>
  </si>
  <si>
    <t>Безак 2 мг № 50 табл.</t>
  </si>
  <si>
    <t>Bezaki 2 mg № 50 in tabl.</t>
  </si>
  <si>
    <t>Беталок Зок 50 мг №30</t>
  </si>
  <si>
    <t>Бетамакс 200 мг. №30 табл.</t>
  </si>
  <si>
    <t>Betamaxi 200 mg № 30 in tabl.</t>
  </si>
  <si>
    <t>Бетамакс 100 мг. №30 табл.</t>
  </si>
  <si>
    <t>Betamaxi 100 mg № 30 in tabl.</t>
  </si>
  <si>
    <t>Бетамакс 50 мг. №30 табл.</t>
  </si>
  <si>
    <t>Betamaxi 50 mg № 30 in tabl.</t>
  </si>
  <si>
    <t>Бисопролол 10 мг №30 табл.</t>
  </si>
  <si>
    <t>Bisoprololi 10 mg № 30 in tabl.</t>
  </si>
  <si>
    <t>Бисакодил 5 мг №30 табл.</t>
  </si>
  <si>
    <t>Bisacodyli 5 mg № 30 in tabl.</t>
  </si>
  <si>
    <t>Бриллиантового зеленого р-р 1 % 10 мл</t>
  </si>
  <si>
    <t>Sol. Viridis nitentis spirit. 1% 10 ml in flac.</t>
  </si>
  <si>
    <t>Бромгексин 8 мг. №50 табл.</t>
  </si>
  <si>
    <t>Bromhexini 8 mg № 50 in tabl.</t>
  </si>
  <si>
    <t>Бронхолитин сироп 125 мл</t>
  </si>
  <si>
    <t>Sirupus Broncholytini 125,0</t>
  </si>
  <si>
    <t>Валидол 60 мг № 10 табл</t>
  </si>
  <si>
    <t>Вальдоксан 25 мг № 98 табл.</t>
  </si>
  <si>
    <t>Valdoxani 25 mg № 98 in tabl.</t>
  </si>
  <si>
    <t>Венлаксор 75 мг. №30 табл.</t>
  </si>
  <si>
    <t>Venlaxori 75 mg № 30 in tabl.</t>
  </si>
  <si>
    <t>Венлафаксин 75 мг. №30 табл.</t>
  </si>
  <si>
    <t>Винпоцетин р-р 0,5% 2 мл №10 амп.</t>
  </si>
  <si>
    <t>Sol. Vinpocetini 5 mg/ml 2 ml № 10 in amp.</t>
  </si>
  <si>
    <t>Винпоцетин 5 мг № 50 табл.</t>
  </si>
  <si>
    <t>Vinpocetini 5 mg № 50 in tabl.</t>
  </si>
  <si>
    <t xml:space="preserve">Вишневского линимент 30 гр </t>
  </si>
  <si>
    <t>Галантамин Канон 8 м №56 табл.</t>
  </si>
  <si>
    <t>Галоперидол 5 мг №50 табл.</t>
  </si>
  <si>
    <t>Haloperidoli 5 mg № 50 in tabl.</t>
  </si>
  <si>
    <t>Галоперидол 1,5 мг №50 табл.</t>
  </si>
  <si>
    <t>Haloperidoli 1,5 mg № 50 in tabl.</t>
  </si>
  <si>
    <t>Галоперидол  деканоат р-р масляный 50 мг/мл 1мл № 5 амп.</t>
  </si>
  <si>
    <t>Sol. Haloperidoli decanoate oleosi 50 mg/ml 1 ml № 5 in amp.</t>
  </si>
  <si>
    <t>Галоперидол р-р 5 мг/мл 1 мл № 10 амп.</t>
  </si>
  <si>
    <t>Sol. Haloperidoli 5 mg/ml 1 ml № 10 in amp.</t>
  </si>
  <si>
    <t>Галоперидол -Рихтер р-р 5 мг/мл 1мл № 5</t>
  </si>
  <si>
    <t>Галоперидол-ратиофарм капли 2 мг/мл 30 мл.</t>
  </si>
  <si>
    <t>Gutt. Haloperidoli 2 mg/ml 30 ml in flac.</t>
  </si>
  <si>
    <t>Глицин 100 мг №50 табл.</t>
  </si>
  <si>
    <t>Glycini 100 mg № 50 in tabl.</t>
  </si>
  <si>
    <t>Гентамицин- Ферейн гл/капли 0,3% 5 мл</t>
  </si>
  <si>
    <t>Гепарин р-р 5000МЕ/мл 5 мл № 5</t>
  </si>
  <si>
    <t>Sol. Heparini 5000 UA/ml 5 ml № 5 in flac.</t>
  </si>
  <si>
    <t>Гепариновая мазь 25 гр</t>
  </si>
  <si>
    <t>Ung. Heparini 25,0</t>
  </si>
  <si>
    <t>Гепаретта лифилизат для приготовления р-ра 400мг 5 мл фл №5+р-ль</t>
  </si>
  <si>
    <t>Pulv. Heparetti 400 mg №5 in flac.</t>
  </si>
  <si>
    <t>Гептрал лифилизат для приготовления р-ра 400мг №5</t>
  </si>
  <si>
    <t>Гидроксизин Канон 25мг №25 табл.</t>
  </si>
  <si>
    <t>Hydroxyzini 25 mg № 25 in tabl.</t>
  </si>
  <si>
    <t>Гидрохлортиазид 100 мг № 20 табл.</t>
  </si>
  <si>
    <t>Hydrochlorothiazidi 100 mg № 20 in tabl.</t>
  </si>
  <si>
    <t>Глеацер р-р 250 мг/мл 4 мл № 5</t>
  </si>
  <si>
    <t>Sol. Gleaceri 250 mg/ml 4 ml № 5 in amp.</t>
  </si>
  <si>
    <t>Глюкоза р-р 40 % 10 мл №10 амп.</t>
  </si>
  <si>
    <t>Глюкоза Э р-р 5% 200,0 мл</t>
  </si>
  <si>
    <t>Гопантеновая кислота 250 мг №50 табл</t>
  </si>
  <si>
    <t>Acidi Gopantenici 250 mg № 50 in tabl.</t>
  </si>
  <si>
    <t>Грандаксин 50 мг. № 60 табл.</t>
  </si>
  <si>
    <t>Grandaxini 50 mg № 60 in tabl.</t>
  </si>
  <si>
    <t>Дексаметазон р-р 4мг/мл 1мл №25 амп</t>
  </si>
  <si>
    <t>Sol. Dexamethasoni 4 mg/ml 1 ml № 25 in amp.</t>
  </si>
  <si>
    <t>Декспантенол мазь 5% 25 гр.</t>
  </si>
  <si>
    <t>Ung. Dexpanthenoli 5 %  25,0</t>
  </si>
  <si>
    <t>Депакин хроно 0,5 №30 табл.</t>
  </si>
  <si>
    <t>Диазолин 100 мг №10 драже</t>
  </si>
  <si>
    <t>Diazolini 100 mg № 10 in tabl.</t>
  </si>
  <si>
    <t>Дибазол р-р 10мг/мл  1 мл №10 амп</t>
  </si>
  <si>
    <t>Sol. Dibazoli 10 mg/ml 1 ml № 10 in amp.</t>
  </si>
  <si>
    <t>Дигоксин 0,25мг №50 табл.</t>
  </si>
  <si>
    <t>Digoxini 0,25 mg № 50 in tabl.</t>
  </si>
  <si>
    <t>Диклофенак р-р 25 мг\мл 3 мл №10 амп.</t>
  </si>
  <si>
    <t>Диклофенак 50 мг.№20 табл</t>
  </si>
  <si>
    <t>Diclofenaci 50 mg № 20 in tabl.</t>
  </si>
  <si>
    <t>Димедрол 50 мг  №10 табл.</t>
  </si>
  <si>
    <t>Dimedroli 50 mg № 10 in tabl.</t>
  </si>
  <si>
    <t>Димедрол р-р 10 мг/мл 1мл. №10 амп.</t>
  </si>
  <si>
    <t>Sol. Dimedroli 10 mg/ml 1 ml № 10 in amp.</t>
  </si>
  <si>
    <t>Дротаверин р-р 20 мг/мл — 2 мл №10 амп.</t>
  </si>
  <si>
    <t>Sol. Drotaverini 20 mg/ml 2 ml № 10 in amp.</t>
  </si>
  <si>
    <t>Дроперидол р-р 2,5 мг/мл 2 мл № 5  амп.</t>
  </si>
  <si>
    <t>Sol. Droperidoli 2,5 mg/ml 2 ml № 5 in amp.</t>
  </si>
  <si>
    <t>Дроперидол р-р 2,5 мг/мл 2 мл № 5 амп.</t>
  </si>
  <si>
    <t>Дротаверин 40 мг №20 табл.</t>
  </si>
  <si>
    <t>Drotaverini 40 mg № 20 in tabl.</t>
  </si>
  <si>
    <t>Дуовит драже № 40</t>
  </si>
  <si>
    <t>Duoviti № 40 in tabl.</t>
  </si>
  <si>
    <t>Заласта 10мг №28 табл.</t>
  </si>
  <si>
    <t>Зептол 400 мг пролонг. №30 табл.</t>
  </si>
  <si>
    <t>Zeptoli retardi 400 mg № 30 in tabl.</t>
  </si>
  <si>
    <t>Зилаксера 10 мг. № 28 табл.</t>
  </si>
  <si>
    <t>Золофт 100мг№28 табл</t>
  </si>
  <si>
    <t>Zolofti 100 mg № 28 in tabl.</t>
  </si>
  <si>
    <t>Ибупрофен 400 мг № 20 табл</t>
  </si>
  <si>
    <t>Ибупрофен 200 мг № 50 табл</t>
  </si>
  <si>
    <t>Ibuprofeni 200 mg № 50 in tabl.</t>
  </si>
  <si>
    <t>Ингавирин 60 мг № 10 капс. (маркировка)</t>
  </si>
  <si>
    <t>Ingavirini 60 mg № 10 in caps.</t>
  </si>
  <si>
    <t>Идринол 250 мг № 40 капс</t>
  </si>
  <si>
    <t>Idrinoli 250 mg № 40 in caps.</t>
  </si>
  <si>
    <t>Индапамид 2,5 мг №30 табл.</t>
  </si>
  <si>
    <t>Indapamidi 2,5 mg № 30 in caps.</t>
  </si>
  <si>
    <t>Инфлюцеин 75 мг. №10 капс.</t>
  </si>
  <si>
    <t>Inflyuceini 75 mg № 10 in caps.</t>
  </si>
  <si>
    <t>Ипратерол-аэронатив аэр. 200 доз</t>
  </si>
  <si>
    <t>Иод 5% 10 мл флакон</t>
  </si>
  <si>
    <t>Sol. Iodi 5 % 10 ml in flac.</t>
  </si>
  <si>
    <t>Каликста 15 мг №30 табл.</t>
  </si>
  <si>
    <t>Калия хлорид р-р 40 мг/мл 10 мл №10 амп.</t>
  </si>
  <si>
    <t>Sol. Kalii chloridi 40 mg/ml 10 ml № 10 in amp.</t>
  </si>
  <si>
    <t>Кальций хлорид р-р 100 мг/мл 10 мл №10 амп.</t>
  </si>
  <si>
    <t>Sol. Calcii chloridi 100 mg/ml 10 ml № 10 in amp.</t>
  </si>
  <si>
    <t>Кальций глюконат р-р 100мг/мл 10 мл № 10 амп</t>
  </si>
  <si>
    <t>Sol. Calcii gluconati 100 mg/ml 10 ml № 10 in amp.</t>
  </si>
  <si>
    <t>Камфорный спирт 10% 40 мл флакон</t>
  </si>
  <si>
    <t>Каптоприл 25мг №40 табл</t>
  </si>
  <si>
    <t>Карбамазепин 200мг №50 табл.</t>
  </si>
  <si>
    <t>Carbamazepini 200 mg № 50 in tabl.</t>
  </si>
  <si>
    <t>Кардионат р-р 100мг/мл 5мл №10 амп.</t>
  </si>
  <si>
    <t xml:space="preserve">Карсил драже 35 мг № 180 </t>
  </si>
  <si>
    <t>Carsili 35 mg № 180 in dr.</t>
  </si>
  <si>
    <t>Квентиакс 25  мг. №60 табл</t>
  </si>
  <si>
    <t>Квентиакс 100 мг. №60 табл</t>
  </si>
  <si>
    <t>Кветиапин Канон 100 мг № 60 табл</t>
  </si>
  <si>
    <t>Кветиапин 150 мг № 60 табл</t>
  </si>
  <si>
    <t>Quetiapini 150 mg № 60 in tabl.</t>
  </si>
  <si>
    <t>Кветиапин 200 мг № 60 табл</t>
  </si>
  <si>
    <t>Quetiapini 200 mg № 60 in tabl.</t>
  </si>
  <si>
    <t>Кларитромицин 500 мг №10 табл.</t>
  </si>
  <si>
    <t>Клопиксол — акуфаз р-р 50 мг/мл №5 амп. (18 уп — маркировка)</t>
  </si>
  <si>
    <t>Sol. Clopixoli-Acuphasi oleosi 50 mg/ml 1 ml № 5 in amp</t>
  </si>
  <si>
    <t>Клопиксол — акуфаз р-р 50 мг/мл №5 амп.</t>
  </si>
  <si>
    <t>Клопиксол - депо р-р масляный 200мг №10 амп.</t>
  </si>
  <si>
    <t>Sol. Clopixoli Depot oleosi 200 mg/ml 1 ml  № 10 in amp</t>
  </si>
  <si>
    <t>Клопиксол 25 мг №100 табл.</t>
  </si>
  <si>
    <t>Клопиксол 25 мг №50 табл.</t>
  </si>
  <si>
    <t>Клопиксол  10 мг. №50 табл.</t>
  </si>
  <si>
    <t>Clopixoli 10 mg № 50 in tabl.</t>
  </si>
  <si>
    <t>Клопиксол 2 мг. №50 табл.</t>
  </si>
  <si>
    <t>Clopixoli 2 mg № 50 in tabl.</t>
  </si>
  <si>
    <t>Кломипрамин р-р 12,5 мг/мл 2 мл № 10 амп.</t>
  </si>
  <si>
    <t>Sol. Clomipramini 12,5 mg/ml 2 ml № 10 in amp.</t>
  </si>
  <si>
    <t>Кломипрамин 25 мг. № 30 табл.</t>
  </si>
  <si>
    <t>Клотримазол  крем 1% 20 г</t>
  </si>
  <si>
    <t>Ung. Clotrimazoli 1 % 20,0</t>
  </si>
  <si>
    <t>Клофранил 25мг №50 табл.</t>
  </si>
  <si>
    <t>Clofranili 25 mg № 50 in tabl.</t>
  </si>
  <si>
    <t>Комбилипен № 60 табл</t>
  </si>
  <si>
    <t>Комплигам В р-р 2 мл № 10 амп</t>
  </si>
  <si>
    <t>Компливит № 60 табл</t>
  </si>
  <si>
    <t>Compliviti № 60 in tabl.</t>
  </si>
  <si>
    <t>Кордарон 0,2 №30 табл.</t>
  </si>
  <si>
    <t>Кордиамин р-р 250 мг/мл 1 мл №10 амп</t>
  </si>
  <si>
    <t>Sol. Cordiamini 250 mg/ml 1 ml № 10 in amp.</t>
  </si>
  <si>
    <t>Корвалол  25 мл капли</t>
  </si>
  <si>
    <t>Кортексин лиофилизат 10 мг №10 фл.</t>
  </si>
  <si>
    <t>Ксилокт капли назальные 0,1% 10 мл флак.</t>
  </si>
  <si>
    <t>Gutt. Xylometazolini 0,1 % 10 ml in flac.</t>
  </si>
  <si>
    <t>Ксилометазолин-Солофарм капли 0,1% 10 мл</t>
  </si>
  <si>
    <t>Кофеин-бензоат натрия р-р 200 мг/мл 1,0 №10 амп.</t>
  </si>
  <si>
    <t>Sol. Coffeini-benzoati sodii 200 mg/ml 1 ml № 10 in amp.</t>
  </si>
  <si>
    <t>Конвулекс 300 мг №50 табл.</t>
  </si>
  <si>
    <t>Конвулекс 500 мг №50 табл.</t>
  </si>
  <si>
    <t>Конвулекс р-р 5 мл №5 амп.</t>
  </si>
  <si>
    <t>Лавомакс 125 мг №10 табл.</t>
  </si>
  <si>
    <t>Лантус СолоСтар 100ЕД</t>
  </si>
  <si>
    <t>Левомиколь мазь</t>
  </si>
  <si>
    <t>Левометил мазь 40 гр.</t>
  </si>
  <si>
    <t>Ung. Levometili 40,0</t>
  </si>
  <si>
    <t>Левофлоксацин р-р 5мг/мл 100мл флак.</t>
  </si>
  <si>
    <t>Sol. Levofloxacini 5 mg/ml 100 ml in flac.</t>
  </si>
  <si>
    <t>Лидаза лиофилизат для приг р-ра 64УЕ № 5 флак.</t>
  </si>
  <si>
    <t>Лидокаина г/хл р-р 2% 2 мл №10 амп.</t>
  </si>
  <si>
    <t>Лоперамид 2 мг № 20 табл.</t>
  </si>
  <si>
    <t>Loperamidi 2 mg № 20 in tabl.</t>
  </si>
  <si>
    <t>Люголя р-р с глицерином 25 мл. фл.</t>
  </si>
  <si>
    <t>Sol. Lugoli cum glycerini 25 ml in flac.</t>
  </si>
  <si>
    <t>Магния сульфат р-р 250 мг/мл 10 мл. № 10 амп.</t>
  </si>
  <si>
    <t>Sol. Magnesii sulfati 250 mg/ml 10 ml № 10 in amp.</t>
  </si>
  <si>
    <t>Маннит р-р 15% 400 мл</t>
  </si>
  <si>
    <t>Мексиприм 125 мг № 30 табл</t>
  </si>
  <si>
    <t>Мексидол р-р 50мг/мл 5мл №5 аип</t>
  </si>
  <si>
    <t>Мексидол р-р 50мг/мл 2 мл №10 амп</t>
  </si>
  <si>
    <t>Мексидол 125 мг №30 табл.</t>
  </si>
  <si>
    <t>Мельдоний р-р 100 мг/мл 5 мл №10 амп.</t>
  </si>
  <si>
    <t>Sol. Meldonii 100 mg/ml 5 ml № 10 in amp.</t>
  </si>
  <si>
    <t>Мелипрамин 25 мг №50 табл.</t>
  </si>
  <si>
    <t>Melipramini 25 mg № 50 in tabl.</t>
  </si>
  <si>
    <t>Меманталь 10 мг. № 90 табл. (маркировки)</t>
  </si>
  <si>
    <t>Memantali 10 mg № 90 in tabl.</t>
  </si>
  <si>
    <t>Мендилекс 2 мг. №50 табл.</t>
  </si>
  <si>
    <t>Mendilexi 2 mg № 50 in tabl.</t>
  </si>
  <si>
    <t>Метилурациловая мазь 10% 25 гр.</t>
  </si>
  <si>
    <t>Метоклопрамид р-р 5 мг/мл 2 мл №10 амп.</t>
  </si>
  <si>
    <t>Sol. Metoclopramidi 5 mg/ml 2 ml № 10 in amp.</t>
  </si>
  <si>
    <t>Метоклопрамид 10мг №50 табл.</t>
  </si>
  <si>
    <t>Metoclopramidi 10 mg № 50 in tabl.</t>
  </si>
  <si>
    <t>Метопролол 50мг №50 табл.</t>
  </si>
  <si>
    <t>Metoprololi 50 mg № 50 in tabl.</t>
  </si>
  <si>
    <t>Метронидазол 250 мг № 20 табл.</t>
  </si>
  <si>
    <t>Metronidazoli 250 mg № 20 in tabl.</t>
  </si>
  <si>
    <t>Метронидазол р-р 0,5% 100мл</t>
  </si>
  <si>
    <t>Метформин таб. 850 мг. №60 табл.</t>
  </si>
  <si>
    <t>Metformini 850 mg № 60 in tabl.</t>
  </si>
  <si>
    <t>Мезатон р-р 10 мг/мл 1 мл 10 амп.</t>
  </si>
  <si>
    <t>Sol. Mesatoni 10 mg/ml 1 ml № 10 in amp.</t>
  </si>
  <si>
    <t>Мидантам  100мг №50 табл.</t>
  </si>
  <si>
    <t>Midantani 100 mg № 50 in tabl.</t>
  </si>
  <si>
    <t>Миртазапин 30 мг №30 табл</t>
  </si>
  <si>
    <t>Mirtazapini 30 mg № 30 in tabl.</t>
  </si>
  <si>
    <t>Миртазапин 15 мг №30 табл</t>
  </si>
  <si>
    <t>Mirtazapini 15 mg № 30 in tabl.</t>
  </si>
  <si>
    <t>Микразим 25 тыс.ЕД №20 капс.</t>
  </si>
  <si>
    <t>Моксонидин 0,4мг №14 табл</t>
  </si>
  <si>
    <t>Модитен депо р-р масляный 25 мг/мл 1 мл №5 амп</t>
  </si>
  <si>
    <t>Мукалтин 50 мг №10 табл</t>
  </si>
  <si>
    <t>Mucaltini 50 mg № 10 in tabl.</t>
  </si>
  <si>
    <t>Натрия тиосульфат р-р 30% 10 мл № 10 амп.</t>
  </si>
  <si>
    <t>Натрия хлорид  0,9% 10мл. №10 амп.</t>
  </si>
  <si>
    <t>Натрия хлорид  0,9% 250мл р-р</t>
  </si>
  <si>
    <t>Натрия хлорид р-р 0,9% 200мл фл.</t>
  </si>
  <si>
    <t>Sol. Natrii chloridi 0,9 % 200 ml in flac.</t>
  </si>
  <si>
    <t>Натрия хлорид  0,9% 400 мл р-р</t>
  </si>
  <si>
    <t>Натрия хлорид   0,9% 500 мл р-р</t>
  </si>
  <si>
    <t>Неулептил 10 мг  № 50 капсулы</t>
  </si>
  <si>
    <t>Neuleptili 10 mg № 50 in caps.</t>
  </si>
  <si>
    <t>Неулептил р-р для приема внутрь 4% 30 мл фл.</t>
  </si>
  <si>
    <t>Sol. Neuleptili 4 % 30 ml in flac.</t>
  </si>
  <si>
    <t>Никотиновая к-та р-р 10 мг/мл 1 мл № 10 амп.</t>
  </si>
  <si>
    <t>Sol. Acidi nicotinici 10 mg/ml 1 ml № 10 in amp.</t>
  </si>
  <si>
    <t>Нимесулид 100мг № 20 табл</t>
  </si>
  <si>
    <t>Nimesulidi 100 mg № 20 in tabl.</t>
  </si>
  <si>
    <t>Нитроглицерин 0,5 мг № 40 табл.</t>
  </si>
  <si>
    <t>Нитроксолин 50 мг. №50 табл.</t>
  </si>
  <si>
    <t>Нитроспрей 0,4 мг  10 мл. 200 доз</t>
  </si>
  <si>
    <t>Нифедипин 10мг №50 табл.</t>
  </si>
  <si>
    <t>Новокаин р-р 5 мг/мл 10 мл №10 амп</t>
  </si>
  <si>
    <t>Sol. Novocaini 5 mg/ml 10 ml № 10 in amp.</t>
  </si>
  <si>
    <t>Новокаинамид р-р 5 мл № 10 амп.</t>
  </si>
  <si>
    <t xml:space="preserve">НовоРапид Пенфилл 100ЕД №5 </t>
  </si>
  <si>
    <t>Омепразол 20 мг. № 20 капс.</t>
  </si>
  <si>
    <t>Omeprazoli 20 mg № 30 in caps.</t>
  </si>
  <si>
    <t>Оланзапин 5 мг №28 табл</t>
  </si>
  <si>
    <t>Оланзапин 10 мг №28 табл</t>
  </si>
  <si>
    <t>Olanzapini 10 mg № 28 in tabl.</t>
  </si>
  <si>
    <t>Оланзапин  7,5 мг №28 табл.</t>
  </si>
  <si>
    <t>Olanzapini 7,5 mg № 28 in tabl.</t>
  </si>
  <si>
    <t>Олазоль аэрозоль 80 гр.</t>
  </si>
  <si>
    <t>Aerosoli Olasoli 80,0</t>
  </si>
  <si>
    <t>Панкреатин  25 ЕД № 60 табл</t>
  </si>
  <si>
    <t>Pancreatini 25 UA № 60 in tabl.</t>
  </si>
  <si>
    <t>Папаверин р-р 20 мг/мл 2мл №10 амп</t>
  </si>
  <si>
    <t>Парацетамол 500 мг. №10 табл</t>
  </si>
  <si>
    <t>Paracetamoli 500 mg № 10 in tabl.</t>
  </si>
  <si>
    <t>Пароксетин 20 мг №30 табл.</t>
  </si>
  <si>
    <t>Paroxetini 20 mg № 30 in tabl.</t>
  </si>
  <si>
    <t>Пентоксифилин 0,1 № 60</t>
  </si>
  <si>
    <t>Пентоксифилин р-р 20 мг/мл 5 мл № 10 амп.</t>
  </si>
  <si>
    <t>Sol. Pentoxifyllini 20 mg/ml 5 ml № 10 in amp.</t>
  </si>
  <si>
    <t>Перекись водорода р-р 3% 100 мл фл.</t>
  </si>
  <si>
    <t>Sol. Hydrogeni peroxidi 3 % 100 ml in flac.</t>
  </si>
  <si>
    <t>Пикамилон р-р 100 мг/мл 2 мл №10 амп</t>
  </si>
  <si>
    <t>Sol. Picamiloni 100 mg/ml 2 ml № 10 in amp.</t>
  </si>
  <si>
    <t>Пикамилон 50 мг №30 табл</t>
  </si>
  <si>
    <t>Picamiloni 50 mg № 30 in tabl.</t>
  </si>
  <si>
    <t>Пирацетам 0,4 № 60 табл.</t>
  </si>
  <si>
    <t>Пирацетам 0,8 № 30 табл.</t>
  </si>
  <si>
    <t>Пирацетам р-р 20% 5,0 № 10 амп.</t>
  </si>
  <si>
    <t>Sol. Piracetami 200 mg/ml 5 ml № 10 in amp.</t>
  </si>
  <si>
    <t>Пиридоксин г\х р-р 5% 1мл. №10 амп</t>
  </si>
  <si>
    <t>Sol. Pyridoxini 50 mg/ml 1 ml № 10 in amp.</t>
  </si>
  <si>
    <t>Платифиллин р-р 2 мг/мл 1мл №10 амп.</t>
  </si>
  <si>
    <t>Sol. Platyphyllini 2 mg/ml 1 ml № 10 in amp.</t>
  </si>
  <si>
    <t>Плизил Н 20 мг №30</t>
  </si>
  <si>
    <t>Преднизолон р-р 30 мг/мл 1 мл №3 амп</t>
  </si>
  <si>
    <t>Sol. Prednisoloni 30 mg/ml 1 ml № 3 in amp.</t>
  </si>
  <si>
    <t>Проноран 50 мг. № 30 табл.</t>
  </si>
  <si>
    <t>ПК-Мерц р-р 500 мл. №2</t>
  </si>
  <si>
    <t>Римантадин 50 мг №20 табл</t>
  </si>
  <si>
    <t>Rimantadini 50 mg № 20 in tabl.</t>
  </si>
  <si>
    <t>Ранитидин  300 мг №20 табл</t>
  </si>
  <si>
    <t>Ранитидин 150 мг №30 табл.</t>
  </si>
  <si>
    <t>Реамберин р-р 1,5% - 500 мл фл.</t>
  </si>
  <si>
    <t>Рексетин 30 мг. № 30 табл</t>
  </si>
  <si>
    <t>Rexetini 30 mg № 30 in tabl.</t>
  </si>
  <si>
    <t>Рибоксин р-р 20 мг/мл 10 мл №10 амп</t>
  </si>
  <si>
    <t>Sol. Riboxini 20 mg/ml 10 ml № 10 in amp.</t>
  </si>
  <si>
    <t>Риспаксол 2 мг № 20 табл.</t>
  </si>
  <si>
    <t>Rispaksoli 2 mg № 20 in tabl.</t>
  </si>
  <si>
    <t>Риспаксол 4 мг № 20 табл.</t>
  </si>
  <si>
    <t>Rispaksoli 4 mg № 20 in tabl.</t>
  </si>
  <si>
    <t>Рисполепт р-р 1 мг/мл 30 мл. фл.</t>
  </si>
  <si>
    <t>Sol. Rispolepti 1 mg/ml 30 ml in flac.</t>
  </si>
  <si>
    <t>Рисперидон 2 мг № 20 табл.</t>
  </si>
  <si>
    <t>Risperidoni 2 mg № 20 in tabl.</t>
  </si>
  <si>
    <t>Рисперидон 4 мг № 20 табл.</t>
  </si>
  <si>
    <t>Рокона 50 мг. № 15 табл</t>
  </si>
  <si>
    <t>Rokona 50 mg № 15 in tabl.</t>
  </si>
  <si>
    <t>Рокона  100 мг. № 15 табл</t>
  </si>
  <si>
    <t>Rokona 100 mg № 15 in tabl.</t>
  </si>
  <si>
    <t>Сальбутамол  100 мкг/доза 200 доз</t>
  </si>
  <si>
    <t>Самеликс лиофилизат 400 мг.№ 5 фл.</t>
  </si>
  <si>
    <t>Сенаде 13,5 мг № 500 табл.</t>
  </si>
  <si>
    <t>Серлифт 100мг №28 табл</t>
  </si>
  <si>
    <t>Сонапакс 10 мг №60 табл.</t>
  </si>
  <si>
    <t>Sonapaxi 10 mg № 60 in tabl.</t>
  </si>
  <si>
    <t>Сорбифер Дурулес № 50 табл</t>
  </si>
  <si>
    <t>Sorbifer durules № 50 in tabl.</t>
  </si>
  <si>
    <t>Спиронолактон  25 мг. №20 табл</t>
  </si>
  <si>
    <t>Сульпирид 200 мг №30 табл.</t>
  </si>
  <si>
    <t>Sulpiridi 200 mg № 30 in tabl.</t>
  </si>
  <si>
    <t>Сульпирид Белупо 50 мг №30 капс.</t>
  </si>
  <si>
    <t>Sulpiridi 50 mg № 30 in caps.</t>
  </si>
  <si>
    <t>Сульпирид р-р 50мг/мл 2мл №10 амп.</t>
  </si>
  <si>
    <t>Сульфацил-натрия 20% 10 мл глаз.капли</t>
  </si>
  <si>
    <t>Gutt. Sulfacyli 20 % 10 ml in flac.</t>
  </si>
  <si>
    <t>Сульфокамфокаин р-р 100 мг/мл 2мл №10 амп</t>
  </si>
  <si>
    <t>Sol. Sulfocamphocaini 100 mg/ml 2 ml № 10 in amp.</t>
  </si>
  <si>
    <t>Тералиджен 5 мг. № 100 табл. (маркировка)</t>
  </si>
  <si>
    <t>Teraligeni 5 mg № 100 in tabl.</t>
  </si>
  <si>
    <t>Тералиджен р-р 5 мл. №10 амп.</t>
  </si>
  <si>
    <t>Тетрациклин мазь 3% 15 гр.</t>
  </si>
  <si>
    <t>Ung. Tetracyclini 3 % 15,0</t>
  </si>
  <si>
    <t>Тиамина хлорид р-р 5% 1мл. №10 амп</t>
  </si>
  <si>
    <t>Sol. Thiamini chloridi 50 mg/ml 1 ml № 10 in amp.</t>
  </si>
  <si>
    <t>Тиамин р-р 5% 1мл. №10 амп</t>
  </si>
  <si>
    <t>Sol. Thiamini 50 mg/ml 1 ml № 10 in amp.</t>
  </si>
  <si>
    <t>Тиаприд 100 мг №20 табл</t>
  </si>
  <si>
    <t>Tiapridi 100 mg № 20 in tabl.</t>
  </si>
  <si>
    <t>Тиаприд р-р 2 мл. №10 амп.</t>
  </si>
  <si>
    <t>Тиодазин 50мг. №100</t>
  </si>
  <si>
    <t>Тиоридазин 10 мг №60 табл.</t>
  </si>
  <si>
    <t>Thioridazini 10 mg № 60 in tabl.</t>
  </si>
  <si>
    <t>Тиорил 25 мг №100 табл.</t>
  </si>
  <si>
    <t>Thiorili 25 mg № 100 in tabl.</t>
  </si>
  <si>
    <t>Торендо 2 мг №30</t>
  </si>
  <si>
    <t>Транквезипам 1 мг №50 табл.</t>
  </si>
  <si>
    <t>Trankvezipami 1 mg № 50 in tabl.</t>
  </si>
  <si>
    <t>Транквезипам р-р 1 мг/мл 1 мл № 10 амп.</t>
  </si>
  <si>
    <t>Sol. Trankvezipami 1 mg/ml 1 ml № 10 in amp.</t>
  </si>
  <si>
    <t>Трилептал 150 мг. № 50 табл. (маркировка)</t>
  </si>
  <si>
    <t>Trileptali 150 mg № 50 in tabl.</t>
  </si>
  <si>
    <t>Трилептал 600 мг. № 50 табл.</t>
  </si>
  <si>
    <t>Триттико 150 мг. №20 табл.</t>
  </si>
  <si>
    <t>Трифтазин р-р 0,2 % 1 мл № 10 амп.</t>
  </si>
  <si>
    <t>Sol. Triphtazini 2 mg/ml 1 ml № 10 in amp.</t>
  </si>
  <si>
    <t>Трифтазин 5 мг. №50 табл.</t>
  </si>
  <si>
    <t>Triphtazini 5 mg № 50 in tabl.</t>
  </si>
  <si>
    <t>Труксал 50мг №50 табл.</t>
  </si>
  <si>
    <t>Феназепам р-р 0,1% 1 мл №10 амп.</t>
  </si>
  <si>
    <t>Феназепам 1 мг № 50 табл.</t>
  </si>
  <si>
    <t>Фенорелаксан р-р 1 мг/мл 1 мл №10 амп</t>
  </si>
  <si>
    <t>Фенорелаксан 1 мг №50 табл.</t>
  </si>
  <si>
    <t>Фенибут 250 мг. №20 табл.</t>
  </si>
  <si>
    <t>Phenybuti 250 mg № 20 in tabl.</t>
  </si>
  <si>
    <t>Фенибут 250 мг. №20 табл. (др. партия ГК № 43; Усолье)</t>
  </si>
  <si>
    <t>Фензитат 1мг №50 табл.</t>
  </si>
  <si>
    <t>Феррум Лек 100 мг №30 табл.жеват.</t>
  </si>
  <si>
    <t>Феррум Лек 100 мг №50 табл.жеват.</t>
  </si>
  <si>
    <t>Финлепсин 400 мг № 50 табл</t>
  </si>
  <si>
    <t>Флуоксетин 20мг№ 30 капс.</t>
  </si>
  <si>
    <t>Fluoxetini 20 mg № 30 in caps.</t>
  </si>
  <si>
    <t>Флуоксетин 10мг№ 20 табл.</t>
  </si>
  <si>
    <t>Флемоклав Солютаб 500 мг + 125 мг №20 табл.</t>
  </si>
  <si>
    <t>Flemoclavi 500 + 125 mg № 20 in tabl.</t>
  </si>
  <si>
    <t>Флюанксол 1 мг №50 табл.</t>
  </si>
  <si>
    <t>Fluanxoli 1 mg № 50 in tabl.</t>
  </si>
  <si>
    <t>Флюанксол  5 мг.  №100 табл.</t>
  </si>
  <si>
    <t>Fluanxoli 5 mg № 100 in tabl.</t>
  </si>
  <si>
    <t>Флюанксол р-р масляный 20 мг/мл 1мл. №10 амп.</t>
  </si>
  <si>
    <t>Sol. Fluanxoli oleosi 20 mg/ml 1 ml № 10 in amp.</t>
  </si>
  <si>
    <t>Форметин 0,85 №60 табл.</t>
  </si>
  <si>
    <t>Фосфонциале № 30 капсулы</t>
  </si>
  <si>
    <t>Phosphonciali № 30 in caps.</t>
  </si>
  <si>
    <t>Фукорцин р-р 25 мл фл.</t>
  </si>
  <si>
    <t>Sol. Fucorcini 25 ml in flac.</t>
  </si>
  <si>
    <t>Фурацилин 20 мг №10 табл</t>
  </si>
  <si>
    <t>Furacilini 20 mg № 10 in tabl.</t>
  </si>
  <si>
    <t>Фуросемид 40 мг. №50 табл.</t>
  </si>
  <si>
    <t>Фуросемид р-р 1% 2 мл № 10 амп.</t>
  </si>
  <si>
    <t>Хлоргексидина биглюк р-р 0,05 % 100мл</t>
  </si>
  <si>
    <t>Хлоргексидина биглюк р-р 0,5 % 100мл</t>
  </si>
  <si>
    <t>Холина альфосцерат р-р 4 мл №5 амп</t>
  </si>
  <si>
    <t>Холитилин р-р 250мг/мл 4мл №3 амп</t>
  </si>
  <si>
    <t>Хлоропирамин  25 мг №20 табл.</t>
  </si>
  <si>
    <t>Хлоропирамин р-р 2% 1мл. №5 амп.</t>
  </si>
  <si>
    <t>Sol. Chloropyramini 20 mg/ml 1 ml № 5 in amp.</t>
  </si>
  <si>
    <t>Хлорпротиксен 15 мг. № 30 табл.</t>
  </si>
  <si>
    <t>Хлорпротиксен 15 мг. № 50 табл.</t>
  </si>
  <si>
    <t>Chlorprothixeni 15 mg № 50 in tabl.</t>
  </si>
  <si>
    <t>Хлорпротиксен 50 мг. №50 табл.</t>
  </si>
  <si>
    <t>Chlorprothixeni 50 mg № 50 in tabl.</t>
  </si>
  <si>
    <t>Хлорпротиксен 50 мг. №30 табл.</t>
  </si>
  <si>
    <t>Chlorprothixeni 50 mg № 30 in tabl.</t>
  </si>
  <si>
    <t>Цефазолин-Акос 1 гр.№1</t>
  </si>
  <si>
    <t>Церекард р-р 50мг/мл 2 мл №10 амп</t>
  </si>
  <si>
    <t>Sol. Cerecardi 50 mg/ml 2 ml № 10 in amp.</t>
  </si>
  <si>
    <t>Церекард р-р 50мг/мл 5 мл № 5 амп</t>
  </si>
  <si>
    <t>Sol. Cerecardi 50 mg/ml 5 ml № 10 in amp.</t>
  </si>
  <si>
    <t>Церебролизин р-р 5 мл №5 амп.</t>
  </si>
  <si>
    <t>Sol. Cerebrolysini 5 ml № 5 in amp.</t>
  </si>
  <si>
    <t>Церебролизин р-р 10 мл № 5 амп.</t>
  </si>
  <si>
    <t>Sol. Cerebrolysini 10 ml № 5 in amp.</t>
  </si>
  <si>
    <t>Церетон р-р 250 мг/мл 4 мл №3 амп.</t>
  </si>
  <si>
    <t>Церетон 400 мг № 56 капс.</t>
  </si>
  <si>
    <t>Ceretoni 400 mg № 56 in caps.</t>
  </si>
  <si>
    <t>Церепро р-р 250 мг/мл 4 мл. №5 амп</t>
  </si>
  <si>
    <t>Цефтриаксон порошок для приг. р-ра 1 г флак. (маркировка)</t>
  </si>
  <si>
    <t>Pulv. Ceftriaxoni 1000 mg № 1 in flac.</t>
  </si>
  <si>
    <t>Цефуроксим пор. в/в в/м 750мг фл (маркировка)</t>
  </si>
  <si>
    <t>Pulv. Cefuroximi 750 mg № 1 in flac.</t>
  </si>
  <si>
    <t>Цианокобаламин р-р 0,5 мг/мл 1 мл № 10 амп</t>
  </si>
  <si>
    <t>Ципрофлоксациин СОЛО капли 0,3% 5 мл. фл.</t>
  </si>
  <si>
    <t>Gutt. Ciprofloxacini 0,3 % 5 ml in flac.</t>
  </si>
  <si>
    <t>Ципрофлоксацин р-р д/инф 2мг/мл 100мл</t>
  </si>
  <si>
    <t>Sol. Ciprofloxacini 2 mg/ml 100 ml in flac.</t>
  </si>
  <si>
    <t>Ципрофлоксацин 500 мг №10 табл.</t>
  </si>
  <si>
    <t>Ципрофлоксацин 250 мг №10 табл.</t>
  </si>
  <si>
    <t>Цитиколин р-р 125 мг/мл 4 мл № 5 амп.</t>
  </si>
  <si>
    <t>Цитофлавин  р-р 10 мл №10 амп.</t>
  </si>
  <si>
    <t>Sol. Cytoflavini 10 ml № 10 in amp.</t>
  </si>
  <si>
    <t>Циклоферон 150 мг. №50 табл</t>
  </si>
  <si>
    <t>Эглонил р-р 50 мг/мл 2 мл № 6 амп.</t>
  </si>
  <si>
    <t>Sol. Eglonili 50 mg/ml 2 ml № 6 in amp.</t>
  </si>
  <si>
    <t>Элзепам р-р 1 мг/мл 1 мл. № 10 амп. (маркировка)</t>
  </si>
  <si>
    <t>Sol. Elzepami 1 mg/ml 1 ml № 10 in amp.</t>
  </si>
  <si>
    <t>Экоклав 500+125 мг №15 табл.</t>
  </si>
  <si>
    <t>Экселон 1,5 мг №28 капс.</t>
  </si>
  <si>
    <t>Эналаприл 5мг №20 табл.</t>
  </si>
  <si>
    <t>Enalaprili 5 mg № 20 in tabl.</t>
  </si>
  <si>
    <t>Эналаприл 10мг №20 табл.</t>
  </si>
  <si>
    <t>Enalaprili 10 mg № 20 in tabl.</t>
  </si>
  <si>
    <t>Эналаприл 20мг №20 табл.</t>
  </si>
  <si>
    <t>Энкорат 300 мг №100 табл.</t>
  </si>
  <si>
    <t>Encorati 300 mg № 100 in tabl.</t>
  </si>
  <si>
    <t>Энкорат хроно 300 мг №30 табл.</t>
  </si>
  <si>
    <t>Энкорат хроно 500 мг №30 табл.</t>
  </si>
  <si>
    <t>Encorati chrono 500 mg № 30 in tabl.</t>
  </si>
  <si>
    <t>Эсциталопрам Канон 5 мг. № 28 табл.</t>
  </si>
  <si>
    <t>Эсциталопрам 10 мг. № 14 табл.</t>
  </si>
  <si>
    <t>Escitaloprami 10 mg № 14 in tabl.</t>
  </si>
  <si>
    <t>Эуфиллин 150 мг №30 табл.</t>
  </si>
  <si>
    <t>Euphyllini 150 mg № 30 in tabl.</t>
  </si>
  <si>
    <t>Эуфиллин р-р 24мг/мл 10 мл №10 амп.</t>
  </si>
  <si>
    <t>Sol. Euphyllini 24 mg/ml 10 ml № 10 in amp.</t>
  </si>
  <si>
    <t>ПЕРЕВЯЗОЧНЫЕ МАТЕРИАЛЫ</t>
  </si>
  <si>
    <t>Бинт марлевый нестерильный 7*14</t>
  </si>
  <si>
    <t>Бинт марлевый стерильный 5*10</t>
  </si>
  <si>
    <t>Бинт сетчато-трубчатый ИНТЕКС 15*2,5 см.</t>
  </si>
  <si>
    <t>Бинт сетчато-трубчатый ИНТЕКС 0,15*3,0 см.</t>
  </si>
  <si>
    <t xml:space="preserve">Бинт сетчато-трубчатый ИНТЕКС 0,15*3,5 см. </t>
  </si>
  <si>
    <t xml:space="preserve">Бинт сетчато-трубчатый ИНТЕКС 20*4,0 см. </t>
  </si>
  <si>
    <t>Бинт  липкий 10*200 см</t>
  </si>
  <si>
    <t>Вата нестерильная 250 г.</t>
  </si>
  <si>
    <t>Лейкопластырь бактерицидный 2,5*7,2 см.</t>
  </si>
  <si>
    <t>Лейкопластырь 2 см*500 см рулон</t>
  </si>
  <si>
    <t>Лейкопластырь 3 см*500 см рулон</t>
  </si>
  <si>
    <t>Лейкопластырь гипоаллергенный 3 см*500 см рулон</t>
  </si>
  <si>
    <t>Лейкопластырь хирургический, универсальный, стерильный Круопэд 7,6*5,1 см.</t>
  </si>
  <si>
    <t>Салфетка  антисептическая  спиртовая  110-110 мм  №200 упаковка</t>
  </si>
  <si>
    <t>Салфетки марлевая стерильная тканная 10*10 см №10 упаковка</t>
  </si>
  <si>
    <t xml:space="preserve">Салфетки стерильные  16 *14 см №10 </t>
  </si>
  <si>
    <t>Салфетка одноразовая стерильная 20х40 упак.10 шт</t>
  </si>
  <si>
    <t>Золофт 100 мг №28 табл</t>
  </si>
  <si>
    <t>Карбамазепин 200 мг №50 табл.</t>
  </si>
  <si>
    <t>Тетрациклин мазь 3% 15 г.</t>
  </si>
  <si>
    <t>Наличие МДЛП</t>
  </si>
  <si>
    <t>МДЛП</t>
  </si>
  <si>
    <t>нет/МДЛП</t>
  </si>
  <si>
    <t>Метостабил 125 мг № 30 табл.</t>
  </si>
  <si>
    <t>Metostabili 125 mg № 30 in tabl.</t>
  </si>
  <si>
    <t>Омепразол 20 мг. № 30 капс.</t>
  </si>
  <si>
    <t>Реамберин р-р 1,5% - 500 мл № 20 фл.</t>
  </si>
  <si>
    <t>Sol. Reamberini 1,5 % - 500 ml № 20 in flac.</t>
  </si>
  <si>
    <t>Sol. Cerecardi 50 mg/ml 5 ml № 5 in amp.</t>
  </si>
  <si>
    <t>Натрия хлорид  0,9% 5 мл. №10 амп.</t>
  </si>
  <si>
    <t>Sol. Natrii chloridi 0,9 % 5 ml № 10 in amp.</t>
  </si>
  <si>
    <t>Натрия хлорид р-р 0,9% 200мл № 40 фл.</t>
  </si>
  <si>
    <t>Sol. Natrii chloridi 0,9 % 200 ml № 40 in flac.</t>
  </si>
  <si>
    <t>Натрия хлорид р-р 0,9% 200мл № 20 фл.</t>
  </si>
  <si>
    <t>Sol. Natrii chloridi 0,9 % 200 ml № 20 in flac.</t>
  </si>
  <si>
    <t>Салфетки антисептические спиртовые стерильные 110*85 мм</t>
  </si>
  <si>
    <t>Салфетки марлевые стерильные 16 *14 см №10</t>
  </si>
  <si>
    <t xml:space="preserve">Повязка атравматическая нетканая с аминокапроновой кислотой гемостатическая стерильная 10*6 см № 1 </t>
  </si>
  <si>
    <t>Sol. Glucosi 400 mg/ml 10 ml № 10 in amp.</t>
  </si>
  <si>
    <t>Глюкоза р-р 5% 200,0 мл № 20 фл.</t>
  </si>
  <si>
    <t>Sol. Glucosi 0,9 % 200 ml № 20 in flac.</t>
  </si>
  <si>
    <t>Zylaksera 10 mg № 28 in tabl.</t>
  </si>
  <si>
    <t>Ингавирин 60 мг № 10 капс.</t>
  </si>
  <si>
    <t>Стерофундин р-р 250 мл № 10 фл.</t>
  </si>
  <si>
    <t>Sol. Sterofundini isotonici 250 ml № 10 in flac.</t>
  </si>
  <si>
    <t>Фриостерин р-р 250 мл № 20 фл.</t>
  </si>
  <si>
    <t>Sol. Friosterini 250 ml № 20 in flac.</t>
  </si>
  <si>
    <t>Хлорпромазин 100 мг. № 10 табл.</t>
  </si>
  <si>
    <t>Chlorpromazini 100 mg № 10 in tabl.</t>
  </si>
  <si>
    <t>Хлорпромазин 50 мг. № 10 табл.</t>
  </si>
  <si>
    <t>Chlorpromazini 50 mg № 10 in tabl.</t>
  </si>
  <si>
    <t>Хлорпромазин 25 мг. № 10 табл.</t>
  </si>
  <si>
    <t>Chlorpromazini 25 mg № 10 in tabl.</t>
  </si>
  <si>
    <t>Ципрофлоксациин АКОС капли 0,3% 5 мл. фл.</t>
  </si>
  <si>
    <t>Ciprofloxacini 500 mg № 50 in tabl.</t>
  </si>
  <si>
    <t>Sol. Glucosi 5 % 200 ml № 20 in flac.</t>
  </si>
  <si>
    <t>Risperidoni 4 mg № 20 in tabl.</t>
  </si>
  <si>
    <t>Sol. Sulpiridi 50 mg/ml 2 ml № 10 in amp.</t>
  </si>
  <si>
    <t>Sol. Citicolini 125 mg/ml 4 ml № 5 n amp.</t>
  </si>
  <si>
    <t>Ecoclavi 500+125 mg. № 15 in tabl.</t>
  </si>
  <si>
    <t>Аквазан р-р 10% 50 мл д/наруж/мест прим.</t>
  </si>
  <si>
    <t>Sol. Aquazani 10% - 50 ml in flac.</t>
  </si>
  <si>
    <t>Астмасол Нео аэр. д/инг. Дозир. 20 мкг/доза + 50 мкг/доза 200 доз № 1</t>
  </si>
  <si>
    <t>Aer. Astmasoli neo 20 mkg/d + 50 mkg/d 200 d. №1 in flac.</t>
  </si>
  <si>
    <t>Ацетилсалициловая к-та КАРДИО 50 мг № 30 табл.</t>
  </si>
  <si>
    <t>Acidi acetylsalicylici 50 mg № 30 in tabl.</t>
  </si>
  <si>
    <t>Бисакодил 10 мг № 10 супп.</t>
  </si>
  <si>
    <t xml:space="preserve">Bisacodyli 10 mg № 10 in supp. </t>
  </si>
  <si>
    <t>Indapamidi 2,5 mg № 30 in tabl.</t>
  </si>
  <si>
    <t>Каптоприл 25 мг № 20 табл</t>
  </si>
  <si>
    <t>Captoprili 25 mg № 20 in tabl.</t>
  </si>
  <si>
    <t>Мельдоний 250 мг. № 40 капс.</t>
  </si>
  <si>
    <t>Meldonii 250 mg № 40 in caps.</t>
  </si>
  <si>
    <t>Метформин таб. 500 мг. №60 табл.</t>
  </si>
  <si>
    <t>Metformini 500 mg № 60 in tabl.</t>
  </si>
  <si>
    <t>Нитроспрей 200 доз 0,4 мг/доза 10 мл.</t>
  </si>
  <si>
    <t>Aer. Nitroglycerini 0,4 mg/d 200 d. – 10 ml. № 1 in flac.</t>
  </si>
  <si>
    <t>Новатрон Нео аэр. д/инг дозир. 100 мкг/доза 200 доз № 1</t>
  </si>
  <si>
    <t>Aer. Novatroni neo 100 mkg/d 200 d. №1 in flac.</t>
  </si>
  <si>
    <t>Пирацетам р-р 20% 5 мл № 10 амп.</t>
  </si>
  <si>
    <t>Седалит 300 мг. № 50 табл.</t>
  </si>
  <si>
    <t>Sedaliti 300 mg № 50 in tabl.</t>
  </si>
  <si>
    <t>Хлорпромазин р-р 25 мг/мл № 10 амп.</t>
  </si>
  <si>
    <t>Sol. Chlorpromazini 25 mg/ml 2 ml № 10 in amp</t>
  </si>
  <si>
    <t>Цетиризин 10 мг № 20 табл.</t>
  </si>
  <si>
    <t>Cetirizini 10 mg № 20 in tabl.</t>
  </si>
  <si>
    <t>Ciprofloxacini 500 mg № 10 in tabl.</t>
  </si>
  <si>
    <t>Вата нестерильная 100 г.</t>
  </si>
  <si>
    <t>Амоксиклав 875мг+125мг №14 табл.</t>
  </si>
  <si>
    <t>Бензилбензоат 20% мазь 25,0</t>
  </si>
  <si>
    <t>Бетаметазон мазь 0,05%  30,0</t>
  </si>
  <si>
    <t>Ung. Betamethasoni 0,05 % - 30,0</t>
  </si>
  <si>
    <t>Бисопролол 5 мг №30 табл.</t>
  </si>
  <si>
    <t>Bisoprololi 5 mg № 30 in tabl.</t>
  </si>
  <si>
    <t>Верапамил 40 мг. № 30 табл.</t>
  </si>
  <si>
    <t>Verapamili 40 mg № 30 in tabl.</t>
  </si>
  <si>
    <t>Гидроксизин 25мг №25 табл.</t>
  </si>
  <si>
    <t>Ибупрофен 200 мг № 20 табл</t>
  </si>
  <si>
    <t>Ibuprofeni 200 mg № 20 in tabl.</t>
  </si>
  <si>
    <t>Pulv. Cortexini 10 mg № 10 in flac.</t>
  </si>
  <si>
    <t>Меманталь 10 мг. № 90 табл.</t>
  </si>
  <si>
    <t>Метронидазол р-р 0,5% 100 мл № 28</t>
  </si>
  <si>
    <t>Sol. Metronidazoli 5 mg/ml 100 ml № 28 in flac.</t>
  </si>
  <si>
    <t>Преднизолон р-р 30 мг/мл 1 мл № 10 амп</t>
  </si>
  <si>
    <t>Sol. Prednisoloni 30 mg/ml 1 ml № 10 in amp.</t>
  </si>
  <si>
    <t>Сенадексин 70 мг № 20 табл.</t>
  </si>
  <si>
    <t>Senadexini 70 mg № 20 in tabl.</t>
  </si>
  <si>
    <t>Тералиджен 5 мг. № 100 табл.</t>
  </si>
  <si>
    <t>Трилептал 150 мг. № 50 табл.</t>
  </si>
  <si>
    <t>Ferrum Lek 100 mg № 50 in tabl.</t>
  </si>
  <si>
    <t>Хлоргексидин биглюконат р-р 0,05 % 100мл</t>
  </si>
  <si>
    <t>Sol. Chlorhexidini 0,05 % - 100 ml. № 1 in flac.</t>
  </si>
  <si>
    <t>Цефтриаксон порошок для приг. р-ра 1 г флак.</t>
  </si>
  <si>
    <t>Цефуроксим пор. в/в в/м 750мг фл</t>
  </si>
  <si>
    <t>Элзепам р-р 1 мг/мл 1 мл. № 10 амп.</t>
  </si>
  <si>
    <t>Дроперидол р-р 2,5 мг/мл 2 мл № 10 амп.</t>
  </si>
  <si>
    <t>Sol. Droperidoli 2,5 mg/ml 2 ml № 10 in amp.</t>
  </si>
  <si>
    <t>Мемантин 10 мг № 30 табл.</t>
  </si>
  <si>
    <t>Memantini 10 mg № 30 in tabl.</t>
  </si>
  <si>
    <t>Метронидазол р-р 0,5% 100 мл</t>
  </si>
  <si>
    <t>Sol. Metronidazoli 5 mg/ml 100 ml № 1 in flac.</t>
  </si>
  <si>
    <t>Метронидазол-АКОС р-р 0,5% 100 мл № 28</t>
  </si>
  <si>
    <t>Pronorani 50 mg № 30 in tabl.</t>
  </si>
  <si>
    <t>Рисперидон р-р 1 мг/мл 30 мл. фл.</t>
  </si>
  <si>
    <t>Sol. Risperidoni 1 mg/ml 30 ml in flac.</t>
  </si>
  <si>
    <t>Encorati chrono 300 mg № 30 in tabl.</t>
  </si>
  <si>
    <t>Адеметионин лифилизат для приготовления р-ра 400мг 5 мл фл №5+р-ль</t>
  </si>
  <si>
    <t>Pulv. Ademetionini 400 mg №5 in flac.</t>
  </si>
  <si>
    <t>Азафен 25 мг № 50 табл.</t>
  </si>
  <si>
    <t>Azapheni 25 mg № 50 in tabl.</t>
  </si>
  <si>
    <t>Дротаверин 40 мг № 100 табл.</t>
  </si>
  <si>
    <t>Drotaverini 40 mg № 100 in tabl.</t>
  </si>
  <si>
    <t>Пароксетин 30 мг №30 табл.</t>
  </si>
  <si>
    <t>Paroxetini 30 mg № 30 in tabl.</t>
  </si>
  <si>
    <t>Стелфрин р-р 10 мг/мл 1 мл № 10 амп.</t>
  </si>
  <si>
    <t>Sol. Stelfrini 10 mg/ml 1 ml № 10 in amp.</t>
  </si>
  <si>
    <t>Карбамазепин 200 мг №40 табл.</t>
  </si>
  <si>
    <t>Carbamazepini 200 mg № 40 in tabl.</t>
  </si>
  <si>
    <t>Ингавирин 90 мг № 10 капс.</t>
  </si>
  <si>
    <t>Ingavirini 90 mg № 10 in caps.</t>
  </si>
  <si>
    <t>Метронидазол-АКОС р-р 0,5% 100 мл</t>
  </si>
</sst>
</file>

<file path=xl/styles.xml><?xml version="1.0" encoding="utf-8"?>
<styleSheet xmlns="http://schemas.openxmlformats.org/spreadsheetml/2006/main">
  <numFmts count="2">
    <numFmt numFmtId="164" formatCode="[$-419]dd/mm/yyyy"/>
    <numFmt numFmtId="165" formatCode="dd/mm/yy"/>
  </numFmts>
  <fonts count="20">
    <font>
      <sz val="11"/>
      <color rgb="FF000000"/>
      <name val="Calibri"/>
      <family val="2"/>
      <charset val="204"/>
    </font>
    <font>
      <sz val="10"/>
      <color rgb="FFFFFFFF"/>
      <name val="Calibri"/>
      <family val="2"/>
      <charset val="204"/>
    </font>
    <font>
      <b/>
      <sz val="10"/>
      <color rgb="FF000000"/>
      <name val="Calibri"/>
      <family val="2"/>
      <charset val="204"/>
    </font>
    <font>
      <sz val="10"/>
      <color rgb="FFCC0000"/>
      <name val="Calibri"/>
      <family val="2"/>
      <charset val="204"/>
    </font>
    <font>
      <b/>
      <sz val="10"/>
      <color rgb="FFFFFFFF"/>
      <name val="Calibri"/>
      <family val="2"/>
      <charset val="204"/>
    </font>
    <font>
      <i/>
      <sz val="10"/>
      <color rgb="FF808080"/>
      <name val="Calibri"/>
      <family val="2"/>
      <charset val="204"/>
    </font>
    <font>
      <sz val="10"/>
      <color rgb="FF006600"/>
      <name val="Calibri"/>
      <family val="2"/>
      <charset val="204"/>
    </font>
    <font>
      <sz val="1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/>
      <sz val="10"/>
      <color rgb="FF0000EE"/>
      <name val="Calibri"/>
      <family val="2"/>
      <charset val="204"/>
    </font>
    <font>
      <sz val="10"/>
      <color rgb="FF996600"/>
      <name val="Calibri"/>
      <family val="2"/>
      <charset val="204"/>
    </font>
    <font>
      <sz val="10"/>
      <color rgb="FF333333"/>
      <name val="Calibri"/>
      <family val="2"/>
      <charset val="204"/>
    </font>
    <font>
      <sz val="8"/>
      <name val="Arial"/>
      <family val="2"/>
      <charset val="204"/>
    </font>
    <font>
      <b/>
      <sz val="16"/>
      <color rgb="FF000000"/>
      <name val="Calibri"/>
      <family val="2"/>
      <charset val="204"/>
    </font>
    <font>
      <b/>
      <sz val="11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rgb="FF000000"/>
      <name val="Times New Roman"/>
      <family val="1"/>
      <charset val="1"/>
    </font>
    <font>
      <sz val="11"/>
      <color rgb="FF000000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EE6EF"/>
      </patternFill>
    </fill>
    <fill>
      <patternFill patternType="solid">
        <fgColor rgb="FFFFCCCC"/>
        <bgColor rgb="FFFFD7D7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DEE6EF"/>
      </patternFill>
    </fill>
    <fill>
      <patternFill patternType="solid">
        <fgColor rgb="FFFFFFCC"/>
        <bgColor rgb="FFFFFFD7"/>
      </patternFill>
    </fill>
    <fill>
      <patternFill patternType="solid">
        <fgColor rgb="FFFFFFD7"/>
        <bgColor rgb="FFFFFFCC"/>
      </patternFill>
    </fill>
    <fill>
      <patternFill patternType="solid">
        <fgColor rgb="FFFFD7D7"/>
        <bgColor rgb="FFFFD8CE"/>
      </patternFill>
    </fill>
    <fill>
      <patternFill patternType="solid">
        <fgColor rgb="FFDEE6EF"/>
        <bgColor rgb="FFDDDDDD"/>
      </patternFill>
    </fill>
    <fill>
      <patternFill patternType="solid">
        <fgColor rgb="FFD4EA6B"/>
        <bgColor rgb="FFCCFFCC"/>
      </patternFill>
    </fill>
    <fill>
      <patternFill patternType="solid">
        <fgColor rgb="FFFFD8CE"/>
        <bgColor rgb="FFFFD7D7"/>
      </patternFill>
    </fill>
  </fills>
  <borders count="1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993300"/>
      </bottom>
      <diagonal/>
    </border>
    <border>
      <left/>
      <right/>
      <top style="thin">
        <color rgb="FF993300"/>
      </top>
      <bottom style="thin">
        <color rgb="FF9933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8">
    <xf numFmtId="0" fontId="0" fillId="0" borderId="0"/>
    <xf numFmtId="0" fontId="1" fillId="2" borderId="0" applyBorder="0" applyProtection="0"/>
    <xf numFmtId="0" fontId="2" fillId="0" borderId="0" applyBorder="0" applyProtection="0"/>
    <xf numFmtId="0" fontId="1" fillId="3" borderId="0" applyBorder="0" applyProtection="0"/>
    <xf numFmtId="0" fontId="2" fillId="4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8" borderId="0" applyBorder="0" applyProtection="0"/>
    <xf numFmtId="0" fontId="11" fillId="8" borderId="1" applyProtection="0"/>
    <xf numFmtId="0" fontId="19" fillId="0" borderId="0" applyBorder="0" applyProtection="0"/>
    <xf numFmtId="0" fontId="19" fillId="0" borderId="0" applyBorder="0" applyProtection="0"/>
    <xf numFmtId="0" fontId="3" fillId="0" borderId="0" applyBorder="0" applyProtection="0"/>
    <xf numFmtId="0" fontId="12" fillId="0" borderId="0"/>
  </cellStyleXfs>
  <cellXfs count="47">
    <xf numFmtId="0" fontId="0" fillId="0" borderId="0" xfId="0"/>
    <xf numFmtId="0" fontId="14" fillId="0" borderId="2" xfId="0" applyFont="1" applyBorder="1" applyAlignment="1">
      <alignment horizontal="center" vertical="center" wrapText="1"/>
    </xf>
    <xf numFmtId="0" fontId="14" fillId="13" borderId="3" xfId="0" applyFont="1" applyFill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4" fillId="12" borderId="3" xfId="0" applyFont="1" applyFill="1" applyBorder="1" applyAlignment="1">
      <alignment horizontal="center" vertical="center" wrapText="1"/>
    </xf>
    <xf numFmtId="0" fontId="14" fillId="11" borderId="3" xfId="0" applyFont="1" applyFill="1" applyBorder="1" applyAlignment="1">
      <alignment horizontal="center" vertical="center" wrapText="1"/>
    </xf>
    <xf numFmtId="0" fontId="14" fillId="10" borderId="3" xfId="0" applyFont="1" applyFill="1" applyBorder="1" applyAlignment="1">
      <alignment horizontal="center" vertical="center" wrapText="1"/>
    </xf>
    <xf numFmtId="0" fontId="14" fillId="9" borderId="3" xfId="0" applyFont="1" applyFill="1" applyBorder="1" applyAlignment="1">
      <alignment horizontal="center" vertical="center" wrapText="1"/>
    </xf>
    <xf numFmtId="164" fontId="14" fillId="0" borderId="3" xfId="0" applyNumberFormat="1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6" fillId="0" borderId="3" xfId="0" applyFont="1" applyBorder="1" applyAlignment="1">
      <alignment horizontal="center" vertical="center" wrapText="1"/>
    </xf>
    <xf numFmtId="0" fontId="17" fillId="0" borderId="5" xfId="17" applyFont="1" applyBorder="1" applyAlignment="1">
      <alignment horizontal="left" vertical="center" wrapText="1"/>
    </xf>
    <xf numFmtId="0" fontId="16" fillId="0" borderId="3" xfId="0" applyFont="1" applyBorder="1" applyAlignment="1">
      <alignment horizontal="center"/>
    </xf>
    <xf numFmtId="0" fontId="16" fillId="0" borderId="6" xfId="0" applyFont="1" applyBorder="1" applyAlignment="1">
      <alignment horizontal="center" vertical="center" wrapText="1"/>
    </xf>
    <xf numFmtId="0" fontId="16" fillId="9" borderId="3" xfId="0" applyFont="1" applyFill="1" applyBorder="1" applyAlignment="1">
      <alignment horizontal="center" vertical="center" wrapText="1"/>
    </xf>
    <xf numFmtId="0" fontId="16" fillId="10" borderId="3" xfId="0" applyFont="1" applyFill="1" applyBorder="1" applyAlignment="1">
      <alignment horizontal="center" vertical="center" wrapText="1"/>
    </xf>
    <xf numFmtId="0" fontId="16" fillId="11" borderId="3" xfId="0" applyFont="1" applyFill="1" applyBorder="1" applyAlignment="1">
      <alignment horizontal="center" vertical="center" wrapText="1"/>
    </xf>
    <xf numFmtId="0" fontId="16" fillId="12" borderId="3" xfId="0" applyFont="1" applyFill="1" applyBorder="1" applyAlignment="1">
      <alignment horizontal="center" vertical="center" wrapText="1"/>
    </xf>
    <xf numFmtId="165" fontId="16" fillId="0" borderId="2" xfId="0" applyNumberFormat="1" applyFont="1" applyBorder="1"/>
    <xf numFmtId="0" fontId="16" fillId="0" borderId="2" xfId="0" applyFont="1" applyBorder="1"/>
    <xf numFmtId="0" fontId="16" fillId="0" borderId="2" xfId="0" applyFont="1" applyBorder="1" applyAlignment="1">
      <alignment horizontal="center"/>
    </xf>
    <xf numFmtId="0" fontId="0" fillId="0" borderId="2" xfId="0" applyBorder="1"/>
    <xf numFmtId="0" fontId="16" fillId="0" borderId="6" xfId="0" applyFont="1" applyBorder="1" applyAlignment="1">
      <alignment horizontal="left" vertical="center"/>
    </xf>
    <xf numFmtId="0" fontId="18" fillId="0" borderId="2" xfId="0" applyFont="1" applyBorder="1"/>
    <xf numFmtId="0" fontId="16" fillId="0" borderId="2" xfId="0" applyFont="1" applyBorder="1" applyAlignment="1">
      <alignment wrapText="1"/>
    </xf>
    <xf numFmtId="0" fontId="17" fillId="0" borderId="7" xfId="17" applyFont="1" applyBorder="1" applyAlignment="1">
      <alignment horizontal="left" vertical="center" wrapText="1"/>
    </xf>
    <xf numFmtId="164" fontId="16" fillId="0" borderId="6" xfId="0" applyNumberFormat="1" applyFont="1" applyBorder="1" applyAlignment="1">
      <alignment horizontal="center" vertical="center" wrapText="1"/>
    </xf>
    <xf numFmtId="0" fontId="16" fillId="0" borderId="8" xfId="0" applyFont="1" applyBorder="1" applyAlignment="1">
      <alignment horizontal="left" vertical="center" wrapText="1"/>
    </xf>
    <xf numFmtId="0" fontId="14" fillId="0" borderId="0" xfId="0" applyFont="1" applyAlignment="1">
      <alignment wrapText="1"/>
    </xf>
    <xf numFmtId="0" fontId="14" fillId="0" borderId="0" xfId="0" applyFont="1"/>
    <xf numFmtId="0" fontId="0" fillId="0" borderId="3" xfId="0" applyBorder="1" applyAlignment="1">
      <alignment horizontal="center" wrapText="1"/>
    </xf>
    <xf numFmtId="0" fontId="0" fillId="0" borderId="3" xfId="0" applyFont="1" applyBorder="1" applyAlignment="1">
      <alignment horizontal="left" wrapText="1"/>
    </xf>
    <xf numFmtId="0" fontId="18" fillId="0" borderId="3" xfId="0" applyFont="1" applyBorder="1" applyAlignment="1">
      <alignment horizontal="center" wrapText="1"/>
    </xf>
    <xf numFmtId="0" fontId="18" fillId="9" borderId="3" xfId="0" applyFont="1" applyFill="1" applyBorder="1" applyAlignment="1">
      <alignment horizontal="center" wrapText="1"/>
    </xf>
    <xf numFmtId="0" fontId="18" fillId="13" borderId="3" xfId="0" applyFont="1" applyFill="1" applyBorder="1" applyAlignment="1">
      <alignment horizontal="center" wrapText="1"/>
    </xf>
    <xf numFmtId="0" fontId="18" fillId="11" borderId="3" xfId="0" applyFont="1" applyFill="1" applyBorder="1" applyAlignment="1">
      <alignment horizontal="center" wrapText="1"/>
    </xf>
    <xf numFmtId="0" fontId="18" fillId="12" borderId="3" xfId="0" applyFont="1" applyFill="1" applyBorder="1" applyAlignment="1">
      <alignment horizontal="center" wrapText="1"/>
    </xf>
    <xf numFmtId="165" fontId="16" fillId="0" borderId="2" xfId="0" applyNumberFormat="1" applyFont="1" applyBorder="1" applyAlignment="1">
      <alignment horizontal="center" wrapText="1"/>
    </xf>
    <xf numFmtId="0" fontId="16" fillId="0" borderId="2" xfId="0" applyFont="1" applyBorder="1" applyAlignment="1">
      <alignment horizontal="center" wrapText="1"/>
    </xf>
    <xf numFmtId="0" fontId="0" fillId="0" borderId="0" xfId="0" applyAlignment="1">
      <alignment wrapText="1"/>
    </xf>
    <xf numFmtId="165" fontId="16" fillId="0" borderId="2" xfId="0" applyNumberFormat="1" applyFont="1" applyBorder="1" applyAlignment="1">
      <alignment horizontal="center"/>
    </xf>
    <xf numFmtId="0" fontId="0" fillId="0" borderId="2" xfId="0" applyBorder="1" applyAlignment="1">
      <alignment wrapText="1"/>
    </xf>
    <xf numFmtId="0" fontId="18" fillId="0" borderId="2" xfId="0" applyFont="1" applyBorder="1" applyAlignment="1">
      <alignment wrapText="1"/>
    </xf>
  </cellXfs>
  <cellStyles count="18">
    <cellStyle name="Accent 1 14" xfId="1"/>
    <cellStyle name="Accent 13" xfId="2"/>
    <cellStyle name="Accent 2 15" xfId="3"/>
    <cellStyle name="Accent 3 16" xfId="4"/>
    <cellStyle name="Bad 10" xfId="5"/>
    <cellStyle name="Error 12" xfId="6"/>
    <cellStyle name="Footnote 5" xfId="7"/>
    <cellStyle name="Good 8" xfId="8"/>
    <cellStyle name="Heading 1 1" xfId="9"/>
    <cellStyle name="Heading 2 2" xfId="10"/>
    <cellStyle name="Hyperlink 6" xfId="11"/>
    <cellStyle name="Neutral 9" xfId="12"/>
    <cellStyle name="Note 4" xfId="13"/>
    <cellStyle name="Status 7" xfId="14"/>
    <cellStyle name="Text 3" xfId="15"/>
    <cellStyle name="Warning 11" xfId="16"/>
    <cellStyle name="Обычный" xfId="0" builtinId="0"/>
    <cellStyle name="Обычный_Лист1" xfId="17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158466"/>
      <rgbColor rgb="FFFFD8CE"/>
      <rgbColor rgb="FF808080"/>
      <rgbColor rgb="FF9999FF"/>
      <rgbColor rgb="FFD62E4E"/>
      <rgbColor rgb="FFFFFFCC"/>
      <rgbColor rgb="FFDEE6EF"/>
      <rgbColor rgb="FF660066"/>
      <rgbColor rgb="FFD99694"/>
      <rgbColor rgb="FF2A6099"/>
      <rgbColor rgb="FFDDDDDD"/>
      <rgbColor rgb="FF000080"/>
      <rgbColor rgb="FFFF00FF"/>
      <rgbColor rgb="FFD4EA6B"/>
      <rgbColor rgb="FF00FFFF"/>
      <rgbColor rgb="FF800080"/>
      <rgbColor rgb="FF800000"/>
      <rgbColor rgb="FF008080"/>
      <rgbColor rgb="FF0000FF"/>
      <rgbColor rgb="FF00CCFF"/>
      <rgbColor rgb="FFFFD7D7"/>
      <rgbColor rgb="FFCCFFCC"/>
      <rgbColor rgb="FFFFFFD7"/>
      <rgbColor rgb="FF99CCFF"/>
      <rgbColor rgb="FFFF99CC"/>
      <rgbColor rgb="FFCC99FF"/>
      <rgbColor rgb="FFFFCCCC"/>
      <rgbColor rgb="FF3366FF"/>
      <rgbColor rgb="FF33CCCC"/>
      <rgbColor rgb="FF81D41A"/>
      <rgbColor rgb="FFFFBF00"/>
      <rgbColor rgb="FFE8A202"/>
      <rgbColor rgb="FFFF5429"/>
      <rgbColor rgb="FF666699"/>
      <rgbColor rgb="FF969696"/>
      <rgbColor rgb="FF003366"/>
      <rgbColor rgb="FF00A933"/>
      <rgbColor rgb="FF003300"/>
      <rgbColor rgb="FF333300"/>
      <rgbColor rgb="FF993300"/>
      <rgbColor rgb="FFFF4000"/>
      <rgbColor rgb="FF55308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81D41A"/>
  </sheetPr>
  <dimension ref="A1:P362"/>
  <sheetViews>
    <sheetView zoomScaleNormal="100" workbookViewId="0">
      <pane ySplit="4" topLeftCell="A46" activePane="bottomLeft" state="frozen"/>
      <selection pane="bottomLeft" activeCell="B57" sqref="B57"/>
    </sheetView>
  </sheetViews>
  <sheetFormatPr defaultRowHeight="15"/>
  <cols>
    <col min="1" max="1" width="9.140625" customWidth="1"/>
    <col min="2" max="2" width="40.85546875" customWidth="1"/>
    <col min="3" max="14" width="13.28515625" customWidth="1"/>
    <col min="15" max="15" width="13.28515625" style="13" customWidth="1"/>
    <col min="16" max="16" width="43.5703125" customWidth="1"/>
    <col min="17" max="1023" width="9.140625" customWidth="1"/>
    <col min="1024" max="1025" width="11.5703125" customWidth="1"/>
  </cols>
  <sheetData>
    <row r="1" spans="1:16" ht="52.5" customHeight="1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ht="13.9" customHeight="1">
      <c r="A2" s="11" t="s">
        <v>1</v>
      </c>
      <c r="B2" s="10" t="s">
        <v>2</v>
      </c>
      <c r="C2" s="9">
        <v>44197</v>
      </c>
      <c r="D2" s="11" t="s">
        <v>3</v>
      </c>
      <c r="E2" s="11" t="s">
        <v>4</v>
      </c>
      <c r="F2" s="8" t="s">
        <v>5</v>
      </c>
      <c r="G2" s="7" t="s">
        <v>6</v>
      </c>
      <c r="H2" s="6" t="s">
        <v>7</v>
      </c>
      <c r="I2" s="5" t="s">
        <v>8</v>
      </c>
      <c r="J2" s="11" t="s">
        <v>9</v>
      </c>
      <c r="K2" s="11" t="s">
        <v>10</v>
      </c>
      <c r="L2" s="9">
        <v>44227</v>
      </c>
      <c r="M2" s="4" t="s">
        <v>11</v>
      </c>
      <c r="N2" s="4" t="s">
        <v>12</v>
      </c>
      <c r="O2" s="4" t="s">
        <v>13</v>
      </c>
      <c r="P2" s="4" t="s">
        <v>14</v>
      </c>
    </row>
    <row r="3" spans="1:16">
      <c r="A3" s="11"/>
      <c r="B3" s="10"/>
      <c r="C3" s="9"/>
      <c r="D3" s="9"/>
      <c r="E3" s="9"/>
      <c r="F3" s="8"/>
      <c r="G3" s="7"/>
      <c r="H3" s="6"/>
      <c r="I3" s="5"/>
      <c r="J3" s="11"/>
      <c r="K3" s="11"/>
      <c r="L3" s="11"/>
      <c r="M3" s="4"/>
      <c r="N3" s="4"/>
      <c r="O3" s="4"/>
      <c r="P3" s="4"/>
    </row>
    <row r="4" spans="1:16" ht="34.5" customHeight="1">
      <c r="A4" s="11"/>
      <c r="B4" s="10"/>
      <c r="C4" s="9"/>
      <c r="D4" s="9"/>
      <c r="E4" s="9"/>
      <c r="F4" s="8"/>
      <c r="G4" s="7"/>
      <c r="H4" s="6"/>
      <c r="I4" s="5"/>
      <c r="J4" s="11"/>
      <c r="K4" s="11"/>
      <c r="L4" s="11"/>
      <c r="M4" s="4"/>
      <c r="N4" s="4"/>
      <c r="O4" s="4"/>
      <c r="P4" s="4"/>
    </row>
    <row r="5" spans="1:16">
      <c r="A5" s="14">
        <v>1</v>
      </c>
      <c r="B5" s="15" t="s">
        <v>15</v>
      </c>
      <c r="C5" s="16">
        <v>19</v>
      </c>
      <c r="D5" s="17"/>
      <c r="E5" s="14"/>
      <c r="F5" s="18">
        <f>1</f>
        <v>1</v>
      </c>
      <c r="G5" s="19"/>
      <c r="H5" s="20"/>
      <c r="I5" s="21"/>
      <c r="J5" s="14"/>
      <c r="K5" s="14">
        <f t="shared" ref="K5:K68" si="0">SUM(F5:J5)</f>
        <v>1</v>
      </c>
      <c r="L5" s="16">
        <f t="shared" ref="L5:L68" si="1">(C5+E5)-K5</f>
        <v>18</v>
      </c>
      <c r="M5" s="22">
        <v>44531</v>
      </c>
      <c r="N5" s="23" t="s">
        <v>16</v>
      </c>
      <c r="O5" s="24" t="s">
        <v>17</v>
      </c>
      <c r="P5" s="23" t="s">
        <v>18</v>
      </c>
    </row>
    <row r="6" spans="1:16">
      <c r="A6" s="14">
        <v>2</v>
      </c>
      <c r="B6" s="15" t="s">
        <v>19</v>
      </c>
      <c r="C6" s="16">
        <v>16</v>
      </c>
      <c r="D6" s="17"/>
      <c r="E6" s="14"/>
      <c r="F6" s="18"/>
      <c r="G6" s="19"/>
      <c r="H6" s="20"/>
      <c r="I6" s="21"/>
      <c r="J6" s="14"/>
      <c r="K6" s="14">
        <f t="shared" si="0"/>
        <v>0</v>
      </c>
      <c r="L6" s="16">
        <f t="shared" si="1"/>
        <v>16</v>
      </c>
      <c r="M6" s="22">
        <v>44593</v>
      </c>
      <c r="N6" s="23" t="s">
        <v>16</v>
      </c>
      <c r="O6" s="24" t="s">
        <v>17</v>
      </c>
      <c r="P6" s="23" t="s">
        <v>20</v>
      </c>
    </row>
    <row r="7" spans="1:16">
      <c r="A7" s="14">
        <v>3</v>
      </c>
      <c r="B7" s="15" t="s">
        <v>21</v>
      </c>
      <c r="C7" s="16">
        <v>310</v>
      </c>
      <c r="D7" s="17"/>
      <c r="E7" s="14"/>
      <c r="F7" s="18">
        <f>1</f>
        <v>1</v>
      </c>
      <c r="G7" s="19"/>
      <c r="H7" s="20"/>
      <c r="I7" s="21"/>
      <c r="J7" s="14"/>
      <c r="K7" s="14">
        <f t="shared" si="0"/>
        <v>1</v>
      </c>
      <c r="L7" s="16">
        <f t="shared" si="1"/>
        <v>309</v>
      </c>
      <c r="M7" s="22">
        <v>45566</v>
      </c>
      <c r="N7" s="23" t="s">
        <v>16</v>
      </c>
      <c r="O7" s="24" t="s">
        <v>17</v>
      </c>
      <c r="P7" s="23" t="s">
        <v>22</v>
      </c>
    </row>
    <row r="8" spans="1:16">
      <c r="A8" s="14">
        <v>4</v>
      </c>
      <c r="B8" s="15" t="s">
        <v>23</v>
      </c>
      <c r="C8" s="16">
        <v>0</v>
      </c>
      <c r="D8" s="17"/>
      <c r="E8" s="14"/>
      <c r="F8" s="18"/>
      <c r="G8" s="19"/>
      <c r="H8" s="20"/>
      <c r="I8" s="21"/>
      <c r="J8" s="14"/>
      <c r="K8" s="14">
        <f t="shared" si="0"/>
        <v>0</v>
      </c>
      <c r="L8" s="16">
        <f t="shared" si="1"/>
        <v>0</v>
      </c>
      <c r="M8" s="22"/>
      <c r="N8" s="23" t="s">
        <v>16</v>
      </c>
      <c r="O8" s="24"/>
      <c r="P8" s="23"/>
    </row>
    <row r="9" spans="1:16">
      <c r="A9" s="14">
        <v>5</v>
      </c>
      <c r="B9" s="15" t="s">
        <v>24</v>
      </c>
      <c r="C9" s="16">
        <v>55</v>
      </c>
      <c r="D9" s="17"/>
      <c r="E9" s="14"/>
      <c r="F9" s="18">
        <f>12+12</f>
        <v>24</v>
      </c>
      <c r="G9" s="19"/>
      <c r="H9" s="20"/>
      <c r="I9" s="21"/>
      <c r="J9" s="14"/>
      <c r="K9" s="14">
        <f t="shared" si="0"/>
        <v>24</v>
      </c>
      <c r="L9" s="16">
        <f t="shared" si="1"/>
        <v>31</v>
      </c>
      <c r="M9" s="22">
        <v>44866</v>
      </c>
      <c r="N9" s="23" t="s">
        <v>16</v>
      </c>
      <c r="O9" s="24" t="s">
        <v>17</v>
      </c>
      <c r="P9" s="23" t="s">
        <v>25</v>
      </c>
    </row>
    <row r="10" spans="1:16">
      <c r="A10" s="14">
        <v>6</v>
      </c>
      <c r="B10" s="15" t="s">
        <v>24</v>
      </c>
      <c r="C10" s="16">
        <v>0</v>
      </c>
      <c r="D10" s="17"/>
      <c r="E10" s="14"/>
      <c r="F10" s="18"/>
      <c r="G10" s="19"/>
      <c r="H10" s="20"/>
      <c r="I10" s="21"/>
      <c r="J10" s="14"/>
      <c r="K10" s="14">
        <f t="shared" si="0"/>
        <v>0</v>
      </c>
      <c r="L10" s="16">
        <f t="shared" si="1"/>
        <v>0</v>
      </c>
      <c r="M10" s="22"/>
      <c r="N10" s="23" t="s">
        <v>26</v>
      </c>
      <c r="O10" s="24"/>
      <c r="P10" s="25"/>
    </row>
    <row r="11" spans="1:16">
      <c r="A11" s="14">
        <v>7</v>
      </c>
      <c r="B11" s="15" t="s">
        <v>27</v>
      </c>
      <c r="C11" s="16">
        <v>568</v>
      </c>
      <c r="D11" s="17"/>
      <c r="E11" s="14"/>
      <c r="F11" s="18">
        <f>12+20+15</f>
        <v>47</v>
      </c>
      <c r="G11" s="19"/>
      <c r="H11" s="20"/>
      <c r="I11" s="21"/>
      <c r="J11" s="14"/>
      <c r="K11" s="14">
        <f t="shared" si="0"/>
        <v>47</v>
      </c>
      <c r="L11" s="16">
        <f t="shared" si="1"/>
        <v>521</v>
      </c>
      <c r="M11" s="22">
        <v>44805</v>
      </c>
      <c r="N11" s="23" t="s">
        <v>16</v>
      </c>
      <c r="O11" s="24" t="s">
        <v>17</v>
      </c>
      <c r="P11" s="23" t="s">
        <v>28</v>
      </c>
    </row>
    <row r="12" spans="1:16">
      <c r="A12" s="14">
        <v>8</v>
      </c>
      <c r="B12" s="15" t="s">
        <v>27</v>
      </c>
      <c r="C12" s="16">
        <v>0</v>
      </c>
      <c r="D12" s="17"/>
      <c r="E12" s="14"/>
      <c r="F12" s="18"/>
      <c r="G12" s="19"/>
      <c r="H12" s="20"/>
      <c r="I12" s="21"/>
      <c r="J12" s="14"/>
      <c r="K12" s="14">
        <f t="shared" si="0"/>
        <v>0</v>
      </c>
      <c r="L12" s="16">
        <f t="shared" si="1"/>
        <v>0</v>
      </c>
      <c r="M12" s="22"/>
      <c r="N12" s="23" t="s">
        <v>26</v>
      </c>
      <c r="O12" s="24"/>
      <c r="P12" s="25"/>
    </row>
    <row r="13" spans="1:16">
      <c r="A13" s="14">
        <v>9</v>
      </c>
      <c r="B13" s="15" t="s">
        <v>29</v>
      </c>
      <c r="C13" s="16">
        <v>57</v>
      </c>
      <c r="D13" s="17"/>
      <c r="E13" s="14"/>
      <c r="F13" s="18">
        <f>5+10</f>
        <v>15</v>
      </c>
      <c r="G13" s="19"/>
      <c r="H13" s="20"/>
      <c r="I13" s="21"/>
      <c r="J13" s="14"/>
      <c r="K13" s="14">
        <f t="shared" si="0"/>
        <v>15</v>
      </c>
      <c r="L13" s="16">
        <f t="shared" si="1"/>
        <v>42</v>
      </c>
      <c r="M13" s="22">
        <v>44835</v>
      </c>
      <c r="N13" s="23" t="s">
        <v>16</v>
      </c>
      <c r="O13" s="24" t="s">
        <v>17</v>
      </c>
      <c r="P13" s="23" t="s">
        <v>30</v>
      </c>
    </row>
    <row r="14" spans="1:16">
      <c r="A14" s="14">
        <v>10</v>
      </c>
      <c r="B14" s="15" t="s">
        <v>31</v>
      </c>
      <c r="C14" s="16">
        <v>181</v>
      </c>
      <c r="D14" s="26"/>
      <c r="E14" s="14"/>
      <c r="F14" s="18">
        <f>10</f>
        <v>10</v>
      </c>
      <c r="G14" s="19"/>
      <c r="H14" s="20"/>
      <c r="I14" s="21"/>
      <c r="J14" s="14"/>
      <c r="K14" s="14">
        <f t="shared" si="0"/>
        <v>10</v>
      </c>
      <c r="L14" s="16">
        <f t="shared" si="1"/>
        <v>171</v>
      </c>
      <c r="M14" s="22">
        <v>44621</v>
      </c>
      <c r="N14" s="23" t="s">
        <v>16</v>
      </c>
      <c r="O14" s="24" t="s">
        <v>17</v>
      </c>
      <c r="P14" s="23" t="s">
        <v>32</v>
      </c>
    </row>
    <row r="15" spans="1:16">
      <c r="A15" s="14">
        <v>11</v>
      </c>
      <c r="B15" s="15" t="s">
        <v>31</v>
      </c>
      <c r="C15" s="16">
        <v>0</v>
      </c>
      <c r="D15" s="17"/>
      <c r="E15" s="14"/>
      <c r="F15" s="18"/>
      <c r="G15" s="19"/>
      <c r="H15" s="20"/>
      <c r="I15" s="21"/>
      <c r="J15" s="14"/>
      <c r="K15" s="14">
        <f t="shared" si="0"/>
        <v>0</v>
      </c>
      <c r="L15" s="16">
        <f t="shared" si="1"/>
        <v>0</v>
      </c>
      <c r="M15" s="22"/>
      <c r="N15" s="23" t="s">
        <v>26</v>
      </c>
      <c r="O15" s="24"/>
      <c r="P15" s="25"/>
    </row>
    <row r="16" spans="1:16" ht="25.5">
      <c r="A16" s="14">
        <v>12</v>
      </c>
      <c r="B16" s="15" t="s">
        <v>33</v>
      </c>
      <c r="C16" s="16">
        <v>3</v>
      </c>
      <c r="D16" s="17"/>
      <c r="E16" s="14"/>
      <c r="F16" s="18"/>
      <c r="G16" s="19"/>
      <c r="H16" s="20"/>
      <c r="I16" s="21"/>
      <c r="J16" s="14"/>
      <c r="K16" s="14">
        <f t="shared" si="0"/>
        <v>0</v>
      </c>
      <c r="L16" s="16">
        <f t="shared" si="1"/>
        <v>3</v>
      </c>
      <c r="M16" s="22">
        <v>44501</v>
      </c>
      <c r="N16" s="23" t="s">
        <v>16</v>
      </c>
      <c r="O16" s="24" t="s">
        <v>17</v>
      </c>
      <c r="P16" s="23" t="s">
        <v>34</v>
      </c>
    </row>
    <row r="17" spans="1:16">
      <c r="A17" s="14">
        <v>13</v>
      </c>
      <c r="B17" s="15" t="s">
        <v>35</v>
      </c>
      <c r="C17" s="16">
        <v>87</v>
      </c>
      <c r="D17" s="17"/>
      <c r="E17" s="14"/>
      <c r="F17" s="18">
        <f>37</f>
        <v>37</v>
      </c>
      <c r="G17" s="19"/>
      <c r="H17" s="20"/>
      <c r="I17" s="21"/>
      <c r="J17" s="14"/>
      <c r="K17" s="14">
        <f t="shared" si="0"/>
        <v>37</v>
      </c>
      <c r="L17" s="16">
        <f t="shared" si="1"/>
        <v>50</v>
      </c>
      <c r="M17" s="22">
        <v>44228</v>
      </c>
      <c r="N17" s="23" t="s">
        <v>16</v>
      </c>
      <c r="O17" s="24" t="s">
        <v>17</v>
      </c>
      <c r="P17" s="23" t="s">
        <v>36</v>
      </c>
    </row>
    <row r="18" spans="1:16">
      <c r="A18" s="14">
        <v>14</v>
      </c>
      <c r="B18" s="15" t="s">
        <v>37</v>
      </c>
      <c r="C18" s="16">
        <v>142</v>
      </c>
      <c r="D18" s="17"/>
      <c r="E18" s="14"/>
      <c r="F18" s="18">
        <f>5</f>
        <v>5</v>
      </c>
      <c r="G18" s="19"/>
      <c r="H18" s="20"/>
      <c r="I18" s="21"/>
      <c r="J18" s="14"/>
      <c r="K18" s="14">
        <f t="shared" si="0"/>
        <v>5</v>
      </c>
      <c r="L18" s="16">
        <f t="shared" si="1"/>
        <v>137</v>
      </c>
      <c r="M18" s="22">
        <v>44348</v>
      </c>
      <c r="N18" s="23" t="s">
        <v>16</v>
      </c>
      <c r="O18" s="24" t="s">
        <v>17</v>
      </c>
      <c r="P18" s="23" t="s">
        <v>38</v>
      </c>
    </row>
    <row r="19" spans="1:16">
      <c r="A19" s="14">
        <v>15</v>
      </c>
      <c r="B19" s="15" t="s">
        <v>39</v>
      </c>
      <c r="C19" s="16">
        <v>6</v>
      </c>
      <c r="D19" s="17"/>
      <c r="E19" s="14"/>
      <c r="F19" s="18"/>
      <c r="G19" s="19"/>
      <c r="H19" s="20"/>
      <c r="I19" s="21"/>
      <c r="J19" s="14"/>
      <c r="K19" s="14">
        <f t="shared" si="0"/>
        <v>0</v>
      </c>
      <c r="L19" s="16">
        <f t="shared" si="1"/>
        <v>6</v>
      </c>
      <c r="M19" s="22">
        <v>44409</v>
      </c>
      <c r="N19" s="23" t="s">
        <v>16</v>
      </c>
      <c r="O19" s="24" t="s">
        <v>17</v>
      </c>
      <c r="P19" s="23" t="s">
        <v>40</v>
      </c>
    </row>
    <row r="20" spans="1:16" ht="25.5">
      <c r="A20" s="14">
        <v>16</v>
      </c>
      <c r="B20" s="15" t="s">
        <v>41</v>
      </c>
      <c r="C20" s="16">
        <v>25</v>
      </c>
      <c r="D20" s="17"/>
      <c r="E20" s="14"/>
      <c r="F20" s="18"/>
      <c r="G20" s="19"/>
      <c r="H20" s="20"/>
      <c r="I20" s="21"/>
      <c r="J20" s="14"/>
      <c r="K20" s="14">
        <f t="shared" si="0"/>
        <v>0</v>
      </c>
      <c r="L20" s="16">
        <f t="shared" si="1"/>
        <v>25</v>
      </c>
      <c r="M20" s="22">
        <v>44743</v>
      </c>
      <c r="N20" s="23" t="s">
        <v>16</v>
      </c>
      <c r="O20" s="24" t="s">
        <v>17</v>
      </c>
      <c r="P20" s="23" t="s">
        <v>42</v>
      </c>
    </row>
    <row r="21" spans="1:16">
      <c r="A21" s="14">
        <v>17</v>
      </c>
      <c r="B21" s="15" t="s">
        <v>43</v>
      </c>
      <c r="C21" s="16">
        <v>0</v>
      </c>
      <c r="D21" s="17"/>
      <c r="E21" s="14"/>
      <c r="F21" s="18"/>
      <c r="G21" s="19"/>
      <c r="H21" s="20"/>
      <c r="I21" s="21"/>
      <c r="J21" s="14"/>
      <c r="K21" s="14">
        <f t="shared" si="0"/>
        <v>0</v>
      </c>
      <c r="L21" s="16">
        <f t="shared" si="1"/>
        <v>0</v>
      </c>
      <c r="M21" s="22"/>
      <c r="N21" s="23" t="s">
        <v>16</v>
      </c>
      <c r="O21" s="24"/>
      <c r="P21" s="25"/>
    </row>
    <row r="22" spans="1:16">
      <c r="A22" s="14">
        <v>18</v>
      </c>
      <c r="B22" s="15" t="s">
        <v>44</v>
      </c>
      <c r="C22" s="16">
        <v>4</v>
      </c>
      <c r="D22" s="17"/>
      <c r="E22" s="14"/>
      <c r="F22" s="18"/>
      <c r="G22" s="19"/>
      <c r="H22" s="20"/>
      <c r="I22" s="21"/>
      <c r="J22" s="14"/>
      <c r="K22" s="14">
        <f t="shared" si="0"/>
        <v>0</v>
      </c>
      <c r="L22" s="16">
        <f t="shared" si="1"/>
        <v>4</v>
      </c>
      <c r="M22" s="22">
        <v>44621</v>
      </c>
      <c r="N22" s="23" t="s">
        <v>16</v>
      </c>
      <c r="O22" s="24" t="s">
        <v>45</v>
      </c>
      <c r="P22" s="23" t="s">
        <v>46</v>
      </c>
    </row>
    <row r="23" spans="1:16">
      <c r="A23" s="14">
        <v>19</v>
      </c>
      <c r="B23" s="15" t="s">
        <v>44</v>
      </c>
      <c r="C23" s="16">
        <v>0</v>
      </c>
      <c r="D23" s="17"/>
      <c r="E23" s="14"/>
      <c r="F23" s="18"/>
      <c r="G23" s="19"/>
      <c r="H23" s="20"/>
      <c r="I23" s="21"/>
      <c r="J23" s="14"/>
      <c r="K23" s="14">
        <f t="shared" si="0"/>
        <v>0</v>
      </c>
      <c r="L23" s="16">
        <f t="shared" si="1"/>
        <v>0</v>
      </c>
      <c r="M23" s="22">
        <v>44621</v>
      </c>
      <c r="N23" s="23" t="s">
        <v>26</v>
      </c>
      <c r="O23" s="24"/>
      <c r="P23" s="23" t="s">
        <v>46</v>
      </c>
    </row>
    <row r="24" spans="1:16">
      <c r="A24" s="14">
        <v>20</v>
      </c>
      <c r="B24" s="15" t="s">
        <v>47</v>
      </c>
      <c r="C24" s="16">
        <v>182</v>
      </c>
      <c r="D24" s="17"/>
      <c r="E24" s="14"/>
      <c r="F24" s="18">
        <f>1</f>
        <v>1</v>
      </c>
      <c r="G24" s="19"/>
      <c r="H24" s="20"/>
      <c r="I24" s="21"/>
      <c r="J24" s="14"/>
      <c r="K24" s="14">
        <f t="shared" si="0"/>
        <v>1</v>
      </c>
      <c r="L24" s="16">
        <f t="shared" si="1"/>
        <v>181</v>
      </c>
      <c r="M24" s="22">
        <v>44348</v>
      </c>
      <c r="N24" s="23" t="s">
        <v>16</v>
      </c>
      <c r="O24" s="24" t="s">
        <v>45</v>
      </c>
      <c r="P24" s="23" t="s">
        <v>48</v>
      </c>
    </row>
    <row r="25" spans="1:16">
      <c r="A25" s="14">
        <v>21</v>
      </c>
      <c r="B25" s="15" t="s">
        <v>49</v>
      </c>
      <c r="C25" s="16">
        <v>0</v>
      </c>
      <c r="D25" s="17"/>
      <c r="E25" s="14"/>
      <c r="F25" s="18"/>
      <c r="G25" s="19"/>
      <c r="H25" s="20"/>
      <c r="I25" s="21"/>
      <c r="J25" s="14"/>
      <c r="K25" s="14">
        <f t="shared" si="0"/>
        <v>0</v>
      </c>
      <c r="L25" s="16">
        <f t="shared" si="1"/>
        <v>0</v>
      </c>
      <c r="M25" s="22">
        <v>44652</v>
      </c>
      <c r="N25" s="23" t="s">
        <v>16</v>
      </c>
      <c r="O25" s="24"/>
      <c r="P25" s="23" t="s">
        <v>50</v>
      </c>
    </row>
    <row r="26" spans="1:16">
      <c r="A26" s="14">
        <v>22</v>
      </c>
      <c r="B26" s="15" t="s">
        <v>51</v>
      </c>
      <c r="C26" s="16">
        <v>28</v>
      </c>
      <c r="D26" s="17"/>
      <c r="E26" s="14"/>
      <c r="F26" s="18">
        <f>3</f>
        <v>3</v>
      </c>
      <c r="G26" s="19"/>
      <c r="H26" s="20"/>
      <c r="I26" s="21"/>
      <c r="J26" s="14"/>
      <c r="K26" s="14">
        <f t="shared" si="0"/>
        <v>3</v>
      </c>
      <c r="L26" s="16">
        <f t="shared" si="1"/>
        <v>25</v>
      </c>
      <c r="M26" s="22">
        <v>44317</v>
      </c>
      <c r="N26" s="23" t="s">
        <v>16</v>
      </c>
      <c r="O26" s="24" t="s">
        <v>17</v>
      </c>
      <c r="P26" s="23" t="s">
        <v>52</v>
      </c>
    </row>
    <row r="27" spans="1:16">
      <c r="A27" s="14">
        <v>23</v>
      </c>
      <c r="B27" s="15" t="s">
        <v>53</v>
      </c>
      <c r="C27" s="16">
        <v>0</v>
      </c>
      <c r="D27" s="17"/>
      <c r="E27" s="14"/>
      <c r="F27" s="18"/>
      <c r="G27" s="19"/>
      <c r="H27" s="20"/>
      <c r="I27" s="21"/>
      <c r="J27" s="14"/>
      <c r="K27" s="14">
        <f t="shared" si="0"/>
        <v>0</v>
      </c>
      <c r="L27" s="16">
        <f t="shared" si="1"/>
        <v>0</v>
      </c>
      <c r="M27" s="22"/>
      <c r="N27" s="23" t="s">
        <v>16</v>
      </c>
      <c r="O27" s="24"/>
      <c r="P27" s="25"/>
    </row>
    <row r="28" spans="1:16">
      <c r="A28" s="14">
        <v>24</v>
      </c>
      <c r="B28" s="15" t="s">
        <v>54</v>
      </c>
      <c r="C28" s="16">
        <v>0</v>
      </c>
      <c r="D28" s="17"/>
      <c r="E28" s="14"/>
      <c r="F28" s="18"/>
      <c r="G28" s="19"/>
      <c r="H28" s="20"/>
      <c r="I28" s="21"/>
      <c r="J28" s="14"/>
      <c r="K28" s="14">
        <f t="shared" si="0"/>
        <v>0</v>
      </c>
      <c r="L28" s="16">
        <f t="shared" si="1"/>
        <v>0</v>
      </c>
      <c r="M28" s="22"/>
      <c r="N28" s="23" t="s">
        <v>16</v>
      </c>
      <c r="O28" s="24"/>
      <c r="P28" s="25"/>
    </row>
    <row r="29" spans="1:16">
      <c r="A29" s="14">
        <v>25</v>
      </c>
      <c r="B29" s="15" t="s">
        <v>55</v>
      </c>
      <c r="C29" s="16">
        <v>0</v>
      </c>
      <c r="D29" s="17"/>
      <c r="E29" s="14"/>
      <c r="F29" s="18"/>
      <c r="G29" s="19"/>
      <c r="H29" s="20"/>
      <c r="I29" s="21"/>
      <c r="J29" s="14"/>
      <c r="K29" s="14">
        <f t="shared" si="0"/>
        <v>0</v>
      </c>
      <c r="L29" s="16">
        <f t="shared" si="1"/>
        <v>0</v>
      </c>
      <c r="M29" s="22"/>
      <c r="N29" s="23" t="s">
        <v>16</v>
      </c>
      <c r="O29" s="24"/>
      <c r="P29" s="25"/>
    </row>
    <row r="30" spans="1:16">
      <c r="A30" s="14">
        <v>26</v>
      </c>
      <c r="B30" s="15" t="s">
        <v>56</v>
      </c>
      <c r="C30" s="16">
        <v>0</v>
      </c>
      <c r="D30" s="17"/>
      <c r="E30" s="14"/>
      <c r="F30" s="18"/>
      <c r="G30" s="19"/>
      <c r="H30" s="20"/>
      <c r="I30" s="21"/>
      <c r="J30" s="14"/>
      <c r="K30" s="14">
        <f t="shared" si="0"/>
        <v>0</v>
      </c>
      <c r="L30" s="16">
        <f t="shared" si="1"/>
        <v>0</v>
      </c>
      <c r="M30" s="22">
        <v>44743</v>
      </c>
      <c r="N30" s="23" t="s">
        <v>16</v>
      </c>
      <c r="O30" s="24"/>
      <c r="P30" s="25"/>
    </row>
    <row r="31" spans="1:16">
      <c r="A31" s="14">
        <v>27</v>
      </c>
      <c r="B31" s="15" t="s">
        <v>57</v>
      </c>
      <c r="C31" s="16">
        <v>0</v>
      </c>
      <c r="D31" s="17"/>
      <c r="E31" s="14"/>
      <c r="F31" s="18"/>
      <c r="G31" s="19"/>
      <c r="H31" s="20"/>
      <c r="I31" s="21"/>
      <c r="J31" s="14"/>
      <c r="K31" s="14">
        <f t="shared" si="0"/>
        <v>0</v>
      </c>
      <c r="L31" s="16">
        <f t="shared" si="1"/>
        <v>0</v>
      </c>
      <c r="M31" s="22">
        <v>44958</v>
      </c>
      <c r="N31" s="23" t="s">
        <v>16</v>
      </c>
      <c r="O31" s="24"/>
      <c r="P31" s="23" t="s">
        <v>58</v>
      </c>
    </row>
    <row r="32" spans="1:16" ht="25.5">
      <c r="A32" s="14">
        <v>28</v>
      </c>
      <c r="B32" s="15" t="s">
        <v>59</v>
      </c>
      <c r="C32" s="16">
        <v>0</v>
      </c>
      <c r="D32" s="17"/>
      <c r="E32" s="14"/>
      <c r="F32" s="18"/>
      <c r="G32" s="19"/>
      <c r="H32" s="20"/>
      <c r="I32" s="21"/>
      <c r="J32" s="14"/>
      <c r="K32" s="14">
        <f t="shared" si="0"/>
        <v>0</v>
      </c>
      <c r="L32" s="16">
        <f t="shared" si="1"/>
        <v>0</v>
      </c>
      <c r="M32" s="22">
        <v>44044</v>
      </c>
      <c r="N32" s="23" t="s">
        <v>16</v>
      </c>
      <c r="O32" s="24"/>
      <c r="P32" s="23" t="s">
        <v>60</v>
      </c>
    </row>
    <row r="33" spans="1:16">
      <c r="A33" s="14">
        <v>29</v>
      </c>
      <c r="B33" s="15" t="s">
        <v>61</v>
      </c>
      <c r="C33" s="16">
        <v>0</v>
      </c>
      <c r="D33" s="17"/>
      <c r="E33" s="14"/>
      <c r="F33" s="18"/>
      <c r="G33" s="19"/>
      <c r="H33" s="20"/>
      <c r="I33" s="21"/>
      <c r="J33" s="14"/>
      <c r="K33" s="14">
        <f t="shared" si="0"/>
        <v>0</v>
      </c>
      <c r="L33" s="16">
        <f t="shared" si="1"/>
        <v>0</v>
      </c>
      <c r="M33" s="22">
        <v>44713</v>
      </c>
      <c r="N33" s="23" t="s">
        <v>16</v>
      </c>
      <c r="O33" s="24"/>
      <c r="P33" s="23" t="s">
        <v>62</v>
      </c>
    </row>
    <row r="34" spans="1:16">
      <c r="A34" s="14">
        <v>30</v>
      </c>
      <c r="B34" s="15" t="s">
        <v>63</v>
      </c>
      <c r="C34" s="16">
        <v>0</v>
      </c>
      <c r="D34" s="17"/>
      <c r="E34" s="14"/>
      <c r="F34" s="18"/>
      <c r="G34" s="19"/>
      <c r="H34" s="20"/>
      <c r="I34" s="21"/>
      <c r="J34" s="14"/>
      <c r="K34" s="14">
        <f t="shared" si="0"/>
        <v>0</v>
      </c>
      <c r="L34" s="16">
        <f t="shared" si="1"/>
        <v>0</v>
      </c>
      <c r="M34" s="22"/>
      <c r="N34" s="23" t="s">
        <v>16</v>
      </c>
      <c r="O34" s="24"/>
      <c r="P34" s="25"/>
    </row>
    <row r="35" spans="1:16">
      <c r="A35" s="14">
        <v>31</v>
      </c>
      <c r="B35" s="15" t="s">
        <v>64</v>
      </c>
      <c r="C35" s="16">
        <v>0</v>
      </c>
      <c r="D35" s="17"/>
      <c r="E35" s="14"/>
      <c r="F35" s="18"/>
      <c r="G35" s="19"/>
      <c r="H35" s="20"/>
      <c r="I35" s="21"/>
      <c r="J35" s="14"/>
      <c r="K35" s="14">
        <f t="shared" si="0"/>
        <v>0</v>
      </c>
      <c r="L35" s="16">
        <f t="shared" si="1"/>
        <v>0</v>
      </c>
      <c r="M35" s="22"/>
      <c r="N35" s="23" t="s">
        <v>16</v>
      </c>
      <c r="O35" s="24"/>
      <c r="P35" s="25"/>
    </row>
    <row r="36" spans="1:16">
      <c r="A36" s="14">
        <v>32</v>
      </c>
      <c r="B36" s="15" t="s">
        <v>65</v>
      </c>
      <c r="C36" s="16">
        <v>86</v>
      </c>
      <c r="D36" s="17"/>
      <c r="E36" s="14"/>
      <c r="F36" s="18"/>
      <c r="G36" s="19"/>
      <c r="H36" s="20"/>
      <c r="I36" s="21"/>
      <c r="J36" s="14"/>
      <c r="K36" s="14">
        <f t="shared" si="0"/>
        <v>0</v>
      </c>
      <c r="L36" s="16">
        <f t="shared" si="1"/>
        <v>86</v>
      </c>
      <c r="M36" s="22">
        <v>45261</v>
      </c>
      <c r="N36" s="23" t="s">
        <v>16</v>
      </c>
      <c r="O36" s="24" t="s">
        <v>17</v>
      </c>
      <c r="P36" s="23" t="s">
        <v>66</v>
      </c>
    </row>
    <row r="37" spans="1:16">
      <c r="A37" s="14">
        <v>33</v>
      </c>
      <c r="B37" s="15" t="s">
        <v>67</v>
      </c>
      <c r="C37" s="16">
        <v>0</v>
      </c>
      <c r="D37" s="17"/>
      <c r="E37" s="14"/>
      <c r="F37" s="18"/>
      <c r="G37" s="19"/>
      <c r="H37" s="20"/>
      <c r="I37" s="21"/>
      <c r="J37" s="14"/>
      <c r="K37" s="14">
        <f t="shared" si="0"/>
        <v>0</v>
      </c>
      <c r="L37" s="16">
        <f t="shared" si="1"/>
        <v>0</v>
      </c>
      <c r="M37" s="22">
        <v>44013</v>
      </c>
      <c r="N37" s="23" t="s">
        <v>16</v>
      </c>
      <c r="O37" s="24"/>
      <c r="P37" s="27" t="s">
        <v>68</v>
      </c>
    </row>
    <row r="38" spans="1:16">
      <c r="A38" s="14">
        <v>34</v>
      </c>
      <c r="B38" s="15" t="s">
        <v>69</v>
      </c>
      <c r="C38" s="16">
        <v>28</v>
      </c>
      <c r="D38" s="17"/>
      <c r="E38" s="14"/>
      <c r="F38" s="18"/>
      <c r="G38" s="19"/>
      <c r="H38" s="20"/>
      <c r="I38" s="21"/>
      <c r="J38" s="14"/>
      <c r="K38" s="14">
        <f t="shared" si="0"/>
        <v>0</v>
      </c>
      <c r="L38" s="16">
        <f t="shared" si="1"/>
        <v>28</v>
      </c>
      <c r="M38" s="22">
        <v>45383</v>
      </c>
      <c r="N38" s="23" t="s">
        <v>16</v>
      </c>
      <c r="O38" s="24" t="s">
        <v>17</v>
      </c>
      <c r="P38" s="23" t="s">
        <v>70</v>
      </c>
    </row>
    <row r="39" spans="1:16">
      <c r="A39" s="14">
        <v>35</v>
      </c>
      <c r="B39" s="15" t="s">
        <v>71</v>
      </c>
      <c r="C39" s="16">
        <v>0</v>
      </c>
      <c r="D39" s="17"/>
      <c r="E39" s="14"/>
      <c r="F39" s="18"/>
      <c r="G39" s="19"/>
      <c r="H39" s="20"/>
      <c r="I39" s="21"/>
      <c r="J39" s="14"/>
      <c r="K39" s="14">
        <f t="shared" si="0"/>
        <v>0</v>
      </c>
      <c r="L39" s="16">
        <f t="shared" si="1"/>
        <v>0</v>
      </c>
      <c r="M39" s="22"/>
      <c r="N39" s="23" t="s">
        <v>16</v>
      </c>
      <c r="O39" s="24"/>
      <c r="P39" s="25"/>
    </row>
    <row r="40" spans="1:16">
      <c r="A40" s="14">
        <v>36</v>
      </c>
      <c r="B40" s="15" t="s">
        <v>72</v>
      </c>
      <c r="C40" s="16">
        <v>25</v>
      </c>
      <c r="D40" s="17"/>
      <c r="E40" s="14"/>
      <c r="F40" s="18"/>
      <c r="G40" s="19"/>
      <c r="H40" s="20"/>
      <c r="I40" s="21"/>
      <c r="J40" s="14"/>
      <c r="K40" s="14">
        <f t="shared" si="0"/>
        <v>0</v>
      </c>
      <c r="L40" s="16">
        <f t="shared" si="1"/>
        <v>25</v>
      </c>
      <c r="M40" s="22">
        <v>44652</v>
      </c>
      <c r="N40" s="23" t="s">
        <v>16</v>
      </c>
      <c r="O40" s="24" t="s">
        <v>17</v>
      </c>
      <c r="P40" s="23" t="s">
        <v>73</v>
      </c>
    </row>
    <row r="41" spans="1:16">
      <c r="A41" s="14">
        <v>37</v>
      </c>
      <c r="B41" s="15" t="s">
        <v>74</v>
      </c>
      <c r="C41" s="16">
        <v>31</v>
      </c>
      <c r="D41" s="17"/>
      <c r="E41" s="14"/>
      <c r="F41" s="18">
        <f>5+8</f>
        <v>13</v>
      </c>
      <c r="G41" s="19"/>
      <c r="H41" s="20"/>
      <c r="I41" s="21"/>
      <c r="J41" s="14"/>
      <c r="K41" s="14">
        <f t="shared" si="0"/>
        <v>13</v>
      </c>
      <c r="L41" s="16">
        <f t="shared" si="1"/>
        <v>18</v>
      </c>
      <c r="M41" s="22">
        <v>45108</v>
      </c>
      <c r="N41" s="23" t="s">
        <v>16</v>
      </c>
      <c r="O41" s="24" t="s">
        <v>17</v>
      </c>
      <c r="P41" s="23" t="s">
        <v>75</v>
      </c>
    </row>
    <row r="42" spans="1:16">
      <c r="A42" s="14">
        <v>38</v>
      </c>
      <c r="B42" s="15" t="s">
        <v>76</v>
      </c>
      <c r="C42" s="16">
        <v>0</v>
      </c>
      <c r="D42" s="17"/>
      <c r="E42" s="14"/>
      <c r="F42" s="18"/>
      <c r="G42" s="19"/>
      <c r="H42" s="20"/>
      <c r="I42" s="21"/>
      <c r="J42" s="14"/>
      <c r="K42" s="14">
        <f t="shared" si="0"/>
        <v>0</v>
      </c>
      <c r="L42" s="16">
        <f t="shared" si="1"/>
        <v>0</v>
      </c>
      <c r="M42" s="22"/>
      <c r="N42" s="23" t="s">
        <v>16</v>
      </c>
      <c r="O42" s="24"/>
      <c r="P42" s="25"/>
    </row>
    <row r="43" spans="1:16">
      <c r="A43" s="14">
        <v>39</v>
      </c>
      <c r="B43" s="15" t="s">
        <v>77</v>
      </c>
      <c r="C43" s="16">
        <v>0</v>
      </c>
      <c r="D43" s="17"/>
      <c r="E43" s="14"/>
      <c r="F43" s="18"/>
      <c r="G43" s="19"/>
      <c r="H43" s="20"/>
      <c r="I43" s="21"/>
      <c r="J43" s="14"/>
      <c r="K43" s="14">
        <f t="shared" si="0"/>
        <v>0</v>
      </c>
      <c r="L43" s="16">
        <f t="shared" si="1"/>
        <v>0</v>
      </c>
      <c r="M43" s="22"/>
      <c r="N43" s="23" t="s">
        <v>16</v>
      </c>
      <c r="O43" s="24"/>
      <c r="P43" s="25"/>
    </row>
    <row r="44" spans="1:16">
      <c r="A44" s="14">
        <v>40</v>
      </c>
      <c r="B44" s="15" t="s">
        <v>78</v>
      </c>
      <c r="C44" s="16">
        <v>0</v>
      </c>
      <c r="D44" s="17"/>
      <c r="E44" s="14"/>
      <c r="F44" s="18"/>
      <c r="G44" s="19"/>
      <c r="H44" s="20"/>
      <c r="I44" s="21"/>
      <c r="J44" s="14"/>
      <c r="K44" s="14">
        <f t="shared" si="0"/>
        <v>0</v>
      </c>
      <c r="L44" s="16">
        <f t="shared" si="1"/>
        <v>0</v>
      </c>
      <c r="M44" s="22">
        <v>44136</v>
      </c>
      <c r="N44" s="23" t="s">
        <v>16</v>
      </c>
      <c r="O44" s="24"/>
      <c r="P44" s="23" t="s">
        <v>79</v>
      </c>
    </row>
    <row r="45" spans="1:16">
      <c r="A45" s="14">
        <v>41</v>
      </c>
      <c r="B45" s="15" t="s">
        <v>80</v>
      </c>
      <c r="C45" s="16">
        <v>21</v>
      </c>
      <c r="D45" s="17"/>
      <c r="E45" s="14"/>
      <c r="F45" s="18">
        <f>20+1</f>
        <v>21</v>
      </c>
      <c r="G45" s="19"/>
      <c r="H45" s="20"/>
      <c r="I45" s="21"/>
      <c r="J45" s="14"/>
      <c r="K45" s="14">
        <f t="shared" si="0"/>
        <v>21</v>
      </c>
      <c r="L45" s="16">
        <f t="shared" si="1"/>
        <v>0</v>
      </c>
      <c r="M45" s="22">
        <v>44317</v>
      </c>
      <c r="N45" s="23" t="s">
        <v>16</v>
      </c>
      <c r="O45" s="24" t="s">
        <v>17</v>
      </c>
      <c r="P45" s="23" t="s">
        <v>81</v>
      </c>
    </row>
    <row r="46" spans="1:16">
      <c r="A46" s="14">
        <v>42</v>
      </c>
      <c r="B46" s="15" t="s">
        <v>82</v>
      </c>
      <c r="C46" s="16">
        <v>0</v>
      </c>
      <c r="D46" s="17"/>
      <c r="E46" s="14"/>
      <c r="F46" s="18"/>
      <c r="G46" s="19"/>
      <c r="H46" s="20"/>
      <c r="I46" s="21"/>
      <c r="J46" s="14"/>
      <c r="K46" s="14">
        <f t="shared" si="0"/>
        <v>0</v>
      </c>
      <c r="L46" s="16">
        <f t="shared" si="1"/>
        <v>0</v>
      </c>
      <c r="M46" s="22"/>
      <c r="N46" s="23" t="s">
        <v>16</v>
      </c>
      <c r="O46" s="24"/>
      <c r="P46" s="25"/>
    </row>
    <row r="47" spans="1:16">
      <c r="A47" s="14">
        <v>43</v>
      </c>
      <c r="B47" s="15" t="s">
        <v>83</v>
      </c>
      <c r="C47" s="16">
        <v>66</v>
      </c>
      <c r="D47" s="17"/>
      <c r="E47" s="14"/>
      <c r="F47" s="18"/>
      <c r="G47" s="19"/>
      <c r="H47" s="20"/>
      <c r="I47" s="21"/>
      <c r="J47" s="14"/>
      <c r="K47" s="14">
        <f t="shared" si="0"/>
        <v>0</v>
      </c>
      <c r="L47" s="16">
        <f t="shared" si="1"/>
        <v>66</v>
      </c>
      <c r="M47" s="22">
        <v>44317</v>
      </c>
      <c r="N47" s="23" t="s">
        <v>16</v>
      </c>
      <c r="O47" s="24" t="s">
        <v>17</v>
      </c>
      <c r="P47" s="23" t="s">
        <v>84</v>
      </c>
    </row>
    <row r="48" spans="1:16">
      <c r="A48" s="14">
        <v>44</v>
      </c>
      <c r="B48" s="15" t="s">
        <v>85</v>
      </c>
      <c r="C48" s="16">
        <v>107</v>
      </c>
      <c r="D48" s="17"/>
      <c r="E48" s="14"/>
      <c r="F48" s="18">
        <f>5+8</f>
        <v>13</v>
      </c>
      <c r="G48" s="19"/>
      <c r="H48" s="20"/>
      <c r="I48" s="21"/>
      <c r="J48" s="14"/>
      <c r="K48" s="14">
        <f t="shared" si="0"/>
        <v>13</v>
      </c>
      <c r="L48" s="16">
        <f t="shared" si="1"/>
        <v>94</v>
      </c>
      <c r="M48" s="22">
        <v>44409</v>
      </c>
      <c r="N48" s="23" t="s">
        <v>16</v>
      </c>
      <c r="O48" s="24" t="s">
        <v>17</v>
      </c>
      <c r="P48" s="23" t="s">
        <v>86</v>
      </c>
    </row>
    <row r="49" spans="1:16">
      <c r="A49" s="14">
        <v>45</v>
      </c>
      <c r="B49" s="15" t="s">
        <v>87</v>
      </c>
      <c r="C49" s="16">
        <v>0</v>
      </c>
      <c r="D49" s="17"/>
      <c r="E49" s="14"/>
      <c r="F49" s="18"/>
      <c r="G49" s="19"/>
      <c r="H49" s="20"/>
      <c r="I49" s="21"/>
      <c r="J49" s="14"/>
      <c r="K49" s="14">
        <f t="shared" si="0"/>
        <v>0</v>
      </c>
      <c r="L49" s="16">
        <f t="shared" si="1"/>
        <v>0</v>
      </c>
      <c r="M49" s="22">
        <v>44136</v>
      </c>
      <c r="N49" s="23" t="s">
        <v>16</v>
      </c>
      <c r="O49" s="24"/>
      <c r="P49" s="23" t="s">
        <v>88</v>
      </c>
    </row>
    <row r="50" spans="1:16">
      <c r="A50" s="14">
        <v>46</v>
      </c>
      <c r="B50" s="15" t="s">
        <v>89</v>
      </c>
      <c r="C50" s="16">
        <v>7</v>
      </c>
      <c r="D50" s="17"/>
      <c r="E50" s="14"/>
      <c r="F50" s="18"/>
      <c r="G50" s="19"/>
      <c r="H50" s="20"/>
      <c r="I50" s="21"/>
      <c r="J50" s="14"/>
      <c r="K50" s="14">
        <f t="shared" si="0"/>
        <v>0</v>
      </c>
      <c r="L50" s="16">
        <f t="shared" si="1"/>
        <v>7</v>
      </c>
      <c r="M50" s="22">
        <v>44256</v>
      </c>
      <c r="N50" s="23" t="s">
        <v>16</v>
      </c>
      <c r="O50" s="24" t="s">
        <v>17</v>
      </c>
      <c r="P50" s="23" t="s">
        <v>90</v>
      </c>
    </row>
    <row r="51" spans="1:16">
      <c r="A51" s="14">
        <v>47</v>
      </c>
      <c r="B51" s="15" t="s">
        <v>91</v>
      </c>
      <c r="C51" s="16">
        <v>143</v>
      </c>
      <c r="D51" s="17"/>
      <c r="E51" s="14"/>
      <c r="F51" s="18">
        <f>3</f>
        <v>3</v>
      </c>
      <c r="G51" s="19"/>
      <c r="H51" s="20"/>
      <c r="I51" s="21"/>
      <c r="J51" s="14"/>
      <c r="K51" s="14">
        <f t="shared" si="0"/>
        <v>3</v>
      </c>
      <c r="L51" s="16">
        <f t="shared" si="1"/>
        <v>140</v>
      </c>
      <c r="M51" s="22">
        <v>44317</v>
      </c>
      <c r="N51" s="23" t="s">
        <v>16</v>
      </c>
      <c r="O51" s="24" t="s">
        <v>17</v>
      </c>
      <c r="P51" s="23" t="s">
        <v>92</v>
      </c>
    </row>
    <row r="52" spans="1:16">
      <c r="A52" s="14">
        <v>48</v>
      </c>
      <c r="B52" s="15" t="s">
        <v>93</v>
      </c>
      <c r="C52" s="16">
        <v>0</v>
      </c>
      <c r="D52" s="17"/>
      <c r="E52" s="14"/>
      <c r="F52" s="18"/>
      <c r="G52" s="19"/>
      <c r="H52" s="20"/>
      <c r="I52" s="21"/>
      <c r="J52" s="14"/>
      <c r="K52" s="14">
        <f t="shared" si="0"/>
        <v>0</v>
      </c>
      <c r="L52" s="16">
        <f t="shared" si="1"/>
        <v>0</v>
      </c>
      <c r="M52" s="22">
        <v>44013</v>
      </c>
      <c r="N52" s="23" t="s">
        <v>16</v>
      </c>
      <c r="O52" s="24"/>
      <c r="P52" s="23" t="s">
        <v>94</v>
      </c>
    </row>
    <row r="53" spans="1:16">
      <c r="A53" s="14">
        <v>49</v>
      </c>
      <c r="B53" s="15" t="s">
        <v>95</v>
      </c>
      <c r="C53" s="16">
        <v>39</v>
      </c>
      <c r="D53" s="17"/>
      <c r="E53" s="14"/>
      <c r="F53" s="18"/>
      <c r="G53" s="19"/>
      <c r="H53" s="20"/>
      <c r="I53" s="21"/>
      <c r="J53" s="14"/>
      <c r="K53" s="14">
        <f t="shared" si="0"/>
        <v>0</v>
      </c>
      <c r="L53" s="16">
        <f t="shared" si="1"/>
        <v>39</v>
      </c>
      <c r="M53" s="22">
        <v>44986</v>
      </c>
      <c r="N53" s="23" t="s">
        <v>16</v>
      </c>
      <c r="O53" s="24" t="s">
        <v>45</v>
      </c>
      <c r="P53" s="23" t="s">
        <v>96</v>
      </c>
    </row>
    <row r="54" spans="1:16">
      <c r="A54" s="14">
        <v>50</v>
      </c>
      <c r="B54" s="15" t="s">
        <v>97</v>
      </c>
      <c r="C54" s="16">
        <v>0</v>
      </c>
      <c r="D54" s="17"/>
      <c r="E54" s="14"/>
      <c r="F54" s="18"/>
      <c r="G54" s="19"/>
      <c r="H54" s="20"/>
      <c r="I54" s="21"/>
      <c r="J54" s="14"/>
      <c r="K54" s="14">
        <f t="shared" si="0"/>
        <v>0</v>
      </c>
      <c r="L54" s="16">
        <f t="shared" si="1"/>
        <v>0</v>
      </c>
      <c r="M54" s="22">
        <v>44866</v>
      </c>
      <c r="N54" s="23" t="s">
        <v>16</v>
      </c>
      <c r="O54" s="24"/>
      <c r="P54" s="23" t="s">
        <v>98</v>
      </c>
    </row>
    <row r="55" spans="1:16">
      <c r="A55" s="14">
        <v>51</v>
      </c>
      <c r="B55" s="15" t="s">
        <v>99</v>
      </c>
      <c r="C55" s="16">
        <v>0</v>
      </c>
      <c r="D55" s="17"/>
      <c r="E55" s="14"/>
      <c r="F55" s="18"/>
      <c r="G55" s="19"/>
      <c r="H55" s="20"/>
      <c r="I55" s="21"/>
      <c r="J55" s="14"/>
      <c r="K55" s="14">
        <f t="shared" si="0"/>
        <v>0</v>
      </c>
      <c r="L55" s="16">
        <f t="shared" si="1"/>
        <v>0</v>
      </c>
      <c r="M55" s="22"/>
      <c r="N55" s="23" t="s">
        <v>16</v>
      </c>
      <c r="O55" s="24"/>
      <c r="P55" s="25"/>
    </row>
    <row r="56" spans="1:16">
      <c r="A56" s="14">
        <v>52</v>
      </c>
      <c r="B56" s="15" t="s">
        <v>100</v>
      </c>
      <c r="C56" s="16">
        <v>20</v>
      </c>
      <c r="D56" s="17"/>
      <c r="E56" s="14"/>
      <c r="F56" s="18"/>
      <c r="G56" s="19"/>
      <c r="H56" s="20"/>
      <c r="I56" s="21"/>
      <c r="J56" s="14"/>
      <c r="K56" s="14">
        <f t="shared" si="0"/>
        <v>0</v>
      </c>
      <c r="L56" s="16">
        <f t="shared" si="1"/>
        <v>20</v>
      </c>
      <c r="M56" s="22"/>
      <c r="N56" s="23" t="s">
        <v>26</v>
      </c>
      <c r="O56" s="24" t="s">
        <v>17</v>
      </c>
      <c r="P56" s="23" t="s">
        <v>101</v>
      </c>
    </row>
    <row r="57" spans="1:16">
      <c r="A57" s="14">
        <v>53</v>
      </c>
      <c r="B57" s="15" t="s">
        <v>102</v>
      </c>
      <c r="C57" s="16">
        <v>37</v>
      </c>
      <c r="D57" s="17"/>
      <c r="E57" s="14"/>
      <c r="F57" s="18"/>
      <c r="G57" s="19"/>
      <c r="H57" s="20"/>
      <c r="I57" s="21"/>
      <c r="J57" s="14"/>
      <c r="K57" s="14">
        <f t="shared" si="0"/>
        <v>0</v>
      </c>
      <c r="L57" s="16">
        <f t="shared" si="1"/>
        <v>37</v>
      </c>
      <c r="M57" s="22">
        <v>44866</v>
      </c>
      <c r="N57" s="23" t="s">
        <v>16</v>
      </c>
      <c r="O57" s="24" t="s">
        <v>45</v>
      </c>
      <c r="P57" s="23" t="s">
        <v>103</v>
      </c>
    </row>
    <row r="58" spans="1:16">
      <c r="A58" s="14">
        <v>54</v>
      </c>
      <c r="B58" s="15" t="s">
        <v>102</v>
      </c>
      <c r="C58" s="16">
        <v>0</v>
      </c>
      <c r="D58" s="17"/>
      <c r="E58" s="14"/>
      <c r="F58" s="18"/>
      <c r="G58" s="19"/>
      <c r="H58" s="20"/>
      <c r="I58" s="21"/>
      <c r="J58" s="14"/>
      <c r="K58" s="14">
        <f t="shared" si="0"/>
        <v>0</v>
      </c>
      <c r="L58" s="16">
        <f t="shared" si="1"/>
        <v>0</v>
      </c>
      <c r="M58" s="22">
        <v>44866</v>
      </c>
      <c r="N58" s="23" t="s">
        <v>26</v>
      </c>
      <c r="O58" s="24"/>
      <c r="P58" s="23" t="s">
        <v>103</v>
      </c>
    </row>
    <row r="59" spans="1:16">
      <c r="A59" s="14">
        <v>55</v>
      </c>
      <c r="B59" s="15" t="s">
        <v>104</v>
      </c>
      <c r="C59" s="16">
        <v>0</v>
      </c>
      <c r="D59" s="17"/>
      <c r="E59" s="14"/>
      <c r="F59" s="18"/>
      <c r="G59" s="19"/>
      <c r="H59" s="20"/>
      <c r="I59" s="21"/>
      <c r="J59" s="14"/>
      <c r="K59" s="14">
        <f t="shared" si="0"/>
        <v>0</v>
      </c>
      <c r="L59" s="16">
        <f t="shared" si="1"/>
        <v>0</v>
      </c>
      <c r="M59" s="22"/>
      <c r="N59" s="23" t="s">
        <v>16</v>
      </c>
      <c r="O59" s="24"/>
      <c r="P59" s="25"/>
    </row>
    <row r="60" spans="1:16">
      <c r="A60" s="14">
        <v>56</v>
      </c>
      <c r="B60" s="15" t="s">
        <v>104</v>
      </c>
      <c r="C60" s="16">
        <v>0</v>
      </c>
      <c r="D60" s="17"/>
      <c r="E60" s="14"/>
      <c r="F60" s="18"/>
      <c r="G60" s="19"/>
      <c r="H60" s="20"/>
      <c r="I60" s="21"/>
      <c r="J60" s="14"/>
      <c r="K60" s="14">
        <f t="shared" si="0"/>
        <v>0</v>
      </c>
      <c r="L60" s="16">
        <f t="shared" si="1"/>
        <v>0</v>
      </c>
      <c r="M60" s="22"/>
      <c r="N60" s="23" t="s">
        <v>26</v>
      </c>
      <c r="O60" s="24"/>
      <c r="P60" s="25"/>
    </row>
    <row r="61" spans="1:16">
      <c r="A61" s="14">
        <v>57</v>
      </c>
      <c r="B61" s="15" t="s">
        <v>105</v>
      </c>
      <c r="C61" s="16">
        <v>0</v>
      </c>
      <c r="D61" s="17"/>
      <c r="E61" s="14"/>
      <c r="F61" s="18"/>
      <c r="G61" s="19"/>
      <c r="H61" s="20"/>
      <c r="I61" s="21"/>
      <c r="J61" s="14"/>
      <c r="K61" s="14">
        <f t="shared" si="0"/>
        <v>0</v>
      </c>
      <c r="L61" s="16">
        <f t="shared" si="1"/>
        <v>0</v>
      </c>
      <c r="M61" s="22"/>
      <c r="N61" s="23" t="s">
        <v>16</v>
      </c>
      <c r="O61" s="24"/>
      <c r="P61" s="23" t="s">
        <v>106</v>
      </c>
    </row>
    <row r="62" spans="1:16">
      <c r="A62" s="14">
        <v>58</v>
      </c>
      <c r="B62" s="15" t="s">
        <v>105</v>
      </c>
      <c r="C62" s="16">
        <v>45</v>
      </c>
      <c r="D62" s="17"/>
      <c r="E62" s="14"/>
      <c r="F62" s="18"/>
      <c r="G62" s="19"/>
      <c r="H62" s="20"/>
      <c r="I62" s="21"/>
      <c r="J62" s="14"/>
      <c r="K62" s="14">
        <f t="shared" si="0"/>
        <v>0</v>
      </c>
      <c r="L62" s="16">
        <f t="shared" si="1"/>
        <v>45</v>
      </c>
      <c r="M62" s="22">
        <v>44531</v>
      </c>
      <c r="N62" s="23" t="s">
        <v>16</v>
      </c>
      <c r="O62" s="24" t="s">
        <v>17</v>
      </c>
      <c r="P62" s="23" t="s">
        <v>106</v>
      </c>
    </row>
    <row r="63" spans="1:16">
      <c r="A63" s="14">
        <v>59</v>
      </c>
      <c r="B63" s="15" t="s">
        <v>107</v>
      </c>
      <c r="C63" s="16">
        <v>55</v>
      </c>
      <c r="D63" s="17"/>
      <c r="E63" s="14"/>
      <c r="F63" s="18">
        <f>5+8</f>
        <v>13</v>
      </c>
      <c r="G63" s="19"/>
      <c r="H63" s="20"/>
      <c r="I63" s="21"/>
      <c r="J63" s="14"/>
      <c r="K63" s="14">
        <f t="shared" si="0"/>
        <v>13</v>
      </c>
      <c r="L63" s="16">
        <f t="shared" si="1"/>
        <v>42</v>
      </c>
      <c r="M63" s="22">
        <v>44501</v>
      </c>
      <c r="N63" s="23" t="s">
        <v>16</v>
      </c>
      <c r="O63" s="24" t="s">
        <v>17</v>
      </c>
      <c r="P63" s="23" t="s">
        <v>108</v>
      </c>
    </row>
    <row r="64" spans="1:16">
      <c r="A64" s="14">
        <v>60</v>
      </c>
      <c r="B64" s="15" t="s">
        <v>109</v>
      </c>
      <c r="C64" s="16">
        <v>0</v>
      </c>
      <c r="D64" s="17"/>
      <c r="E64" s="14"/>
      <c r="F64" s="18"/>
      <c r="G64" s="19"/>
      <c r="H64" s="20"/>
      <c r="I64" s="21"/>
      <c r="J64" s="14"/>
      <c r="K64" s="14">
        <f t="shared" si="0"/>
        <v>0</v>
      </c>
      <c r="L64" s="16">
        <f t="shared" si="1"/>
        <v>0</v>
      </c>
      <c r="M64" s="22"/>
      <c r="N64" s="23" t="s">
        <v>16</v>
      </c>
      <c r="O64" s="24"/>
      <c r="P64" s="25"/>
    </row>
    <row r="65" spans="1:16">
      <c r="A65" s="14">
        <v>61</v>
      </c>
      <c r="B65" s="15" t="s">
        <v>110</v>
      </c>
      <c r="C65" s="16">
        <v>0</v>
      </c>
      <c r="D65" s="17"/>
      <c r="E65" s="14"/>
      <c r="F65" s="18"/>
      <c r="G65" s="19"/>
      <c r="H65" s="20"/>
      <c r="I65" s="21"/>
      <c r="J65" s="14"/>
      <c r="K65" s="14">
        <f t="shared" si="0"/>
        <v>0</v>
      </c>
      <c r="L65" s="16">
        <f t="shared" si="1"/>
        <v>0</v>
      </c>
      <c r="M65" s="22">
        <v>44682</v>
      </c>
      <c r="N65" s="23" t="s">
        <v>16</v>
      </c>
      <c r="O65" s="24"/>
      <c r="P65" s="25"/>
    </row>
    <row r="66" spans="1:16">
      <c r="A66" s="14">
        <v>62</v>
      </c>
      <c r="B66" s="15" t="s">
        <v>111</v>
      </c>
      <c r="C66" s="16">
        <v>217</v>
      </c>
      <c r="D66" s="17"/>
      <c r="E66" s="14"/>
      <c r="F66" s="18">
        <f>10</f>
        <v>10</v>
      </c>
      <c r="G66" s="19"/>
      <c r="H66" s="20"/>
      <c r="I66" s="21"/>
      <c r="J66" s="14"/>
      <c r="K66" s="14">
        <f t="shared" si="0"/>
        <v>10</v>
      </c>
      <c r="L66" s="16">
        <f t="shared" si="1"/>
        <v>207</v>
      </c>
      <c r="M66" s="22">
        <v>44958</v>
      </c>
      <c r="N66" s="23" t="s">
        <v>16</v>
      </c>
      <c r="O66" s="24" t="s">
        <v>17</v>
      </c>
      <c r="P66" s="23" t="s">
        <v>112</v>
      </c>
    </row>
    <row r="67" spans="1:16">
      <c r="A67" s="14">
        <v>63</v>
      </c>
      <c r="B67" s="15" t="s">
        <v>111</v>
      </c>
      <c r="C67" s="16">
        <v>0</v>
      </c>
      <c r="D67" s="17"/>
      <c r="E67" s="14"/>
      <c r="F67" s="18"/>
      <c r="G67" s="19"/>
      <c r="H67" s="20"/>
      <c r="I67" s="21"/>
      <c r="J67" s="14"/>
      <c r="K67" s="14">
        <f t="shared" si="0"/>
        <v>0</v>
      </c>
      <c r="L67" s="16">
        <f t="shared" si="1"/>
        <v>0</v>
      </c>
      <c r="M67" s="22">
        <v>44958</v>
      </c>
      <c r="N67" s="23" t="s">
        <v>26</v>
      </c>
      <c r="O67" s="24"/>
      <c r="P67" s="25"/>
    </row>
    <row r="68" spans="1:16">
      <c r="A68" s="14">
        <v>64</v>
      </c>
      <c r="B68" s="15" t="s">
        <v>113</v>
      </c>
      <c r="C68" s="16">
        <v>90</v>
      </c>
      <c r="D68" s="17"/>
      <c r="E68" s="14"/>
      <c r="F68" s="18"/>
      <c r="G68" s="19"/>
      <c r="H68" s="20"/>
      <c r="I68" s="21"/>
      <c r="J68" s="14"/>
      <c r="K68" s="14">
        <f t="shared" si="0"/>
        <v>0</v>
      </c>
      <c r="L68" s="16">
        <f t="shared" si="1"/>
        <v>90</v>
      </c>
      <c r="M68" s="22">
        <v>44986</v>
      </c>
      <c r="N68" s="23" t="s">
        <v>16</v>
      </c>
      <c r="O68" s="24" t="s">
        <v>17</v>
      </c>
      <c r="P68" s="23" t="s">
        <v>114</v>
      </c>
    </row>
    <row r="69" spans="1:16">
      <c r="A69" s="14">
        <v>65</v>
      </c>
      <c r="B69" s="15" t="s">
        <v>113</v>
      </c>
      <c r="C69" s="16">
        <v>0</v>
      </c>
      <c r="D69" s="17"/>
      <c r="E69" s="14"/>
      <c r="F69" s="18"/>
      <c r="G69" s="19"/>
      <c r="H69" s="20"/>
      <c r="I69" s="21"/>
      <c r="J69" s="14"/>
      <c r="K69" s="14">
        <f t="shared" ref="K69:K132" si="2">SUM(F69:J69)</f>
        <v>0</v>
      </c>
      <c r="L69" s="16">
        <f t="shared" ref="L69:L132" si="3">(C69+E69)-K69</f>
        <v>0</v>
      </c>
      <c r="M69" s="22">
        <v>44986</v>
      </c>
      <c r="N69" s="23" t="s">
        <v>26</v>
      </c>
      <c r="O69" s="24"/>
      <c r="P69" s="23" t="s">
        <v>114</v>
      </c>
    </row>
    <row r="70" spans="1:16" ht="26.25">
      <c r="A70" s="14">
        <v>66</v>
      </c>
      <c r="B70" s="15" t="s">
        <v>115</v>
      </c>
      <c r="C70" s="16">
        <v>17</v>
      </c>
      <c r="D70" s="17"/>
      <c r="E70" s="14"/>
      <c r="F70" s="18"/>
      <c r="G70" s="19"/>
      <c r="H70" s="20"/>
      <c r="I70" s="21"/>
      <c r="J70" s="14"/>
      <c r="K70" s="14">
        <f t="shared" si="2"/>
        <v>0</v>
      </c>
      <c r="L70" s="16">
        <f t="shared" si="3"/>
        <v>17</v>
      </c>
      <c r="M70" s="22">
        <v>44835</v>
      </c>
      <c r="N70" s="23" t="s">
        <v>16</v>
      </c>
      <c r="O70" s="24" t="s">
        <v>17</v>
      </c>
      <c r="P70" s="28" t="s">
        <v>116</v>
      </c>
    </row>
    <row r="71" spans="1:16">
      <c r="A71" s="14">
        <v>67</v>
      </c>
      <c r="B71" s="15" t="s">
        <v>117</v>
      </c>
      <c r="C71" s="16">
        <v>0</v>
      </c>
      <c r="D71" s="17"/>
      <c r="E71" s="14"/>
      <c r="F71" s="18"/>
      <c r="G71" s="19"/>
      <c r="H71" s="20"/>
      <c r="I71" s="21"/>
      <c r="J71" s="14"/>
      <c r="K71" s="14">
        <f t="shared" si="2"/>
        <v>0</v>
      </c>
      <c r="L71" s="16">
        <f t="shared" si="3"/>
        <v>0</v>
      </c>
      <c r="M71" s="22">
        <v>44440</v>
      </c>
      <c r="N71" s="23" t="s">
        <v>16</v>
      </c>
      <c r="O71" s="24"/>
      <c r="P71" s="28" t="s">
        <v>118</v>
      </c>
    </row>
    <row r="72" spans="1:16">
      <c r="A72" s="14">
        <v>68</v>
      </c>
      <c r="B72" s="15" t="s">
        <v>117</v>
      </c>
      <c r="C72" s="16">
        <v>185</v>
      </c>
      <c r="D72" s="17"/>
      <c r="E72" s="14"/>
      <c r="F72" s="18">
        <f>10</f>
        <v>10</v>
      </c>
      <c r="G72" s="19"/>
      <c r="H72" s="20"/>
      <c r="I72" s="21"/>
      <c r="J72" s="14"/>
      <c r="K72" s="14">
        <f t="shared" si="2"/>
        <v>10</v>
      </c>
      <c r="L72" s="16">
        <f t="shared" si="3"/>
        <v>175</v>
      </c>
      <c r="M72" s="22">
        <v>44682</v>
      </c>
      <c r="N72" s="23" t="s">
        <v>16</v>
      </c>
      <c r="O72" s="24" t="s">
        <v>17</v>
      </c>
      <c r="P72" s="28" t="s">
        <v>118</v>
      </c>
    </row>
    <row r="73" spans="1:16">
      <c r="A73" s="14">
        <v>69</v>
      </c>
      <c r="B73" s="15" t="s">
        <v>117</v>
      </c>
      <c r="C73" s="16">
        <v>0</v>
      </c>
      <c r="D73" s="17"/>
      <c r="E73" s="14"/>
      <c r="F73" s="18"/>
      <c r="G73" s="19"/>
      <c r="H73" s="20"/>
      <c r="I73" s="21"/>
      <c r="J73" s="14"/>
      <c r="K73" s="14">
        <f t="shared" si="2"/>
        <v>0</v>
      </c>
      <c r="L73" s="16">
        <f t="shared" si="3"/>
        <v>0</v>
      </c>
      <c r="M73" s="22">
        <v>44682</v>
      </c>
      <c r="N73" s="23" t="s">
        <v>26</v>
      </c>
      <c r="O73" s="24"/>
      <c r="P73" s="28" t="s">
        <v>118</v>
      </c>
    </row>
    <row r="74" spans="1:16">
      <c r="A74" s="14">
        <v>70</v>
      </c>
      <c r="B74" s="15" t="s">
        <v>119</v>
      </c>
      <c r="C74" s="16">
        <v>0</v>
      </c>
      <c r="D74" s="17"/>
      <c r="E74" s="14"/>
      <c r="F74" s="18"/>
      <c r="G74" s="19"/>
      <c r="H74" s="20"/>
      <c r="I74" s="21"/>
      <c r="J74" s="14"/>
      <c r="K74" s="14">
        <f t="shared" si="2"/>
        <v>0</v>
      </c>
      <c r="L74" s="16">
        <f t="shared" si="3"/>
        <v>0</v>
      </c>
      <c r="M74" s="22"/>
      <c r="N74" s="23" t="s">
        <v>16</v>
      </c>
      <c r="O74" s="24"/>
      <c r="P74" s="25"/>
    </row>
    <row r="75" spans="1:16">
      <c r="A75" s="14">
        <v>71</v>
      </c>
      <c r="B75" s="15" t="s">
        <v>120</v>
      </c>
      <c r="C75" s="16">
        <v>0</v>
      </c>
      <c r="D75" s="17"/>
      <c r="E75" s="14"/>
      <c r="F75" s="18"/>
      <c r="G75" s="19"/>
      <c r="H75" s="20"/>
      <c r="I75" s="21"/>
      <c r="J75" s="14"/>
      <c r="K75" s="14">
        <f t="shared" si="2"/>
        <v>0</v>
      </c>
      <c r="L75" s="16">
        <f t="shared" si="3"/>
        <v>0</v>
      </c>
      <c r="M75" s="22">
        <v>45444</v>
      </c>
      <c r="N75" s="23" t="s">
        <v>26</v>
      </c>
      <c r="O75" s="24"/>
      <c r="P75" s="28" t="s">
        <v>121</v>
      </c>
    </row>
    <row r="76" spans="1:16">
      <c r="A76" s="14">
        <v>72</v>
      </c>
      <c r="B76" s="29" t="s">
        <v>122</v>
      </c>
      <c r="C76" s="16">
        <v>145</v>
      </c>
      <c r="D76" s="17"/>
      <c r="E76" s="14"/>
      <c r="F76" s="18">
        <f>5+5</f>
        <v>10</v>
      </c>
      <c r="G76" s="19"/>
      <c r="H76" s="20"/>
      <c r="I76" s="21"/>
      <c r="J76" s="14"/>
      <c r="K76" s="14">
        <f t="shared" si="2"/>
        <v>10</v>
      </c>
      <c r="L76" s="16">
        <f t="shared" si="3"/>
        <v>135</v>
      </c>
      <c r="M76" s="22">
        <v>44986</v>
      </c>
      <c r="N76" s="23" t="s">
        <v>16</v>
      </c>
      <c r="O76" s="24" t="s">
        <v>17</v>
      </c>
      <c r="P76" s="23" t="s">
        <v>123</v>
      </c>
    </row>
    <row r="77" spans="1:16">
      <c r="A77" s="14">
        <v>73</v>
      </c>
      <c r="B77" s="15" t="s">
        <v>124</v>
      </c>
      <c r="C77" s="16">
        <v>0</v>
      </c>
      <c r="D77" s="17"/>
      <c r="E77" s="14"/>
      <c r="F77" s="18"/>
      <c r="G77" s="19"/>
      <c r="H77" s="20"/>
      <c r="I77" s="21"/>
      <c r="J77" s="14"/>
      <c r="K77" s="14">
        <f t="shared" si="2"/>
        <v>0</v>
      </c>
      <c r="L77" s="16">
        <f t="shared" si="3"/>
        <v>0</v>
      </c>
      <c r="M77" s="22"/>
      <c r="N77" s="23" t="s">
        <v>16</v>
      </c>
      <c r="O77" s="24"/>
      <c r="P77" s="25"/>
    </row>
    <row r="78" spans="1:16">
      <c r="A78" s="14">
        <v>74</v>
      </c>
      <c r="B78" s="15" t="s">
        <v>125</v>
      </c>
      <c r="C78" s="16">
        <v>5</v>
      </c>
      <c r="D78" s="17"/>
      <c r="E78" s="14"/>
      <c r="F78" s="18"/>
      <c r="G78" s="19"/>
      <c r="H78" s="20"/>
      <c r="I78" s="21"/>
      <c r="J78" s="14"/>
      <c r="K78" s="14">
        <f t="shared" si="2"/>
        <v>0</v>
      </c>
      <c r="L78" s="16">
        <f t="shared" si="3"/>
        <v>5</v>
      </c>
      <c r="M78" s="22">
        <v>44531</v>
      </c>
      <c r="N78" s="23" t="s">
        <v>16</v>
      </c>
      <c r="O78" s="24" t="s">
        <v>17</v>
      </c>
      <c r="P78" s="28" t="s">
        <v>126</v>
      </c>
    </row>
    <row r="79" spans="1:16">
      <c r="A79" s="14">
        <v>75</v>
      </c>
      <c r="B79" s="15" t="s">
        <v>127</v>
      </c>
      <c r="C79" s="16">
        <v>10</v>
      </c>
      <c r="D79" s="17"/>
      <c r="E79" s="14"/>
      <c r="F79" s="18"/>
      <c r="G79" s="19"/>
      <c r="H79" s="20"/>
      <c r="I79" s="21"/>
      <c r="J79" s="14"/>
      <c r="K79" s="14">
        <f t="shared" si="2"/>
        <v>0</v>
      </c>
      <c r="L79" s="16">
        <f t="shared" si="3"/>
        <v>10</v>
      </c>
      <c r="M79" s="22">
        <v>44501</v>
      </c>
      <c r="N79" s="23" t="s">
        <v>16</v>
      </c>
      <c r="O79" s="24" t="s">
        <v>45</v>
      </c>
      <c r="P79" s="23" t="s">
        <v>128</v>
      </c>
    </row>
    <row r="80" spans="1:16" ht="25.5">
      <c r="A80" s="14">
        <v>76</v>
      </c>
      <c r="B80" s="15" t="s">
        <v>129</v>
      </c>
      <c r="C80" s="16">
        <v>15</v>
      </c>
      <c r="D80" s="17"/>
      <c r="E80" s="14"/>
      <c r="F80" s="18"/>
      <c r="G80" s="19"/>
      <c r="H80" s="20"/>
      <c r="I80" s="21"/>
      <c r="J80" s="14"/>
      <c r="K80" s="14">
        <f t="shared" si="2"/>
        <v>0</v>
      </c>
      <c r="L80" s="16">
        <f t="shared" si="3"/>
        <v>15</v>
      </c>
      <c r="M80" s="22">
        <v>44713</v>
      </c>
      <c r="N80" s="23" t="s">
        <v>16</v>
      </c>
      <c r="O80" s="24" t="s">
        <v>17</v>
      </c>
      <c r="P80" s="28" t="s">
        <v>130</v>
      </c>
    </row>
    <row r="81" spans="1:16" ht="25.5">
      <c r="A81" s="14">
        <v>77</v>
      </c>
      <c r="B81" s="15" t="s">
        <v>129</v>
      </c>
      <c r="C81" s="16">
        <v>0</v>
      </c>
      <c r="D81" s="17"/>
      <c r="E81" s="14"/>
      <c r="F81" s="18"/>
      <c r="G81" s="19"/>
      <c r="H81" s="20"/>
      <c r="I81" s="21"/>
      <c r="J81" s="14"/>
      <c r="K81" s="14">
        <f t="shared" si="2"/>
        <v>0</v>
      </c>
      <c r="L81" s="16">
        <f t="shared" si="3"/>
        <v>0</v>
      </c>
      <c r="M81" s="22">
        <v>44713</v>
      </c>
      <c r="N81" s="23" t="s">
        <v>26</v>
      </c>
      <c r="O81" s="24"/>
      <c r="P81" s="28" t="s">
        <v>130</v>
      </c>
    </row>
    <row r="82" spans="1:16" ht="25.5">
      <c r="A82" s="14">
        <v>78</v>
      </c>
      <c r="B82" s="15" t="s">
        <v>131</v>
      </c>
      <c r="C82" s="16">
        <v>0</v>
      </c>
      <c r="D82" s="17"/>
      <c r="E82" s="14"/>
      <c r="F82" s="18"/>
      <c r="G82" s="19"/>
      <c r="H82" s="20"/>
      <c r="I82" s="21"/>
      <c r="J82" s="14"/>
      <c r="K82" s="14">
        <f t="shared" si="2"/>
        <v>0</v>
      </c>
      <c r="L82" s="16">
        <f t="shared" si="3"/>
        <v>0</v>
      </c>
      <c r="M82" s="22"/>
      <c r="N82" s="23" t="s">
        <v>16</v>
      </c>
      <c r="O82" s="24"/>
      <c r="P82" s="25"/>
    </row>
    <row r="83" spans="1:16">
      <c r="A83" s="14">
        <v>79</v>
      </c>
      <c r="B83" s="15" t="s">
        <v>132</v>
      </c>
      <c r="C83" s="16">
        <v>135</v>
      </c>
      <c r="D83" s="17"/>
      <c r="E83" s="14"/>
      <c r="F83" s="18"/>
      <c r="G83" s="19"/>
      <c r="H83" s="20"/>
      <c r="I83" s="21"/>
      <c r="J83" s="14"/>
      <c r="K83" s="14">
        <f t="shared" si="2"/>
        <v>0</v>
      </c>
      <c r="L83" s="16">
        <f t="shared" si="3"/>
        <v>135</v>
      </c>
      <c r="M83" s="22">
        <v>44713</v>
      </c>
      <c r="N83" s="23" t="s">
        <v>16</v>
      </c>
      <c r="O83" s="24" t="s">
        <v>17</v>
      </c>
      <c r="P83" s="23" t="s">
        <v>133</v>
      </c>
    </row>
    <row r="84" spans="1:16">
      <c r="A84" s="14">
        <v>80</v>
      </c>
      <c r="B84" s="15" t="s">
        <v>132</v>
      </c>
      <c r="C84" s="16">
        <v>30</v>
      </c>
      <c r="D84" s="17"/>
      <c r="E84" s="14"/>
      <c r="F84" s="18"/>
      <c r="G84" s="19"/>
      <c r="H84" s="20"/>
      <c r="I84" s="21"/>
      <c r="J84" s="14"/>
      <c r="K84" s="14">
        <f t="shared" si="2"/>
        <v>0</v>
      </c>
      <c r="L84" s="16">
        <f t="shared" si="3"/>
        <v>30</v>
      </c>
      <c r="M84" s="22">
        <v>44409</v>
      </c>
      <c r="N84" s="23" t="s">
        <v>16</v>
      </c>
      <c r="O84" s="24" t="s">
        <v>17</v>
      </c>
      <c r="P84" s="23" t="s">
        <v>133</v>
      </c>
    </row>
    <row r="85" spans="1:16">
      <c r="A85" s="14">
        <v>81</v>
      </c>
      <c r="B85" s="15" t="s">
        <v>134</v>
      </c>
      <c r="C85" s="16">
        <v>14</v>
      </c>
      <c r="D85" s="17"/>
      <c r="E85" s="14"/>
      <c r="F85" s="18"/>
      <c r="G85" s="19"/>
      <c r="H85" s="20"/>
      <c r="I85" s="21"/>
      <c r="J85" s="14"/>
      <c r="K85" s="14">
        <f t="shared" si="2"/>
        <v>0</v>
      </c>
      <c r="L85" s="16">
        <f t="shared" si="3"/>
        <v>14</v>
      </c>
      <c r="M85" s="22">
        <v>44228</v>
      </c>
      <c r="N85" s="23" t="s">
        <v>16</v>
      </c>
      <c r="O85" s="24" t="s">
        <v>17</v>
      </c>
      <c r="P85" s="23" t="s">
        <v>135</v>
      </c>
    </row>
    <row r="86" spans="1:16">
      <c r="A86" s="14">
        <v>82</v>
      </c>
      <c r="B86" s="15" t="s">
        <v>136</v>
      </c>
      <c r="C86" s="16">
        <v>0</v>
      </c>
      <c r="D86" s="17"/>
      <c r="E86" s="14"/>
      <c r="F86" s="18"/>
      <c r="G86" s="19"/>
      <c r="H86" s="20"/>
      <c r="I86" s="21"/>
      <c r="J86" s="14"/>
      <c r="K86" s="14">
        <f t="shared" si="2"/>
        <v>0</v>
      </c>
      <c r="L86" s="16">
        <f t="shared" si="3"/>
        <v>0</v>
      </c>
      <c r="M86" s="22">
        <v>45413</v>
      </c>
      <c r="N86" s="23" t="s">
        <v>16</v>
      </c>
      <c r="O86" s="24"/>
      <c r="P86" s="28" t="s">
        <v>137</v>
      </c>
    </row>
    <row r="87" spans="1:16">
      <c r="A87" s="14">
        <v>83</v>
      </c>
      <c r="B87" s="15" t="s">
        <v>138</v>
      </c>
      <c r="C87" s="16">
        <v>0</v>
      </c>
      <c r="D87" s="30"/>
      <c r="E87" s="14"/>
      <c r="F87" s="18"/>
      <c r="G87" s="19"/>
      <c r="H87" s="20"/>
      <c r="I87" s="21"/>
      <c r="J87" s="14"/>
      <c r="K87" s="14">
        <f t="shared" si="2"/>
        <v>0</v>
      </c>
      <c r="L87" s="16">
        <f t="shared" si="3"/>
        <v>0</v>
      </c>
      <c r="M87" s="22"/>
      <c r="N87" s="23" t="s">
        <v>16</v>
      </c>
      <c r="O87" s="24"/>
      <c r="P87" s="25"/>
    </row>
    <row r="88" spans="1:16">
      <c r="A88" s="14">
        <v>84</v>
      </c>
      <c r="B88" s="15" t="s">
        <v>139</v>
      </c>
      <c r="C88" s="16">
        <v>0</v>
      </c>
      <c r="D88" s="17"/>
      <c r="E88" s="14"/>
      <c r="F88" s="18"/>
      <c r="G88" s="19"/>
      <c r="H88" s="20"/>
      <c r="I88" s="21"/>
      <c r="J88" s="14"/>
      <c r="K88" s="14">
        <f t="shared" si="2"/>
        <v>0</v>
      </c>
      <c r="L88" s="16">
        <f t="shared" si="3"/>
        <v>0</v>
      </c>
      <c r="M88" s="22"/>
      <c r="N88" s="23" t="s">
        <v>16</v>
      </c>
      <c r="O88" s="24"/>
      <c r="P88" s="25"/>
    </row>
    <row r="89" spans="1:16">
      <c r="A89" s="14">
        <v>85</v>
      </c>
      <c r="B89" s="15" t="s">
        <v>140</v>
      </c>
      <c r="C89" s="16">
        <v>60</v>
      </c>
      <c r="D89" s="17"/>
      <c r="E89" s="14"/>
      <c r="F89" s="18"/>
      <c r="G89" s="19"/>
      <c r="H89" s="20"/>
      <c r="I89" s="21"/>
      <c r="J89" s="14"/>
      <c r="K89" s="14">
        <f t="shared" si="2"/>
        <v>0</v>
      </c>
      <c r="L89" s="16">
        <f t="shared" si="3"/>
        <v>60</v>
      </c>
      <c r="M89" s="22">
        <v>44682</v>
      </c>
      <c r="N89" s="23" t="s">
        <v>16</v>
      </c>
      <c r="O89" s="24" t="s">
        <v>45</v>
      </c>
      <c r="P89" s="23" t="s">
        <v>141</v>
      </c>
    </row>
    <row r="90" spans="1:16">
      <c r="A90" s="14">
        <v>86</v>
      </c>
      <c r="B90" s="15" t="s">
        <v>142</v>
      </c>
      <c r="C90" s="16">
        <v>0</v>
      </c>
      <c r="D90" s="17"/>
      <c r="E90" s="14"/>
      <c r="F90" s="18"/>
      <c r="G90" s="19"/>
      <c r="H90" s="20"/>
      <c r="I90" s="21"/>
      <c r="J90" s="14"/>
      <c r="K90" s="14">
        <f t="shared" si="2"/>
        <v>0</v>
      </c>
      <c r="L90" s="16">
        <f t="shared" si="3"/>
        <v>0</v>
      </c>
      <c r="M90" s="22">
        <v>45352</v>
      </c>
      <c r="N90" s="23" t="s">
        <v>16</v>
      </c>
      <c r="O90" s="24"/>
      <c r="P90" s="23" t="s">
        <v>143</v>
      </c>
    </row>
    <row r="91" spans="1:16">
      <c r="A91" s="14">
        <v>87</v>
      </c>
      <c r="B91" s="15" t="s">
        <v>144</v>
      </c>
      <c r="C91" s="16">
        <v>0</v>
      </c>
      <c r="D91" s="17"/>
      <c r="E91" s="14"/>
      <c r="F91" s="18"/>
      <c r="G91" s="19"/>
      <c r="H91" s="20"/>
      <c r="I91" s="21"/>
      <c r="J91" s="14"/>
      <c r="K91" s="14">
        <f t="shared" si="2"/>
        <v>0</v>
      </c>
      <c r="L91" s="16">
        <f t="shared" si="3"/>
        <v>0</v>
      </c>
      <c r="M91" s="22">
        <v>44228</v>
      </c>
      <c r="N91" s="23" t="s">
        <v>16</v>
      </c>
      <c r="O91" s="24"/>
      <c r="P91" s="28" t="s">
        <v>145</v>
      </c>
    </row>
    <row r="92" spans="1:16">
      <c r="A92" s="14">
        <v>88</v>
      </c>
      <c r="B92" s="15" t="s">
        <v>146</v>
      </c>
      <c r="C92" s="16">
        <v>9</v>
      </c>
      <c r="D92" s="17"/>
      <c r="E92" s="14"/>
      <c r="F92" s="18">
        <f>3+3</f>
        <v>6</v>
      </c>
      <c r="G92" s="19"/>
      <c r="H92" s="20"/>
      <c r="I92" s="21"/>
      <c r="J92" s="14"/>
      <c r="K92" s="14">
        <f t="shared" si="2"/>
        <v>6</v>
      </c>
      <c r="L92" s="16">
        <f t="shared" si="3"/>
        <v>3</v>
      </c>
      <c r="M92" s="22">
        <v>45474</v>
      </c>
      <c r="N92" s="23" t="s">
        <v>16</v>
      </c>
      <c r="O92" s="24" t="s">
        <v>45</v>
      </c>
      <c r="P92" s="23" t="s">
        <v>147</v>
      </c>
    </row>
    <row r="93" spans="1:16">
      <c r="A93" s="14">
        <v>89</v>
      </c>
      <c r="B93" s="15" t="s">
        <v>148</v>
      </c>
      <c r="C93" s="16">
        <v>0</v>
      </c>
      <c r="D93" s="17"/>
      <c r="E93" s="14"/>
      <c r="F93" s="18"/>
      <c r="G93" s="19"/>
      <c r="H93" s="20"/>
      <c r="I93" s="21"/>
      <c r="J93" s="14"/>
      <c r="K93" s="14">
        <f t="shared" si="2"/>
        <v>0</v>
      </c>
      <c r="L93" s="16">
        <f t="shared" si="3"/>
        <v>0</v>
      </c>
      <c r="M93" s="22"/>
      <c r="N93" s="23" t="s">
        <v>16</v>
      </c>
      <c r="O93" s="24"/>
      <c r="P93" s="25"/>
    </row>
    <row r="94" spans="1:16">
      <c r="A94" s="14">
        <v>90</v>
      </c>
      <c r="B94" s="15" t="s">
        <v>149</v>
      </c>
      <c r="C94" s="16">
        <v>0</v>
      </c>
      <c r="D94" s="17"/>
      <c r="E94" s="14"/>
      <c r="F94" s="18"/>
      <c r="G94" s="19"/>
      <c r="H94" s="20"/>
      <c r="I94" s="21"/>
      <c r="J94" s="14"/>
      <c r="K94" s="14">
        <f t="shared" si="2"/>
        <v>0</v>
      </c>
      <c r="L94" s="16">
        <f t="shared" si="3"/>
        <v>0</v>
      </c>
      <c r="M94" s="22">
        <v>44348</v>
      </c>
      <c r="N94" s="23" t="s">
        <v>16</v>
      </c>
      <c r="O94" s="24"/>
      <c r="P94" s="23" t="s">
        <v>150</v>
      </c>
    </row>
    <row r="95" spans="1:16">
      <c r="A95" s="14">
        <v>91</v>
      </c>
      <c r="B95" s="15" t="s">
        <v>151</v>
      </c>
      <c r="C95" s="16">
        <v>2</v>
      </c>
      <c r="D95" s="17"/>
      <c r="E95" s="14"/>
      <c r="F95" s="18"/>
      <c r="G95" s="19"/>
      <c r="H95" s="20"/>
      <c r="I95" s="21"/>
      <c r="J95" s="14"/>
      <c r="K95" s="14">
        <f t="shared" si="2"/>
        <v>0</v>
      </c>
      <c r="L95" s="16">
        <f t="shared" si="3"/>
        <v>2</v>
      </c>
      <c r="M95" s="22">
        <v>44743</v>
      </c>
      <c r="N95" s="23" t="s">
        <v>16</v>
      </c>
      <c r="O95" s="24" t="s">
        <v>45</v>
      </c>
      <c r="P95" s="28" t="s">
        <v>152</v>
      </c>
    </row>
    <row r="96" spans="1:16">
      <c r="A96" s="14">
        <v>92</v>
      </c>
      <c r="B96" s="15" t="s">
        <v>153</v>
      </c>
      <c r="C96" s="16">
        <v>0</v>
      </c>
      <c r="D96" s="17"/>
      <c r="E96" s="14"/>
      <c r="F96" s="18"/>
      <c r="G96" s="19"/>
      <c r="H96" s="20"/>
      <c r="I96" s="21"/>
      <c r="J96" s="14"/>
      <c r="K96" s="14">
        <f t="shared" si="2"/>
        <v>0</v>
      </c>
      <c r="L96" s="16">
        <f t="shared" si="3"/>
        <v>0</v>
      </c>
      <c r="M96" s="22">
        <v>44256</v>
      </c>
      <c r="N96" s="23" t="s">
        <v>16</v>
      </c>
      <c r="O96" s="24"/>
      <c r="P96" s="23" t="s">
        <v>154</v>
      </c>
    </row>
    <row r="97" spans="1:16">
      <c r="A97" s="14">
        <v>93</v>
      </c>
      <c r="B97" s="15" t="s">
        <v>155</v>
      </c>
      <c r="C97" s="16">
        <v>0</v>
      </c>
      <c r="D97" s="17"/>
      <c r="E97" s="14"/>
      <c r="F97" s="18"/>
      <c r="G97" s="19"/>
      <c r="H97" s="20"/>
      <c r="I97" s="21"/>
      <c r="J97" s="14"/>
      <c r="K97" s="14">
        <f t="shared" si="2"/>
        <v>0</v>
      </c>
      <c r="L97" s="16">
        <f t="shared" si="3"/>
        <v>0</v>
      </c>
      <c r="M97" s="22"/>
      <c r="N97" s="23" t="s">
        <v>16</v>
      </c>
      <c r="O97" s="24"/>
      <c r="P97" s="25"/>
    </row>
    <row r="98" spans="1:16">
      <c r="A98" s="14">
        <v>94</v>
      </c>
      <c r="B98" s="15" t="s">
        <v>156</v>
      </c>
      <c r="C98" s="16">
        <v>0</v>
      </c>
      <c r="D98" s="17"/>
      <c r="E98" s="14"/>
      <c r="F98" s="18"/>
      <c r="G98" s="19"/>
      <c r="H98" s="20"/>
      <c r="I98" s="21"/>
      <c r="J98" s="14"/>
      <c r="K98" s="14">
        <f t="shared" si="2"/>
        <v>0</v>
      </c>
      <c r="L98" s="16">
        <f t="shared" si="3"/>
        <v>0</v>
      </c>
      <c r="M98" s="22">
        <v>44197</v>
      </c>
      <c r="N98" s="23" t="s">
        <v>16</v>
      </c>
      <c r="O98" s="24"/>
      <c r="P98" s="23" t="s">
        <v>157</v>
      </c>
    </row>
    <row r="99" spans="1:16">
      <c r="A99" s="14">
        <v>95</v>
      </c>
      <c r="B99" s="15" t="s">
        <v>158</v>
      </c>
      <c r="C99" s="16">
        <v>5</v>
      </c>
      <c r="D99" s="17"/>
      <c r="E99" s="14"/>
      <c r="F99" s="18"/>
      <c r="G99" s="19"/>
      <c r="H99" s="20"/>
      <c r="I99" s="21"/>
      <c r="J99" s="14"/>
      <c r="K99" s="14">
        <f t="shared" si="2"/>
        <v>0</v>
      </c>
      <c r="L99" s="16">
        <f t="shared" si="3"/>
        <v>5</v>
      </c>
      <c r="M99" s="22">
        <v>44774</v>
      </c>
      <c r="N99" s="23" t="s">
        <v>16</v>
      </c>
      <c r="O99" s="24" t="s">
        <v>17</v>
      </c>
      <c r="P99" s="23" t="s">
        <v>159</v>
      </c>
    </row>
    <row r="100" spans="1:16">
      <c r="A100" s="14">
        <v>96</v>
      </c>
      <c r="B100" s="15" t="s">
        <v>160</v>
      </c>
      <c r="C100" s="16">
        <v>123</v>
      </c>
      <c r="D100" s="17"/>
      <c r="E100" s="14"/>
      <c r="F100" s="18"/>
      <c r="G100" s="19"/>
      <c r="H100" s="20"/>
      <c r="I100" s="21"/>
      <c r="J100" s="14"/>
      <c r="K100" s="14">
        <f t="shared" si="2"/>
        <v>0</v>
      </c>
      <c r="L100" s="16">
        <f t="shared" si="3"/>
        <v>123</v>
      </c>
      <c r="M100" s="22">
        <v>44805</v>
      </c>
      <c r="N100" s="23" t="s">
        <v>16</v>
      </c>
      <c r="O100" s="24" t="s">
        <v>17</v>
      </c>
      <c r="P100" s="28" t="s">
        <v>161</v>
      </c>
    </row>
    <row r="101" spans="1:16">
      <c r="A101" s="14">
        <v>97</v>
      </c>
      <c r="B101" s="15" t="s">
        <v>162</v>
      </c>
      <c r="C101" s="16">
        <v>97</v>
      </c>
      <c r="D101" s="17"/>
      <c r="E101" s="14"/>
      <c r="F101" s="18"/>
      <c r="G101" s="19"/>
      <c r="H101" s="20"/>
      <c r="I101" s="21"/>
      <c r="J101" s="14"/>
      <c r="K101" s="14">
        <f t="shared" si="2"/>
        <v>0</v>
      </c>
      <c r="L101" s="16">
        <f t="shared" si="3"/>
        <v>97</v>
      </c>
      <c r="M101" s="22">
        <v>44742</v>
      </c>
      <c r="N101" s="23" t="s">
        <v>16</v>
      </c>
      <c r="O101" s="24" t="s">
        <v>17</v>
      </c>
      <c r="P101" s="28" t="s">
        <v>163</v>
      </c>
    </row>
    <row r="102" spans="1:16">
      <c r="A102" s="14">
        <v>98</v>
      </c>
      <c r="B102" s="15" t="s">
        <v>164</v>
      </c>
      <c r="C102" s="16">
        <v>15</v>
      </c>
      <c r="D102" s="17"/>
      <c r="E102" s="14"/>
      <c r="F102" s="18">
        <f>10</f>
        <v>10</v>
      </c>
      <c r="G102" s="19"/>
      <c r="H102" s="20"/>
      <c r="I102" s="21"/>
      <c r="J102" s="14"/>
      <c r="K102" s="14">
        <f t="shared" si="2"/>
        <v>10</v>
      </c>
      <c r="L102" s="16">
        <f t="shared" si="3"/>
        <v>5</v>
      </c>
      <c r="M102" s="22">
        <v>44927</v>
      </c>
      <c r="N102" s="23" t="s">
        <v>26</v>
      </c>
      <c r="O102" s="24" t="s">
        <v>17</v>
      </c>
      <c r="P102" s="28" t="s">
        <v>165</v>
      </c>
    </row>
    <row r="103" spans="1:16">
      <c r="A103" s="14">
        <v>99</v>
      </c>
      <c r="B103" s="15" t="s">
        <v>166</v>
      </c>
      <c r="C103" s="16">
        <v>0</v>
      </c>
      <c r="D103" s="17"/>
      <c r="E103" s="14"/>
      <c r="F103" s="18"/>
      <c r="G103" s="19"/>
      <c r="H103" s="20"/>
      <c r="I103" s="21"/>
      <c r="J103" s="14"/>
      <c r="K103" s="14">
        <f t="shared" si="2"/>
        <v>0</v>
      </c>
      <c r="L103" s="16">
        <f t="shared" si="3"/>
        <v>0</v>
      </c>
      <c r="M103" s="22">
        <v>44440</v>
      </c>
      <c r="N103" s="23" t="s">
        <v>16</v>
      </c>
      <c r="O103" s="24"/>
      <c r="P103" s="28" t="s">
        <v>165</v>
      </c>
    </row>
    <row r="104" spans="1:16">
      <c r="A104" s="14">
        <v>100</v>
      </c>
      <c r="B104" s="15" t="s">
        <v>167</v>
      </c>
      <c r="C104" s="16">
        <v>195</v>
      </c>
      <c r="D104" s="17"/>
      <c r="E104" s="14"/>
      <c r="F104" s="18">
        <f>50</f>
        <v>50</v>
      </c>
      <c r="G104" s="19"/>
      <c r="H104" s="20"/>
      <c r="I104" s="21"/>
      <c r="J104" s="14"/>
      <c r="K104" s="14">
        <f t="shared" si="2"/>
        <v>50</v>
      </c>
      <c r="L104" s="16">
        <f t="shared" si="3"/>
        <v>145</v>
      </c>
      <c r="M104" s="22">
        <v>44256</v>
      </c>
      <c r="N104" s="23" t="s">
        <v>16</v>
      </c>
      <c r="O104" s="24" t="s">
        <v>17</v>
      </c>
      <c r="P104" s="23" t="s">
        <v>168</v>
      </c>
    </row>
    <row r="105" spans="1:16">
      <c r="A105" s="14">
        <v>101</v>
      </c>
      <c r="B105" s="15" t="s">
        <v>169</v>
      </c>
      <c r="C105" s="16">
        <v>0</v>
      </c>
      <c r="D105" s="17"/>
      <c r="E105" s="14"/>
      <c r="F105" s="18"/>
      <c r="G105" s="19"/>
      <c r="H105" s="20"/>
      <c r="I105" s="21"/>
      <c r="J105" s="14"/>
      <c r="K105" s="14">
        <f t="shared" si="2"/>
        <v>0</v>
      </c>
      <c r="L105" s="16">
        <f t="shared" si="3"/>
        <v>0</v>
      </c>
      <c r="M105" s="22">
        <v>44197</v>
      </c>
      <c r="N105" s="23" t="s">
        <v>16</v>
      </c>
      <c r="O105" s="24"/>
      <c r="P105" s="23" t="s">
        <v>170</v>
      </c>
    </row>
    <row r="106" spans="1:16">
      <c r="A106" s="14">
        <v>102</v>
      </c>
      <c r="B106" s="15" t="s">
        <v>171</v>
      </c>
      <c r="C106" s="16">
        <v>0</v>
      </c>
      <c r="D106" s="17"/>
      <c r="E106" s="14"/>
      <c r="F106" s="18"/>
      <c r="G106" s="19"/>
      <c r="H106" s="20"/>
      <c r="I106" s="21"/>
      <c r="J106" s="14"/>
      <c r="K106" s="14">
        <f t="shared" si="2"/>
        <v>0</v>
      </c>
      <c r="L106" s="16">
        <f t="shared" si="3"/>
        <v>0</v>
      </c>
      <c r="M106" s="22"/>
      <c r="N106" s="23" t="s">
        <v>16</v>
      </c>
      <c r="O106" s="24"/>
      <c r="P106" s="25"/>
    </row>
    <row r="107" spans="1:16">
      <c r="A107" s="14">
        <v>103</v>
      </c>
      <c r="B107" s="15" t="s">
        <v>172</v>
      </c>
      <c r="C107" s="16">
        <v>35</v>
      </c>
      <c r="D107" s="17"/>
      <c r="E107" s="14"/>
      <c r="F107" s="18"/>
      <c r="G107" s="19"/>
      <c r="H107" s="20"/>
      <c r="I107" s="21"/>
      <c r="J107" s="14"/>
      <c r="K107" s="14">
        <f t="shared" si="2"/>
        <v>0</v>
      </c>
      <c r="L107" s="16">
        <f t="shared" si="3"/>
        <v>35</v>
      </c>
      <c r="M107" s="22">
        <v>44287</v>
      </c>
      <c r="N107" s="23" t="s">
        <v>26</v>
      </c>
      <c r="O107" s="24" t="s">
        <v>17</v>
      </c>
      <c r="P107" s="23" t="s">
        <v>173</v>
      </c>
    </row>
    <row r="108" spans="1:16">
      <c r="A108" s="14">
        <v>104</v>
      </c>
      <c r="B108" s="15" t="s">
        <v>172</v>
      </c>
      <c r="C108" s="16">
        <v>85</v>
      </c>
      <c r="D108" s="17"/>
      <c r="E108" s="14"/>
      <c r="F108" s="18"/>
      <c r="G108" s="19"/>
      <c r="H108" s="20"/>
      <c r="I108" s="21"/>
      <c r="J108" s="14"/>
      <c r="K108" s="14">
        <f t="shared" si="2"/>
        <v>0</v>
      </c>
      <c r="L108" s="16">
        <f t="shared" si="3"/>
        <v>85</v>
      </c>
      <c r="M108" s="22">
        <v>44805</v>
      </c>
      <c r="N108" s="23" t="s">
        <v>26</v>
      </c>
      <c r="O108" s="24" t="s">
        <v>17</v>
      </c>
      <c r="P108" s="23" t="s">
        <v>173</v>
      </c>
    </row>
    <row r="109" spans="1:16">
      <c r="A109" s="14">
        <v>105</v>
      </c>
      <c r="B109" s="15" t="s">
        <v>174</v>
      </c>
      <c r="C109" s="16">
        <v>0</v>
      </c>
      <c r="D109" s="17"/>
      <c r="E109" s="14"/>
      <c r="F109" s="18"/>
      <c r="G109" s="19"/>
      <c r="H109" s="20"/>
      <c r="I109" s="21"/>
      <c r="J109" s="14"/>
      <c r="K109" s="14">
        <f t="shared" si="2"/>
        <v>0</v>
      </c>
      <c r="L109" s="16">
        <f t="shared" si="3"/>
        <v>0</v>
      </c>
      <c r="M109" s="22"/>
      <c r="N109" s="23" t="s">
        <v>16</v>
      </c>
      <c r="O109" s="24"/>
      <c r="P109" s="25"/>
    </row>
    <row r="110" spans="1:16">
      <c r="A110" s="14">
        <v>106</v>
      </c>
      <c r="B110" s="15" t="s">
        <v>175</v>
      </c>
      <c r="C110" s="16">
        <v>229</v>
      </c>
      <c r="D110" s="17"/>
      <c r="E110" s="14"/>
      <c r="F110" s="18">
        <f>10</f>
        <v>10</v>
      </c>
      <c r="G110" s="19"/>
      <c r="H110" s="20"/>
      <c r="I110" s="21"/>
      <c r="J110" s="14"/>
      <c r="K110" s="14">
        <f t="shared" si="2"/>
        <v>10</v>
      </c>
      <c r="L110" s="16">
        <f t="shared" si="3"/>
        <v>219</v>
      </c>
      <c r="M110" s="22">
        <v>44317</v>
      </c>
      <c r="N110" s="23" t="s">
        <v>16</v>
      </c>
      <c r="O110" s="24" t="s">
        <v>17</v>
      </c>
      <c r="P110" s="23" t="s">
        <v>176</v>
      </c>
    </row>
    <row r="111" spans="1:16">
      <c r="A111" s="14">
        <v>107</v>
      </c>
      <c r="B111" s="15" t="s">
        <v>177</v>
      </c>
      <c r="C111" s="16">
        <v>0</v>
      </c>
      <c r="D111" s="17"/>
      <c r="E111" s="14"/>
      <c r="F111" s="18"/>
      <c r="G111" s="19"/>
      <c r="H111" s="20"/>
      <c r="I111" s="21"/>
      <c r="J111" s="14"/>
      <c r="K111" s="14">
        <f t="shared" si="2"/>
        <v>0</v>
      </c>
      <c r="L111" s="16">
        <f t="shared" si="3"/>
        <v>0</v>
      </c>
      <c r="M111" s="22"/>
      <c r="N111" s="23" t="s">
        <v>16</v>
      </c>
      <c r="O111" s="24"/>
      <c r="P111" s="25"/>
    </row>
    <row r="112" spans="1:16">
      <c r="A112" s="14">
        <v>108</v>
      </c>
      <c r="B112" s="15" t="s">
        <v>178</v>
      </c>
      <c r="C112" s="16">
        <v>40</v>
      </c>
      <c r="D112" s="17"/>
      <c r="E112" s="14"/>
      <c r="F112" s="18">
        <f>5+12</f>
        <v>17</v>
      </c>
      <c r="G112" s="19"/>
      <c r="H112" s="20"/>
      <c r="I112" s="21"/>
      <c r="J112" s="14"/>
      <c r="K112" s="14">
        <f t="shared" si="2"/>
        <v>17</v>
      </c>
      <c r="L112" s="16">
        <f t="shared" si="3"/>
        <v>23</v>
      </c>
      <c r="M112" s="22">
        <v>44378</v>
      </c>
      <c r="N112" s="23" t="s">
        <v>16</v>
      </c>
      <c r="O112" s="24" t="s">
        <v>17</v>
      </c>
      <c r="P112" s="23" t="s">
        <v>179</v>
      </c>
    </row>
    <row r="113" spans="1:16">
      <c r="A113" s="14">
        <v>109</v>
      </c>
      <c r="B113" s="15" t="s">
        <v>180</v>
      </c>
      <c r="C113" s="16">
        <v>70</v>
      </c>
      <c r="D113" s="17"/>
      <c r="E113" s="14"/>
      <c r="F113" s="18"/>
      <c r="G113" s="19"/>
      <c r="H113" s="20"/>
      <c r="I113" s="21"/>
      <c r="J113" s="14"/>
      <c r="K113" s="14">
        <f t="shared" si="2"/>
        <v>0</v>
      </c>
      <c r="L113" s="16">
        <f t="shared" si="3"/>
        <v>70</v>
      </c>
      <c r="M113" s="22">
        <v>45200</v>
      </c>
      <c r="N113" s="23" t="s">
        <v>16</v>
      </c>
      <c r="O113" s="24" t="s">
        <v>17</v>
      </c>
      <c r="P113" s="23" t="s">
        <v>181</v>
      </c>
    </row>
    <row r="114" spans="1:16">
      <c r="A114" s="14">
        <v>110</v>
      </c>
      <c r="B114" s="15" t="s">
        <v>182</v>
      </c>
      <c r="C114" s="16">
        <v>0</v>
      </c>
      <c r="D114" s="17"/>
      <c r="E114" s="14"/>
      <c r="F114" s="18"/>
      <c r="G114" s="19"/>
      <c r="H114" s="20"/>
      <c r="I114" s="21"/>
      <c r="J114" s="14"/>
      <c r="K114" s="14">
        <f t="shared" si="2"/>
        <v>0</v>
      </c>
      <c r="L114" s="16">
        <f t="shared" si="3"/>
        <v>0</v>
      </c>
      <c r="M114" s="22">
        <v>44409</v>
      </c>
      <c r="N114" s="23" t="s">
        <v>16</v>
      </c>
      <c r="O114" s="24"/>
      <c r="P114" s="23" t="s">
        <v>183</v>
      </c>
    </row>
    <row r="115" spans="1:16">
      <c r="A115" s="14">
        <v>111</v>
      </c>
      <c r="B115" s="15" t="s">
        <v>184</v>
      </c>
      <c r="C115" s="16">
        <v>10</v>
      </c>
      <c r="D115" s="17"/>
      <c r="E115" s="14"/>
      <c r="F115" s="18"/>
      <c r="G115" s="19"/>
      <c r="H115" s="20"/>
      <c r="I115" s="21"/>
      <c r="J115" s="14"/>
      <c r="K115" s="14">
        <f t="shared" si="2"/>
        <v>0</v>
      </c>
      <c r="L115" s="16">
        <f t="shared" si="3"/>
        <v>10</v>
      </c>
      <c r="M115" s="22">
        <v>44986</v>
      </c>
      <c r="N115" s="23" t="s">
        <v>16</v>
      </c>
      <c r="O115" s="24" t="s">
        <v>17</v>
      </c>
      <c r="P115" s="23" t="s">
        <v>185</v>
      </c>
    </row>
    <row r="116" spans="1:16">
      <c r="A116" s="14">
        <v>112</v>
      </c>
      <c r="B116" s="15" t="s">
        <v>186</v>
      </c>
      <c r="C116" s="16">
        <v>7</v>
      </c>
      <c r="D116" s="17"/>
      <c r="E116" s="14"/>
      <c r="F116" s="18">
        <f>3</f>
        <v>3</v>
      </c>
      <c r="G116" s="19"/>
      <c r="H116" s="20"/>
      <c r="I116" s="21"/>
      <c r="J116" s="14"/>
      <c r="K116" s="14">
        <f t="shared" si="2"/>
        <v>3</v>
      </c>
      <c r="L116" s="16">
        <f t="shared" si="3"/>
        <v>4</v>
      </c>
      <c r="M116" s="22">
        <v>44743</v>
      </c>
      <c r="N116" s="23" t="s">
        <v>16</v>
      </c>
      <c r="O116" s="24" t="s">
        <v>17</v>
      </c>
      <c r="P116" s="23" t="s">
        <v>187</v>
      </c>
    </row>
    <row r="117" spans="1:16">
      <c r="A117" s="14">
        <v>113</v>
      </c>
      <c r="B117" s="15" t="s">
        <v>188</v>
      </c>
      <c r="C117" s="16">
        <v>0</v>
      </c>
      <c r="D117" s="17"/>
      <c r="E117" s="14"/>
      <c r="F117" s="18"/>
      <c r="G117" s="19"/>
      <c r="H117" s="20"/>
      <c r="I117" s="21"/>
      <c r="J117" s="14"/>
      <c r="K117" s="14">
        <f t="shared" si="2"/>
        <v>0</v>
      </c>
      <c r="L117" s="16">
        <f t="shared" si="3"/>
        <v>0</v>
      </c>
      <c r="M117" s="22"/>
      <c r="N117" s="23" t="s">
        <v>16</v>
      </c>
      <c r="O117" s="24"/>
      <c r="P117" s="25"/>
    </row>
    <row r="118" spans="1:16">
      <c r="A118" s="14">
        <v>114</v>
      </c>
      <c r="B118" s="15" t="s">
        <v>189</v>
      </c>
      <c r="C118" s="16">
        <v>6</v>
      </c>
      <c r="D118" s="17"/>
      <c r="E118" s="14"/>
      <c r="F118" s="18"/>
      <c r="G118" s="19"/>
      <c r="H118" s="20"/>
      <c r="I118" s="21"/>
      <c r="J118" s="14"/>
      <c r="K118" s="14">
        <f t="shared" si="2"/>
        <v>0</v>
      </c>
      <c r="L118" s="16">
        <f t="shared" si="3"/>
        <v>6</v>
      </c>
      <c r="M118" s="22">
        <v>44348</v>
      </c>
      <c r="N118" s="23" t="s">
        <v>16</v>
      </c>
      <c r="O118" s="24" t="s">
        <v>45</v>
      </c>
      <c r="P118" s="28" t="s">
        <v>190</v>
      </c>
    </row>
    <row r="119" spans="1:16">
      <c r="A119" s="14">
        <v>115</v>
      </c>
      <c r="B119" s="15" t="s">
        <v>191</v>
      </c>
      <c r="C119" s="16">
        <v>0</v>
      </c>
      <c r="D119" s="17"/>
      <c r="E119" s="14"/>
      <c r="F119" s="18"/>
      <c r="G119" s="19"/>
      <c r="H119" s="20"/>
      <c r="I119" s="21"/>
      <c r="J119" s="14"/>
      <c r="K119" s="14">
        <f t="shared" si="2"/>
        <v>0</v>
      </c>
      <c r="L119" s="16">
        <f t="shared" si="3"/>
        <v>0</v>
      </c>
      <c r="M119" s="22"/>
      <c r="N119" s="23" t="s">
        <v>16</v>
      </c>
      <c r="O119" s="24"/>
      <c r="P119" s="25"/>
    </row>
    <row r="120" spans="1:16">
      <c r="A120" s="14">
        <v>116</v>
      </c>
      <c r="B120" s="15" t="s">
        <v>192</v>
      </c>
      <c r="C120" s="16">
        <v>145</v>
      </c>
      <c r="D120" s="17"/>
      <c r="E120" s="14"/>
      <c r="F120" s="18">
        <f>5</f>
        <v>5</v>
      </c>
      <c r="G120" s="19"/>
      <c r="H120" s="20"/>
      <c r="I120" s="21"/>
      <c r="J120" s="14"/>
      <c r="K120" s="14">
        <f t="shared" si="2"/>
        <v>5</v>
      </c>
      <c r="L120" s="16">
        <f t="shared" si="3"/>
        <v>140</v>
      </c>
      <c r="M120" s="22">
        <v>45047</v>
      </c>
      <c r="N120" s="23" t="s">
        <v>16</v>
      </c>
      <c r="O120" s="24" t="s">
        <v>17</v>
      </c>
      <c r="P120" s="28" t="s">
        <v>193</v>
      </c>
    </row>
    <row r="121" spans="1:16">
      <c r="A121" s="14">
        <v>117</v>
      </c>
      <c r="B121" s="15" t="s">
        <v>192</v>
      </c>
      <c r="C121" s="16">
        <v>0</v>
      </c>
      <c r="D121" s="17"/>
      <c r="E121" s="14"/>
      <c r="F121" s="18"/>
      <c r="G121" s="19"/>
      <c r="H121" s="20"/>
      <c r="I121" s="21"/>
      <c r="J121" s="14"/>
      <c r="K121" s="14">
        <f t="shared" si="2"/>
        <v>0</v>
      </c>
      <c r="L121" s="16">
        <f t="shared" si="3"/>
        <v>0</v>
      </c>
      <c r="M121" s="22">
        <v>45047</v>
      </c>
      <c r="N121" s="23" t="s">
        <v>26</v>
      </c>
      <c r="O121" s="24"/>
      <c r="P121" s="28" t="s">
        <v>193</v>
      </c>
    </row>
    <row r="122" spans="1:16">
      <c r="A122" s="14">
        <v>118</v>
      </c>
      <c r="B122" s="15" t="s">
        <v>194</v>
      </c>
      <c r="C122" s="16">
        <v>10</v>
      </c>
      <c r="D122" s="17"/>
      <c r="E122" s="14"/>
      <c r="F122" s="18"/>
      <c r="G122" s="19"/>
      <c r="H122" s="20"/>
      <c r="I122" s="21"/>
      <c r="J122" s="14"/>
      <c r="K122" s="14">
        <f t="shared" si="2"/>
        <v>0</v>
      </c>
      <c r="L122" s="16">
        <f t="shared" si="3"/>
        <v>10</v>
      </c>
      <c r="M122" s="22">
        <v>45658</v>
      </c>
      <c r="N122" s="23" t="s">
        <v>16</v>
      </c>
      <c r="O122" s="24" t="s">
        <v>45</v>
      </c>
      <c r="P122" s="28" t="s">
        <v>195</v>
      </c>
    </row>
    <row r="123" spans="1:16">
      <c r="A123" s="14">
        <v>119</v>
      </c>
      <c r="B123" s="15" t="s">
        <v>196</v>
      </c>
      <c r="C123" s="16">
        <v>56</v>
      </c>
      <c r="D123" s="17"/>
      <c r="E123" s="14"/>
      <c r="F123" s="18"/>
      <c r="G123" s="19"/>
      <c r="H123" s="20"/>
      <c r="I123" s="21"/>
      <c r="J123" s="14"/>
      <c r="K123" s="14">
        <f t="shared" si="2"/>
        <v>0</v>
      </c>
      <c r="L123" s="16">
        <f t="shared" si="3"/>
        <v>56</v>
      </c>
      <c r="M123" s="22">
        <v>44593</v>
      </c>
      <c r="N123" s="23" t="s">
        <v>16</v>
      </c>
      <c r="O123" s="24" t="s">
        <v>17</v>
      </c>
      <c r="P123" s="28" t="s">
        <v>197</v>
      </c>
    </row>
    <row r="124" spans="1:16">
      <c r="A124" s="14">
        <v>120</v>
      </c>
      <c r="B124" s="15" t="s">
        <v>198</v>
      </c>
      <c r="C124" s="16">
        <v>0</v>
      </c>
      <c r="D124" s="17"/>
      <c r="E124" s="14"/>
      <c r="F124" s="18"/>
      <c r="G124" s="19"/>
      <c r="H124" s="20"/>
      <c r="I124" s="21"/>
      <c r="J124" s="14"/>
      <c r="K124" s="14">
        <f t="shared" si="2"/>
        <v>0</v>
      </c>
      <c r="L124" s="16">
        <f t="shared" si="3"/>
        <v>0</v>
      </c>
      <c r="M124" s="22"/>
      <c r="N124" s="23" t="s">
        <v>16</v>
      </c>
      <c r="O124" s="24"/>
      <c r="P124" s="25"/>
    </row>
    <row r="125" spans="1:16">
      <c r="A125" s="14">
        <v>121</v>
      </c>
      <c r="B125" s="15" t="s">
        <v>199</v>
      </c>
      <c r="C125" s="16">
        <v>0</v>
      </c>
      <c r="D125" s="17"/>
      <c r="E125" s="14"/>
      <c r="F125" s="18"/>
      <c r="G125" s="19"/>
      <c r="H125" s="20"/>
      <c r="I125" s="21"/>
      <c r="J125" s="14"/>
      <c r="K125" s="14">
        <f t="shared" si="2"/>
        <v>0</v>
      </c>
      <c r="L125" s="16">
        <f t="shared" si="3"/>
        <v>0</v>
      </c>
      <c r="M125" s="22"/>
      <c r="N125" s="23" t="s">
        <v>16</v>
      </c>
      <c r="O125" s="24"/>
      <c r="P125" s="25"/>
    </row>
    <row r="126" spans="1:16">
      <c r="A126" s="14">
        <v>122</v>
      </c>
      <c r="B126" s="15" t="s">
        <v>200</v>
      </c>
      <c r="C126" s="16">
        <v>300</v>
      </c>
      <c r="D126" s="17"/>
      <c r="E126" s="14"/>
      <c r="F126" s="18">
        <f>10+7+10</f>
        <v>27</v>
      </c>
      <c r="G126" s="19"/>
      <c r="H126" s="20"/>
      <c r="I126" s="21"/>
      <c r="J126" s="14"/>
      <c r="K126" s="14">
        <f t="shared" si="2"/>
        <v>27</v>
      </c>
      <c r="L126" s="16">
        <f t="shared" si="3"/>
        <v>273</v>
      </c>
      <c r="M126" s="22">
        <v>45658</v>
      </c>
      <c r="N126" s="23" t="s">
        <v>26</v>
      </c>
      <c r="O126" s="24" t="s">
        <v>17</v>
      </c>
      <c r="P126" s="23" t="s">
        <v>201</v>
      </c>
    </row>
    <row r="127" spans="1:16">
      <c r="A127" s="14">
        <v>123</v>
      </c>
      <c r="B127" s="15" t="s">
        <v>202</v>
      </c>
      <c r="C127" s="16">
        <v>0</v>
      </c>
      <c r="D127" s="17"/>
      <c r="E127" s="14"/>
      <c r="F127" s="18"/>
      <c r="G127" s="19"/>
      <c r="H127" s="20"/>
      <c r="I127" s="21"/>
      <c r="J127" s="14"/>
      <c r="K127" s="14">
        <f t="shared" si="2"/>
        <v>0</v>
      </c>
      <c r="L127" s="16">
        <f t="shared" si="3"/>
        <v>0</v>
      </c>
      <c r="M127" s="22"/>
      <c r="N127" s="23" t="s">
        <v>16</v>
      </c>
      <c r="O127" s="24"/>
      <c r="P127" s="25"/>
    </row>
    <row r="128" spans="1:16">
      <c r="A128" s="14">
        <v>124</v>
      </c>
      <c r="B128" s="15" t="s">
        <v>203</v>
      </c>
      <c r="C128" s="16">
        <v>0</v>
      </c>
      <c r="D128" s="17"/>
      <c r="E128" s="14"/>
      <c r="F128" s="18"/>
      <c r="G128" s="19"/>
      <c r="H128" s="20"/>
      <c r="I128" s="21"/>
      <c r="J128" s="14"/>
      <c r="K128" s="14">
        <f t="shared" si="2"/>
        <v>0</v>
      </c>
      <c r="L128" s="16">
        <f t="shared" si="3"/>
        <v>0</v>
      </c>
      <c r="M128" s="22">
        <v>44287</v>
      </c>
      <c r="N128" s="23" t="s">
        <v>16</v>
      </c>
      <c r="O128" s="24"/>
      <c r="P128" s="23" t="s">
        <v>204</v>
      </c>
    </row>
    <row r="129" spans="1:16">
      <c r="A129" s="14">
        <v>125</v>
      </c>
      <c r="B129" s="15" t="s">
        <v>205</v>
      </c>
      <c r="C129" s="16">
        <v>0</v>
      </c>
      <c r="D129" s="17"/>
      <c r="E129" s="14"/>
      <c r="F129" s="18"/>
      <c r="G129" s="19"/>
      <c r="H129" s="20"/>
      <c r="I129" s="21"/>
      <c r="J129" s="14"/>
      <c r="K129" s="14">
        <f t="shared" si="2"/>
        <v>0</v>
      </c>
      <c r="L129" s="16">
        <f t="shared" si="3"/>
        <v>0</v>
      </c>
      <c r="M129" s="22"/>
      <c r="N129" s="23" t="s">
        <v>16</v>
      </c>
      <c r="O129" s="24"/>
      <c r="P129" s="25"/>
    </row>
    <row r="130" spans="1:16">
      <c r="A130" s="14">
        <v>126</v>
      </c>
      <c r="B130" s="15" t="s">
        <v>206</v>
      </c>
      <c r="C130" s="16">
        <v>0</v>
      </c>
      <c r="D130" s="17"/>
      <c r="E130" s="14"/>
      <c r="F130" s="18"/>
      <c r="G130" s="19"/>
      <c r="H130" s="20"/>
      <c r="I130" s="21"/>
      <c r="J130" s="14"/>
      <c r="K130" s="14">
        <f t="shared" si="2"/>
        <v>0</v>
      </c>
      <c r="L130" s="16">
        <f t="shared" si="3"/>
        <v>0</v>
      </c>
      <c r="M130" s="22"/>
      <c r="N130" s="23" t="s">
        <v>16</v>
      </c>
      <c r="O130" s="24"/>
      <c r="P130" s="25"/>
    </row>
    <row r="131" spans="1:16">
      <c r="A131" s="14">
        <v>127</v>
      </c>
      <c r="B131" s="15" t="s">
        <v>207</v>
      </c>
      <c r="C131" s="16">
        <v>0</v>
      </c>
      <c r="D131" s="17"/>
      <c r="E131" s="14"/>
      <c r="F131" s="18"/>
      <c r="G131" s="19"/>
      <c r="H131" s="20"/>
      <c r="I131" s="21"/>
      <c r="J131" s="14"/>
      <c r="K131" s="14">
        <f t="shared" si="2"/>
        <v>0</v>
      </c>
      <c r="L131" s="16">
        <f t="shared" si="3"/>
        <v>0</v>
      </c>
      <c r="M131" s="22"/>
      <c r="N131" s="23" t="s">
        <v>16</v>
      </c>
      <c r="O131" s="24"/>
      <c r="P131" s="25"/>
    </row>
    <row r="132" spans="1:16">
      <c r="A132" s="14">
        <v>128</v>
      </c>
      <c r="B132" s="15" t="s">
        <v>208</v>
      </c>
      <c r="C132" s="16">
        <v>0</v>
      </c>
      <c r="D132" s="17"/>
      <c r="E132" s="14"/>
      <c r="F132" s="18"/>
      <c r="G132" s="19"/>
      <c r="H132" s="20"/>
      <c r="I132" s="21"/>
      <c r="J132" s="14"/>
      <c r="K132" s="14">
        <f t="shared" si="2"/>
        <v>0</v>
      </c>
      <c r="L132" s="16">
        <f t="shared" si="3"/>
        <v>0</v>
      </c>
      <c r="M132" s="22">
        <v>44986</v>
      </c>
      <c r="N132" s="23" t="s">
        <v>16</v>
      </c>
      <c r="O132" s="24"/>
      <c r="P132" s="23" t="s">
        <v>209</v>
      </c>
    </row>
    <row r="133" spans="1:16">
      <c r="A133" s="14">
        <v>129</v>
      </c>
      <c r="B133" s="15" t="s">
        <v>210</v>
      </c>
      <c r="C133" s="16">
        <v>135</v>
      </c>
      <c r="D133" s="17"/>
      <c r="E133" s="14"/>
      <c r="F133" s="18">
        <f>3</f>
        <v>3</v>
      </c>
      <c r="G133" s="19"/>
      <c r="H133" s="20">
        <f>10</f>
        <v>10</v>
      </c>
      <c r="I133" s="21"/>
      <c r="J133" s="14"/>
      <c r="K133" s="14">
        <f t="shared" ref="K133:K196" si="4">SUM(F133:J133)</f>
        <v>13</v>
      </c>
      <c r="L133" s="16">
        <f t="shared" ref="L133:L196" si="5">(C133+E133)-K133</f>
        <v>122</v>
      </c>
      <c r="M133" s="22">
        <v>45413</v>
      </c>
      <c r="N133" s="23" t="s">
        <v>16</v>
      </c>
      <c r="O133" s="24" t="s">
        <v>17</v>
      </c>
      <c r="P133" s="23" t="s">
        <v>211</v>
      </c>
    </row>
    <row r="134" spans="1:16">
      <c r="A134" s="14">
        <v>130</v>
      </c>
      <c r="B134" s="15" t="s">
        <v>210</v>
      </c>
      <c r="C134" s="16">
        <v>32</v>
      </c>
      <c r="D134" s="17"/>
      <c r="E134" s="14"/>
      <c r="F134" s="18"/>
      <c r="G134" s="19"/>
      <c r="H134" s="20"/>
      <c r="I134" s="21"/>
      <c r="J134" s="14"/>
      <c r="K134" s="14">
        <f t="shared" si="4"/>
        <v>0</v>
      </c>
      <c r="L134" s="16">
        <f t="shared" si="5"/>
        <v>32</v>
      </c>
      <c r="M134" s="22">
        <v>45413</v>
      </c>
      <c r="N134" s="23" t="s">
        <v>26</v>
      </c>
      <c r="O134" s="24" t="s">
        <v>17</v>
      </c>
      <c r="P134" s="23" t="s">
        <v>211</v>
      </c>
    </row>
    <row r="135" spans="1:16">
      <c r="A135" s="14">
        <v>131</v>
      </c>
      <c r="B135" s="15" t="s">
        <v>212</v>
      </c>
      <c r="C135" s="16">
        <v>0</v>
      </c>
      <c r="D135" s="17"/>
      <c r="E135" s="14"/>
      <c r="F135" s="18"/>
      <c r="G135" s="19"/>
      <c r="H135" s="20"/>
      <c r="I135" s="21"/>
      <c r="J135" s="14"/>
      <c r="K135" s="14">
        <f t="shared" si="4"/>
        <v>0</v>
      </c>
      <c r="L135" s="16">
        <f t="shared" si="5"/>
        <v>0</v>
      </c>
      <c r="M135" s="22"/>
      <c r="N135" s="23" t="s">
        <v>16</v>
      </c>
      <c r="O135" s="24"/>
      <c r="P135" s="25"/>
    </row>
    <row r="136" spans="1:16" ht="26.25">
      <c r="A136" s="14">
        <v>132</v>
      </c>
      <c r="B136" s="15" t="s">
        <v>213</v>
      </c>
      <c r="C136" s="16">
        <v>78</v>
      </c>
      <c r="D136" s="17"/>
      <c r="E136" s="14"/>
      <c r="F136" s="18">
        <f>10</f>
        <v>10</v>
      </c>
      <c r="G136" s="19"/>
      <c r="H136" s="20"/>
      <c r="I136" s="21"/>
      <c r="J136" s="14"/>
      <c r="K136" s="14">
        <f t="shared" si="4"/>
        <v>10</v>
      </c>
      <c r="L136" s="16">
        <f t="shared" si="5"/>
        <v>68</v>
      </c>
      <c r="M136" s="22">
        <v>44409</v>
      </c>
      <c r="N136" s="23" t="s">
        <v>16</v>
      </c>
      <c r="O136" s="24" t="s">
        <v>17</v>
      </c>
      <c r="P136" s="28" t="s">
        <v>214</v>
      </c>
    </row>
    <row r="137" spans="1:16">
      <c r="A137" s="14">
        <v>133</v>
      </c>
      <c r="B137" s="15" t="s">
        <v>215</v>
      </c>
      <c r="C137" s="16">
        <v>0</v>
      </c>
      <c r="D137" s="17"/>
      <c r="E137" s="14"/>
      <c r="F137" s="18"/>
      <c r="G137" s="19"/>
      <c r="H137" s="20"/>
      <c r="I137" s="21"/>
      <c r="J137" s="14"/>
      <c r="K137" s="14">
        <f t="shared" si="4"/>
        <v>0</v>
      </c>
      <c r="L137" s="16">
        <f t="shared" si="5"/>
        <v>0</v>
      </c>
      <c r="M137" s="22"/>
      <c r="N137" s="23" t="s">
        <v>26</v>
      </c>
      <c r="O137" s="24"/>
      <c r="P137" s="25"/>
    </row>
    <row r="138" spans="1:16" ht="26.25">
      <c r="A138" s="14">
        <v>134</v>
      </c>
      <c r="B138" s="15" t="s">
        <v>216</v>
      </c>
      <c r="C138" s="16">
        <v>31</v>
      </c>
      <c r="D138" s="17"/>
      <c r="E138" s="14"/>
      <c r="F138" s="18"/>
      <c r="G138" s="19"/>
      <c r="H138" s="20"/>
      <c r="I138" s="21"/>
      <c r="J138" s="14"/>
      <c r="K138" s="14">
        <f t="shared" si="4"/>
        <v>0</v>
      </c>
      <c r="L138" s="16">
        <f t="shared" si="5"/>
        <v>31</v>
      </c>
      <c r="M138" s="22">
        <v>44805</v>
      </c>
      <c r="N138" s="23" t="s">
        <v>16</v>
      </c>
      <c r="O138" s="24" t="s">
        <v>17</v>
      </c>
      <c r="P138" s="28" t="s">
        <v>217</v>
      </c>
    </row>
    <row r="139" spans="1:16">
      <c r="A139" s="14">
        <v>135</v>
      </c>
      <c r="B139" s="15" t="s">
        <v>216</v>
      </c>
      <c r="C139" s="16">
        <v>0</v>
      </c>
      <c r="D139" s="17"/>
      <c r="E139" s="14"/>
      <c r="F139" s="18"/>
      <c r="G139" s="19"/>
      <c r="H139" s="20"/>
      <c r="I139" s="21"/>
      <c r="J139" s="14"/>
      <c r="K139" s="14">
        <f t="shared" si="4"/>
        <v>0</v>
      </c>
      <c r="L139" s="16">
        <f t="shared" si="5"/>
        <v>0</v>
      </c>
      <c r="M139" s="22"/>
      <c r="N139" s="23" t="s">
        <v>26</v>
      </c>
      <c r="O139" s="24"/>
      <c r="P139" s="25"/>
    </row>
    <row r="140" spans="1:16">
      <c r="A140" s="14">
        <v>136</v>
      </c>
      <c r="B140" s="15" t="s">
        <v>218</v>
      </c>
      <c r="C140" s="16">
        <v>0</v>
      </c>
      <c r="D140" s="17"/>
      <c r="E140" s="14"/>
      <c r="F140" s="18"/>
      <c r="G140" s="19"/>
      <c r="H140" s="20"/>
      <c r="I140" s="21"/>
      <c r="J140" s="14"/>
      <c r="K140" s="14">
        <f t="shared" si="4"/>
        <v>0</v>
      </c>
      <c r="L140" s="16">
        <f t="shared" si="5"/>
        <v>0</v>
      </c>
      <c r="M140" s="22"/>
      <c r="N140" s="23" t="s">
        <v>16</v>
      </c>
      <c r="O140" s="24"/>
      <c r="P140" s="25"/>
    </row>
    <row r="141" spans="1:16">
      <c r="A141" s="14">
        <v>137</v>
      </c>
      <c r="B141" s="15" t="s">
        <v>219</v>
      </c>
      <c r="C141" s="16">
        <v>0</v>
      </c>
      <c r="D141" s="17"/>
      <c r="E141" s="14"/>
      <c r="F141" s="18"/>
      <c r="G141" s="19"/>
      <c r="H141" s="20"/>
      <c r="I141" s="21"/>
      <c r="J141" s="14"/>
      <c r="K141" s="14">
        <f t="shared" si="4"/>
        <v>0</v>
      </c>
      <c r="L141" s="16">
        <f t="shared" si="5"/>
        <v>0</v>
      </c>
      <c r="M141" s="22"/>
      <c r="N141" s="23" t="s">
        <v>16</v>
      </c>
      <c r="O141" s="24"/>
      <c r="P141" s="25"/>
    </row>
    <row r="142" spans="1:16">
      <c r="A142" s="14">
        <v>138</v>
      </c>
      <c r="B142" s="15" t="s">
        <v>220</v>
      </c>
      <c r="C142" s="16">
        <v>0</v>
      </c>
      <c r="D142" s="17"/>
      <c r="E142" s="14"/>
      <c r="F142" s="18"/>
      <c r="G142" s="19"/>
      <c r="H142" s="20"/>
      <c r="I142" s="21"/>
      <c r="J142" s="14"/>
      <c r="K142" s="14">
        <f t="shared" si="4"/>
        <v>0</v>
      </c>
      <c r="L142" s="16">
        <f t="shared" si="5"/>
        <v>0</v>
      </c>
      <c r="M142" s="22">
        <v>44256</v>
      </c>
      <c r="N142" s="23" t="s">
        <v>16</v>
      </c>
      <c r="O142" s="24"/>
      <c r="P142" s="23" t="s">
        <v>221</v>
      </c>
    </row>
    <row r="143" spans="1:16">
      <c r="A143" s="14">
        <v>139</v>
      </c>
      <c r="B143" s="15" t="s">
        <v>222</v>
      </c>
      <c r="C143" s="16">
        <v>109</v>
      </c>
      <c r="D143" s="17"/>
      <c r="E143" s="14"/>
      <c r="F143" s="18">
        <f>5+5</f>
        <v>10</v>
      </c>
      <c r="G143" s="19"/>
      <c r="H143" s="20"/>
      <c r="I143" s="21"/>
      <c r="J143" s="14"/>
      <c r="K143" s="14">
        <f t="shared" si="4"/>
        <v>10</v>
      </c>
      <c r="L143" s="16">
        <f t="shared" si="5"/>
        <v>99</v>
      </c>
      <c r="M143" s="22">
        <v>44317</v>
      </c>
      <c r="N143" s="23" t="s">
        <v>16</v>
      </c>
      <c r="O143" s="24" t="s">
        <v>17</v>
      </c>
      <c r="P143" s="23" t="s">
        <v>223</v>
      </c>
    </row>
    <row r="144" spans="1:16">
      <c r="A144" s="14">
        <v>140</v>
      </c>
      <c r="B144" s="15" t="s">
        <v>224</v>
      </c>
      <c r="C144" s="16">
        <v>0</v>
      </c>
      <c r="D144" s="17"/>
      <c r="E144" s="14"/>
      <c r="F144" s="18"/>
      <c r="G144" s="19"/>
      <c r="H144" s="20"/>
      <c r="I144" s="21"/>
      <c r="J144" s="14"/>
      <c r="K144" s="14">
        <f t="shared" si="4"/>
        <v>0</v>
      </c>
      <c r="L144" s="16">
        <f t="shared" si="5"/>
        <v>0</v>
      </c>
      <c r="M144" s="22">
        <v>45261</v>
      </c>
      <c r="N144" s="23" t="s">
        <v>16</v>
      </c>
      <c r="O144" s="24"/>
      <c r="P144" s="28" t="s">
        <v>225</v>
      </c>
    </row>
    <row r="145" spans="1:16">
      <c r="A145" s="14">
        <v>141</v>
      </c>
      <c r="B145" s="15" t="s">
        <v>226</v>
      </c>
      <c r="C145" s="16">
        <v>0</v>
      </c>
      <c r="D145" s="17"/>
      <c r="E145" s="14"/>
      <c r="F145" s="18"/>
      <c r="G145" s="19"/>
      <c r="H145" s="20"/>
      <c r="I145" s="21"/>
      <c r="J145" s="14"/>
      <c r="K145" s="14">
        <f t="shared" si="4"/>
        <v>0</v>
      </c>
      <c r="L145" s="16">
        <f t="shared" si="5"/>
        <v>0</v>
      </c>
      <c r="M145" s="22"/>
      <c r="N145" s="23" t="s">
        <v>16</v>
      </c>
      <c r="O145" s="24"/>
      <c r="P145" s="25"/>
    </row>
    <row r="146" spans="1:16">
      <c r="A146" s="14">
        <v>142</v>
      </c>
      <c r="B146" s="15" t="s">
        <v>227</v>
      </c>
      <c r="C146" s="16">
        <v>0</v>
      </c>
      <c r="D146" s="17"/>
      <c r="E146" s="14"/>
      <c r="F146" s="18"/>
      <c r="G146" s="19"/>
      <c r="H146" s="20"/>
      <c r="I146" s="21"/>
      <c r="J146" s="14"/>
      <c r="K146" s="14">
        <f t="shared" si="4"/>
        <v>0</v>
      </c>
      <c r="L146" s="16">
        <f t="shared" si="5"/>
        <v>0</v>
      </c>
      <c r="M146" s="22">
        <v>44562</v>
      </c>
      <c r="N146" s="23" t="s">
        <v>16</v>
      </c>
      <c r="O146" s="24"/>
      <c r="P146" s="23" t="s">
        <v>228</v>
      </c>
    </row>
    <row r="147" spans="1:16">
      <c r="A147" s="14">
        <v>143</v>
      </c>
      <c r="B147" s="15" t="s">
        <v>229</v>
      </c>
      <c r="C147" s="16">
        <v>36</v>
      </c>
      <c r="D147" s="17"/>
      <c r="E147" s="14"/>
      <c r="F147" s="18"/>
      <c r="G147" s="19"/>
      <c r="H147" s="20"/>
      <c r="I147" s="21"/>
      <c r="J147" s="14"/>
      <c r="K147" s="14">
        <f t="shared" si="4"/>
        <v>0</v>
      </c>
      <c r="L147" s="16">
        <f t="shared" si="5"/>
        <v>36</v>
      </c>
      <c r="M147" s="22">
        <v>44986</v>
      </c>
      <c r="N147" s="23" t="s">
        <v>16</v>
      </c>
      <c r="O147" s="24" t="s">
        <v>17</v>
      </c>
      <c r="P147" s="23" t="s">
        <v>230</v>
      </c>
    </row>
    <row r="148" spans="1:16">
      <c r="A148" s="14">
        <v>144</v>
      </c>
      <c r="B148" s="15" t="s">
        <v>231</v>
      </c>
      <c r="C148" s="16">
        <v>0</v>
      </c>
      <c r="D148" s="17"/>
      <c r="E148" s="14"/>
      <c r="F148" s="18"/>
      <c r="G148" s="19"/>
      <c r="H148" s="20"/>
      <c r="I148" s="21"/>
      <c r="J148" s="14"/>
      <c r="K148" s="14">
        <f t="shared" si="4"/>
        <v>0</v>
      </c>
      <c r="L148" s="16">
        <f t="shared" si="5"/>
        <v>0</v>
      </c>
      <c r="M148" s="22"/>
      <c r="N148" s="23" t="s">
        <v>16</v>
      </c>
      <c r="O148" s="24"/>
      <c r="P148" s="25"/>
    </row>
    <row r="149" spans="1:16">
      <c r="A149" s="14">
        <v>145</v>
      </c>
      <c r="B149" s="15" t="s">
        <v>232</v>
      </c>
      <c r="C149" s="16">
        <v>0</v>
      </c>
      <c r="D149" s="17"/>
      <c r="E149" s="14"/>
      <c r="F149" s="18"/>
      <c r="G149" s="19"/>
      <c r="H149" s="20"/>
      <c r="I149" s="21"/>
      <c r="J149" s="14"/>
      <c r="K149" s="14">
        <f t="shared" si="4"/>
        <v>0</v>
      </c>
      <c r="L149" s="16">
        <f t="shared" si="5"/>
        <v>0</v>
      </c>
      <c r="M149" s="22"/>
      <c r="N149" s="23" t="s">
        <v>16</v>
      </c>
      <c r="O149" s="24"/>
      <c r="P149" s="25"/>
    </row>
    <row r="150" spans="1:16">
      <c r="A150" s="14">
        <v>146</v>
      </c>
      <c r="B150" s="15" t="s">
        <v>233</v>
      </c>
      <c r="C150" s="16">
        <v>34</v>
      </c>
      <c r="D150" s="17"/>
      <c r="E150" s="14"/>
      <c r="F150" s="18">
        <f>3</f>
        <v>3</v>
      </c>
      <c r="G150" s="19"/>
      <c r="H150" s="20"/>
      <c r="I150" s="21"/>
      <c r="J150" s="14"/>
      <c r="K150" s="14">
        <f t="shared" si="4"/>
        <v>3</v>
      </c>
      <c r="L150" s="16">
        <f t="shared" si="5"/>
        <v>31</v>
      </c>
      <c r="M150" s="22">
        <v>44287</v>
      </c>
      <c r="N150" s="23" t="s">
        <v>16</v>
      </c>
      <c r="O150" s="24" t="s">
        <v>45</v>
      </c>
      <c r="P150" s="23" t="s">
        <v>234</v>
      </c>
    </row>
    <row r="151" spans="1:16">
      <c r="A151" s="14">
        <v>147</v>
      </c>
      <c r="B151" s="15" t="s">
        <v>235</v>
      </c>
      <c r="C151" s="16">
        <v>0</v>
      </c>
      <c r="D151" s="17"/>
      <c r="E151" s="14"/>
      <c r="F151" s="18"/>
      <c r="G151" s="19"/>
      <c r="H151" s="20"/>
      <c r="I151" s="21"/>
      <c r="J151" s="14"/>
      <c r="K151" s="14">
        <f t="shared" si="4"/>
        <v>0</v>
      </c>
      <c r="L151" s="16">
        <f t="shared" si="5"/>
        <v>0</v>
      </c>
      <c r="M151" s="22"/>
      <c r="N151" s="23" t="s">
        <v>16</v>
      </c>
      <c r="O151" s="24"/>
      <c r="P151" s="25"/>
    </row>
    <row r="152" spans="1:16">
      <c r="A152" s="14">
        <v>148</v>
      </c>
      <c r="B152" s="15" t="s">
        <v>236</v>
      </c>
      <c r="C152" s="16">
        <v>96</v>
      </c>
      <c r="D152" s="17"/>
      <c r="E152" s="14"/>
      <c r="F152" s="18">
        <f>5+5</f>
        <v>10</v>
      </c>
      <c r="G152" s="19"/>
      <c r="H152" s="20"/>
      <c r="I152" s="21"/>
      <c r="J152" s="14"/>
      <c r="K152" s="14">
        <f t="shared" si="4"/>
        <v>10</v>
      </c>
      <c r="L152" s="16">
        <f t="shared" si="5"/>
        <v>86</v>
      </c>
      <c r="M152" s="22">
        <v>44593</v>
      </c>
      <c r="N152" s="23" t="s">
        <v>16</v>
      </c>
      <c r="O152" s="24" t="s">
        <v>45</v>
      </c>
      <c r="P152" s="28" t="s">
        <v>237</v>
      </c>
    </row>
    <row r="153" spans="1:16">
      <c r="A153" s="14">
        <v>149</v>
      </c>
      <c r="B153" s="15" t="s">
        <v>238</v>
      </c>
      <c r="C153" s="16">
        <v>0</v>
      </c>
      <c r="D153" s="17"/>
      <c r="E153" s="14"/>
      <c r="F153" s="18"/>
      <c r="G153" s="19"/>
      <c r="H153" s="20"/>
      <c r="I153" s="21"/>
      <c r="J153" s="14"/>
      <c r="K153" s="14">
        <f t="shared" si="4"/>
        <v>0</v>
      </c>
      <c r="L153" s="16">
        <f t="shared" si="5"/>
        <v>0</v>
      </c>
      <c r="M153" s="22"/>
      <c r="N153" s="23" t="s">
        <v>16</v>
      </c>
      <c r="O153" s="24"/>
      <c r="P153" s="25"/>
    </row>
    <row r="154" spans="1:16">
      <c r="A154" s="14">
        <v>150</v>
      </c>
      <c r="B154" s="15" t="s">
        <v>239</v>
      </c>
      <c r="C154" s="16">
        <v>0</v>
      </c>
      <c r="D154" s="17"/>
      <c r="E154" s="14"/>
      <c r="F154" s="18"/>
      <c r="G154" s="19"/>
      <c r="H154" s="20"/>
      <c r="I154" s="21"/>
      <c r="J154" s="14"/>
      <c r="K154" s="14">
        <f t="shared" si="4"/>
        <v>0</v>
      </c>
      <c r="L154" s="16">
        <f t="shared" si="5"/>
        <v>0</v>
      </c>
      <c r="M154" s="22"/>
      <c r="N154" s="23" t="s">
        <v>16</v>
      </c>
      <c r="O154" s="24"/>
      <c r="P154" s="25"/>
    </row>
    <row r="155" spans="1:16">
      <c r="A155" s="14">
        <v>151</v>
      </c>
      <c r="B155" s="15" t="s">
        <v>240</v>
      </c>
      <c r="C155" s="16">
        <v>161</v>
      </c>
      <c r="D155" s="17"/>
      <c r="E155" s="14"/>
      <c r="F155" s="18">
        <f>3+5</f>
        <v>8</v>
      </c>
      <c r="G155" s="19"/>
      <c r="H155" s="20"/>
      <c r="I155" s="21"/>
      <c r="J155" s="14"/>
      <c r="K155" s="14">
        <f t="shared" si="4"/>
        <v>8</v>
      </c>
      <c r="L155" s="16">
        <f t="shared" si="5"/>
        <v>153</v>
      </c>
      <c r="M155" s="22">
        <v>44652</v>
      </c>
      <c r="N155" s="23" t="s">
        <v>16</v>
      </c>
      <c r="O155" s="24" t="s">
        <v>17</v>
      </c>
      <c r="P155" s="28" t="s">
        <v>241</v>
      </c>
    </row>
    <row r="156" spans="1:16">
      <c r="A156" s="14">
        <v>152</v>
      </c>
      <c r="B156" s="15" t="s">
        <v>242</v>
      </c>
      <c r="C156" s="16">
        <v>0</v>
      </c>
      <c r="D156" s="17"/>
      <c r="E156" s="14"/>
      <c r="F156" s="18"/>
      <c r="G156" s="19"/>
      <c r="H156" s="20"/>
      <c r="I156" s="21"/>
      <c r="J156" s="14"/>
      <c r="K156" s="14">
        <f t="shared" si="4"/>
        <v>0</v>
      </c>
      <c r="L156" s="16">
        <f t="shared" si="5"/>
        <v>0</v>
      </c>
      <c r="M156" s="22"/>
      <c r="N156" s="23" t="s">
        <v>16</v>
      </c>
      <c r="O156" s="24"/>
      <c r="P156" s="25"/>
    </row>
    <row r="157" spans="1:16" ht="26.25">
      <c r="A157" s="14">
        <v>153</v>
      </c>
      <c r="B157" s="15" t="s">
        <v>243</v>
      </c>
      <c r="C157" s="16">
        <v>156</v>
      </c>
      <c r="D157" s="17"/>
      <c r="E157" s="14"/>
      <c r="F157" s="18"/>
      <c r="G157" s="19"/>
      <c r="H157" s="20"/>
      <c r="I157" s="21"/>
      <c r="J157" s="14"/>
      <c r="K157" s="14">
        <f t="shared" si="4"/>
        <v>0</v>
      </c>
      <c r="L157" s="16">
        <f t="shared" si="5"/>
        <v>156</v>
      </c>
      <c r="M157" s="22">
        <v>44501</v>
      </c>
      <c r="N157" s="23" t="s">
        <v>16</v>
      </c>
      <c r="O157" s="24" t="s">
        <v>17</v>
      </c>
      <c r="P157" s="28" t="s">
        <v>244</v>
      </c>
    </row>
    <row r="158" spans="1:16">
      <c r="A158" s="14">
        <v>154</v>
      </c>
      <c r="B158" s="15" t="s">
        <v>245</v>
      </c>
      <c r="C158" s="16">
        <v>0</v>
      </c>
      <c r="D158" s="17"/>
      <c r="E158" s="14"/>
      <c r="F158" s="18"/>
      <c r="G158" s="19"/>
      <c r="H158" s="20"/>
      <c r="I158" s="21"/>
      <c r="J158" s="14"/>
      <c r="K158" s="14">
        <f t="shared" si="4"/>
        <v>0</v>
      </c>
      <c r="L158" s="16">
        <f t="shared" si="5"/>
        <v>0</v>
      </c>
      <c r="M158" s="22"/>
      <c r="N158" s="23" t="s">
        <v>16</v>
      </c>
      <c r="O158" s="24"/>
      <c r="P158" s="25"/>
    </row>
    <row r="159" spans="1:16">
      <c r="A159" s="14">
        <v>155</v>
      </c>
      <c r="B159" s="15" t="s">
        <v>246</v>
      </c>
      <c r="C159" s="16">
        <v>0</v>
      </c>
      <c r="D159" s="17"/>
      <c r="E159" s="14"/>
      <c r="F159" s="18"/>
      <c r="G159" s="19"/>
      <c r="H159" s="20"/>
      <c r="I159" s="21"/>
      <c r="J159" s="14"/>
      <c r="K159" s="14">
        <f t="shared" si="4"/>
        <v>0</v>
      </c>
      <c r="L159" s="16">
        <f t="shared" si="5"/>
        <v>0</v>
      </c>
      <c r="M159" s="22"/>
      <c r="N159" s="23" t="s">
        <v>16</v>
      </c>
      <c r="O159" s="24"/>
      <c r="P159" s="25"/>
    </row>
    <row r="160" spans="1:16">
      <c r="A160" s="14">
        <v>156</v>
      </c>
      <c r="B160" s="15" t="s">
        <v>247</v>
      </c>
      <c r="C160" s="16">
        <v>0</v>
      </c>
      <c r="D160" s="17"/>
      <c r="E160" s="14"/>
      <c r="F160" s="18"/>
      <c r="G160" s="19"/>
      <c r="H160" s="20"/>
      <c r="I160" s="21"/>
      <c r="J160" s="14"/>
      <c r="K160" s="14">
        <f t="shared" si="4"/>
        <v>0</v>
      </c>
      <c r="L160" s="16">
        <f t="shared" si="5"/>
        <v>0</v>
      </c>
      <c r="M160" s="22"/>
      <c r="N160" s="23" t="s">
        <v>16</v>
      </c>
      <c r="O160" s="24"/>
      <c r="P160" s="25"/>
    </row>
    <row r="161" spans="1:16">
      <c r="A161" s="14">
        <v>157</v>
      </c>
      <c r="B161" s="15" t="s">
        <v>248</v>
      </c>
      <c r="C161" s="16">
        <v>0</v>
      </c>
      <c r="D161" s="17"/>
      <c r="E161" s="14"/>
      <c r="F161" s="18"/>
      <c r="G161" s="19"/>
      <c r="H161" s="20"/>
      <c r="I161" s="21"/>
      <c r="J161" s="14"/>
      <c r="K161" s="14">
        <f t="shared" si="4"/>
        <v>0</v>
      </c>
      <c r="L161" s="16">
        <f t="shared" si="5"/>
        <v>0</v>
      </c>
      <c r="M161" s="22"/>
      <c r="N161" s="23" t="s">
        <v>16</v>
      </c>
      <c r="O161" s="24"/>
      <c r="P161" s="25"/>
    </row>
    <row r="162" spans="1:16">
      <c r="A162" s="14">
        <v>158</v>
      </c>
      <c r="B162" s="15" t="s">
        <v>249</v>
      </c>
      <c r="C162" s="16">
        <v>0</v>
      </c>
      <c r="D162" s="17"/>
      <c r="E162" s="14"/>
      <c r="F162" s="18"/>
      <c r="G162" s="19"/>
      <c r="H162" s="20"/>
      <c r="I162" s="21"/>
      <c r="J162" s="14"/>
      <c r="K162" s="14">
        <f t="shared" si="4"/>
        <v>0</v>
      </c>
      <c r="L162" s="16">
        <f t="shared" si="5"/>
        <v>0</v>
      </c>
      <c r="M162" s="22"/>
      <c r="N162" s="23" t="s">
        <v>16</v>
      </c>
      <c r="O162" s="24"/>
      <c r="P162" s="25"/>
    </row>
    <row r="163" spans="1:16">
      <c r="A163" s="14">
        <v>159</v>
      </c>
      <c r="B163" s="15" t="s">
        <v>250</v>
      </c>
      <c r="C163" s="16">
        <v>0</v>
      </c>
      <c r="D163" s="17"/>
      <c r="E163" s="14"/>
      <c r="F163" s="18"/>
      <c r="G163" s="19"/>
      <c r="H163" s="20"/>
      <c r="I163" s="21"/>
      <c r="J163" s="14"/>
      <c r="K163" s="14">
        <f t="shared" si="4"/>
        <v>0</v>
      </c>
      <c r="L163" s="16">
        <f t="shared" si="5"/>
        <v>0</v>
      </c>
      <c r="M163" s="22"/>
      <c r="N163" s="23" t="s">
        <v>16</v>
      </c>
      <c r="O163" s="24"/>
      <c r="P163" s="25"/>
    </row>
    <row r="164" spans="1:16">
      <c r="A164" s="14">
        <v>160</v>
      </c>
      <c r="B164" s="15" t="s">
        <v>251</v>
      </c>
      <c r="C164" s="16">
        <v>5</v>
      </c>
      <c r="D164" s="17"/>
      <c r="E164" s="14"/>
      <c r="F164" s="18"/>
      <c r="G164" s="19"/>
      <c r="H164" s="20"/>
      <c r="I164" s="21"/>
      <c r="J164" s="14"/>
      <c r="K164" s="14">
        <f t="shared" si="4"/>
        <v>0</v>
      </c>
      <c r="L164" s="16">
        <f t="shared" si="5"/>
        <v>5</v>
      </c>
      <c r="M164" s="22">
        <v>44682</v>
      </c>
      <c r="N164" s="23" t="s">
        <v>16</v>
      </c>
      <c r="O164" s="24" t="s">
        <v>45</v>
      </c>
      <c r="P164" s="23" t="s">
        <v>252</v>
      </c>
    </row>
    <row r="165" spans="1:16">
      <c r="A165" s="14">
        <v>161</v>
      </c>
      <c r="B165" s="15" t="s">
        <v>253</v>
      </c>
      <c r="C165" s="16">
        <v>100</v>
      </c>
      <c r="D165" s="17"/>
      <c r="E165" s="14"/>
      <c r="F165" s="18"/>
      <c r="G165" s="19"/>
      <c r="H165" s="20"/>
      <c r="I165" s="21"/>
      <c r="J165" s="14"/>
      <c r="K165" s="14">
        <f t="shared" si="4"/>
        <v>0</v>
      </c>
      <c r="L165" s="16">
        <f t="shared" si="5"/>
        <v>100</v>
      </c>
      <c r="M165" s="22">
        <v>45047</v>
      </c>
      <c r="N165" s="23" t="s">
        <v>16</v>
      </c>
      <c r="O165" s="24" t="s">
        <v>17</v>
      </c>
      <c r="P165" s="23" t="s">
        <v>254</v>
      </c>
    </row>
    <row r="166" spans="1:16">
      <c r="A166" s="14">
        <v>162</v>
      </c>
      <c r="B166" s="15" t="s">
        <v>255</v>
      </c>
      <c r="C166" s="16">
        <v>0</v>
      </c>
      <c r="D166" s="17"/>
      <c r="E166" s="14"/>
      <c r="F166" s="18"/>
      <c r="G166" s="19"/>
      <c r="H166" s="20"/>
      <c r="I166" s="21"/>
      <c r="J166" s="14"/>
      <c r="K166" s="14">
        <f t="shared" si="4"/>
        <v>0</v>
      </c>
      <c r="L166" s="16">
        <f t="shared" si="5"/>
        <v>0</v>
      </c>
      <c r="M166" s="22">
        <v>44562</v>
      </c>
      <c r="N166" s="23" t="s">
        <v>26</v>
      </c>
      <c r="O166" s="24"/>
      <c r="P166" s="23"/>
    </row>
    <row r="167" spans="1:16">
      <c r="A167" s="14">
        <v>163</v>
      </c>
      <c r="B167" s="15" t="s">
        <v>256</v>
      </c>
      <c r="C167" s="16">
        <v>0</v>
      </c>
      <c r="D167" s="17"/>
      <c r="E167" s="14"/>
      <c r="F167" s="18"/>
      <c r="G167" s="19"/>
      <c r="H167" s="20"/>
      <c r="I167" s="21"/>
      <c r="J167" s="14"/>
      <c r="K167" s="14">
        <f t="shared" si="4"/>
        <v>0</v>
      </c>
      <c r="L167" s="16">
        <f t="shared" si="5"/>
        <v>0</v>
      </c>
      <c r="M167" s="22">
        <v>44044</v>
      </c>
      <c r="N167" s="23" t="s">
        <v>16</v>
      </c>
      <c r="O167" s="24"/>
      <c r="P167" s="25"/>
    </row>
    <row r="168" spans="1:16">
      <c r="A168" s="14">
        <v>164</v>
      </c>
      <c r="B168" s="15" t="s">
        <v>257</v>
      </c>
      <c r="C168" s="16">
        <v>96</v>
      </c>
      <c r="D168" s="17"/>
      <c r="E168" s="14"/>
      <c r="F168" s="18">
        <f>5</f>
        <v>5</v>
      </c>
      <c r="G168" s="19"/>
      <c r="H168" s="20"/>
      <c r="I168" s="21"/>
      <c r="J168" s="14"/>
      <c r="K168" s="14">
        <f t="shared" si="4"/>
        <v>5</v>
      </c>
      <c r="L168" s="16">
        <f t="shared" si="5"/>
        <v>91</v>
      </c>
      <c r="M168" s="22">
        <v>44287</v>
      </c>
      <c r="N168" s="23" t="s">
        <v>16</v>
      </c>
      <c r="O168" s="24" t="s">
        <v>17</v>
      </c>
      <c r="P168" s="23" t="s">
        <v>258</v>
      </c>
    </row>
    <row r="169" spans="1:16">
      <c r="A169" s="14">
        <v>165</v>
      </c>
      <c r="B169" s="15" t="s">
        <v>259</v>
      </c>
      <c r="C169" s="16">
        <v>13</v>
      </c>
      <c r="D169" s="17"/>
      <c r="E169" s="14"/>
      <c r="F169" s="18"/>
      <c r="G169" s="19"/>
      <c r="H169" s="20"/>
      <c r="I169" s="21"/>
      <c r="J169" s="14"/>
      <c r="K169" s="14">
        <f t="shared" si="4"/>
        <v>0</v>
      </c>
      <c r="L169" s="16">
        <f t="shared" si="5"/>
        <v>13</v>
      </c>
      <c r="M169" s="22">
        <v>44531</v>
      </c>
      <c r="N169" s="23" t="s">
        <v>16</v>
      </c>
      <c r="O169" s="24" t="s">
        <v>17</v>
      </c>
      <c r="P169" s="28" t="s">
        <v>260</v>
      </c>
    </row>
    <row r="170" spans="1:16">
      <c r="A170" s="14">
        <v>166</v>
      </c>
      <c r="B170" s="15" t="s">
        <v>261</v>
      </c>
      <c r="C170" s="16">
        <v>0</v>
      </c>
      <c r="D170" s="17"/>
      <c r="E170" s="14"/>
      <c r="F170" s="18"/>
      <c r="G170" s="19"/>
      <c r="H170" s="20"/>
      <c r="I170" s="21"/>
      <c r="J170" s="14"/>
      <c r="K170" s="14">
        <f t="shared" si="4"/>
        <v>0</v>
      </c>
      <c r="L170" s="16">
        <f t="shared" si="5"/>
        <v>0</v>
      </c>
      <c r="M170" s="22">
        <v>44440</v>
      </c>
      <c r="N170" s="23" t="s">
        <v>16</v>
      </c>
      <c r="O170" s="24"/>
      <c r="P170" s="28" t="s">
        <v>262</v>
      </c>
    </row>
    <row r="171" spans="1:16">
      <c r="A171" s="14">
        <v>167</v>
      </c>
      <c r="B171" s="15" t="s">
        <v>261</v>
      </c>
      <c r="C171" s="16">
        <v>99</v>
      </c>
      <c r="D171" s="17"/>
      <c r="E171" s="14"/>
      <c r="F171" s="18">
        <f>5+10</f>
        <v>15</v>
      </c>
      <c r="G171" s="19"/>
      <c r="H171" s="20"/>
      <c r="I171" s="21"/>
      <c r="J171" s="14"/>
      <c r="K171" s="14">
        <f t="shared" si="4"/>
        <v>15</v>
      </c>
      <c r="L171" s="16">
        <f t="shared" si="5"/>
        <v>84</v>
      </c>
      <c r="M171" s="22">
        <v>44501</v>
      </c>
      <c r="N171" s="23" t="s">
        <v>16</v>
      </c>
      <c r="O171" s="24" t="s">
        <v>17</v>
      </c>
      <c r="P171" s="28" t="s">
        <v>262</v>
      </c>
    </row>
    <row r="172" spans="1:16">
      <c r="A172" s="14">
        <v>168</v>
      </c>
      <c r="B172" s="15" t="s">
        <v>263</v>
      </c>
      <c r="C172" s="16">
        <v>0</v>
      </c>
      <c r="D172" s="17"/>
      <c r="E172" s="14"/>
      <c r="F172" s="18"/>
      <c r="G172" s="19"/>
      <c r="H172" s="20"/>
      <c r="I172" s="21"/>
      <c r="J172" s="14"/>
      <c r="K172" s="14">
        <f t="shared" si="4"/>
        <v>0</v>
      </c>
      <c r="L172" s="16">
        <f t="shared" si="5"/>
        <v>0</v>
      </c>
      <c r="M172" s="22"/>
      <c r="N172" s="23" t="s">
        <v>16</v>
      </c>
      <c r="O172" s="24"/>
      <c r="P172" s="25"/>
    </row>
    <row r="173" spans="1:16">
      <c r="A173" s="14">
        <v>169</v>
      </c>
      <c r="B173" s="15" t="s">
        <v>264</v>
      </c>
      <c r="C173" s="16">
        <v>0</v>
      </c>
      <c r="D173" s="17"/>
      <c r="E173" s="14"/>
      <c r="F173" s="18"/>
      <c r="G173" s="19"/>
      <c r="H173" s="20"/>
      <c r="I173" s="21"/>
      <c r="J173" s="14"/>
      <c r="K173" s="14">
        <f t="shared" si="4"/>
        <v>0</v>
      </c>
      <c r="L173" s="16">
        <f t="shared" si="5"/>
        <v>0</v>
      </c>
      <c r="M173" s="22"/>
      <c r="N173" s="23" t="s">
        <v>16</v>
      </c>
      <c r="O173" s="24"/>
      <c r="P173" s="25"/>
    </row>
    <row r="174" spans="1:16">
      <c r="A174" s="14">
        <v>170</v>
      </c>
      <c r="B174" s="15" t="s">
        <v>265</v>
      </c>
      <c r="C174" s="16">
        <v>0</v>
      </c>
      <c r="D174" s="17"/>
      <c r="E174" s="14"/>
      <c r="F174" s="18"/>
      <c r="G174" s="19"/>
      <c r="H174" s="20"/>
      <c r="I174" s="21"/>
      <c r="J174" s="14"/>
      <c r="K174" s="14">
        <f t="shared" si="4"/>
        <v>0</v>
      </c>
      <c r="L174" s="16">
        <f t="shared" si="5"/>
        <v>0</v>
      </c>
      <c r="M174" s="22"/>
      <c r="N174" s="23" t="s">
        <v>16</v>
      </c>
      <c r="O174" s="24"/>
      <c r="P174" s="25"/>
    </row>
    <row r="175" spans="1:16">
      <c r="A175" s="14">
        <v>171</v>
      </c>
      <c r="B175" s="15" t="s">
        <v>266</v>
      </c>
      <c r="C175" s="16">
        <v>0</v>
      </c>
      <c r="D175" s="17"/>
      <c r="E175" s="14"/>
      <c r="F175" s="18"/>
      <c r="G175" s="19"/>
      <c r="H175" s="20"/>
      <c r="I175" s="21"/>
      <c r="J175" s="14"/>
      <c r="K175" s="14">
        <f t="shared" si="4"/>
        <v>0</v>
      </c>
      <c r="L175" s="16">
        <f t="shared" si="5"/>
        <v>0</v>
      </c>
      <c r="M175" s="22"/>
      <c r="N175" s="23" t="s">
        <v>16</v>
      </c>
      <c r="O175" s="24"/>
      <c r="P175" s="25"/>
    </row>
    <row r="176" spans="1:16">
      <c r="A176" s="14">
        <v>172</v>
      </c>
      <c r="B176" s="15" t="s">
        <v>267</v>
      </c>
      <c r="C176" s="16">
        <v>0</v>
      </c>
      <c r="D176" s="17"/>
      <c r="E176" s="14"/>
      <c r="F176" s="18"/>
      <c r="G176" s="19"/>
      <c r="H176" s="20"/>
      <c r="I176" s="21"/>
      <c r="J176" s="14"/>
      <c r="K176" s="14">
        <f t="shared" si="4"/>
        <v>0</v>
      </c>
      <c r="L176" s="16">
        <f t="shared" si="5"/>
        <v>0</v>
      </c>
      <c r="M176" s="22"/>
      <c r="N176" s="23" t="s">
        <v>16</v>
      </c>
      <c r="O176" s="24"/>
      <c r="P176" s="25"/>
    </row>
    <row r="177" spans="1:16">
      <c r="A177" s="14">
        <v>173</v>
      </c>
      <c r="B177" s="15" t="s">
        <v>268</v>
      </c>
      <c r="C177" s="16">
        <v>0</v>
      </c>
      <c r="D177" s="17"/>
      <c r="E177" s="14"/>
      <c r="F177" s="18"/>
      <c r="G177" s="19"/>
      <c r="H177" s="20"/>
      <c r="I177" s="21"/>
      <c r="J177" s="14"/>
      <c r="K177" s="14">
        <f t="shared" si="4"/>
        <v>0</v>
      </c>
      <c r="L177" s="16">
        <f t="shared" si="5"/>
        <v>0</v>
      </c>
      <c r="M177" s="22">
        <v>45323</v>
      </c>
      <c r="N177" s="23" t="s">
        <v>16</v>
      </c>
      <c r="O177" s="24"/>
      <c r="P177" s="28" t="s">
        <v>269</v>
      </c>
    </row>
    <row r="178" spans="1:16">
      <c r="A178" s="14">
        <v>174</v>
      </c>
      <c r="B178" s="15" t="s">
        <v>268</v>
      </c>
      <c r="C178" s="16">
        <v>0</v>
      </c>
      <c r="D178" s="17"/>
      <c r="E178" s="14"/>
      <c r="F178" s="18"/>
      <c r="G178" s="19"/>
      <c r="H178" s="20"/>
      <c r="I178" s="21"/>
      <c r="J178" s="14"/>
      <c r="K178" s="14">
        <f t="shared" si="4"/>
        <v>0</v>
      </c>
      <c r="L178" s="16">
        <f t="shared" si="5"/>
        <v>0</v>
      </c>
      <c r="M178" s="22">
        <v>45323</v>
      </c>
      <c r="N178" s="23" t="s">
        <v>26</v>
      </c>
      <c r="O178" s="24"/>
      <c r="P178" s="28" t="s">
        <v>269</v>
      </c>
    </row>
    <row r="179" spans="1:16">
      <c r="A179" s="14">
        <v>175</v>
      </c>
      <c r="B179" s="15" t="s">
        <v>270</v>
      </c>
      <c r="C179" s="16">
        <v>0</v>
      </c>
      <c r="D179" s="17"/>
      <c r="E179" s="14"/>
      <c r="F179" s="18"/>
      <c r="G179" s="19"/>
      <c r="H179" s="20"/>
      <c r="I179" s="21"/>
      <c r="J179" s="14"/>
      <c r="K179" s="14">
        <f t="shared" si="4"/>
        <v>0</v>
      </c>
      <c r="L179" s="16">
        <f t="shared" si="5"/>
        <v>0</v>
      </c>
      <c r="M179" s="22">
        <v>44075</v>
      </c>
      <c r="N179" s="23" t="s">
        <v>16</v>
      </c>
      <c r="O179" s="24"/>
      <c r="P179" s="23" t="s">
        <v>271</v>
      </c>
    </row>
    <row r="180" spans="1:16">
      <c r="A180" s="14">
        <v>176</v>
      </c>
      <c r="B180" s="15" t="s">
        <v>272</v>
      </c>
      <c r="C180" s="16">
        <v>40</v>
      </c>
      <c r="D180" s="17"/>
      <c r="E180" s="14"/>
      <c r="F180" s="18"/>
      <c r="G180" s="19"/>
      <c r="H180" s="20"/>
      <c r="I180" s="21"/>
      <c r="J180" s="14"/>
      <c r="K180" s="14">
        <f t="shared" si="4"/>
        <v>0</v>
      </c>
      <c r="L180" s="16">
        <f t="shared" si="5"/>
        <v>40</v>
      </c>
      <c r="M180" s="22">
        <v>45352</v>
      </c>
      <c r="N180" s="23" t="s">
        <v>16</v>
      </c>
      <c r="O180" s="24" t="s">
        <v>17</v>
      </c>
      <c r="P180" s="23" t="s">
        <v>273</v>
      </c>
    </row>
    <row r="181" spans="1:16">
      <c r="A181" s="14">
        <v>177</v>
      </c>
      <c r="B181" s="15" t="s">
        <v>274</v>
      </c>
      <c r="C181" s="16">
        <v>0</v>
      </c>
      <c r="D181" s="17"/>
      <c r="E181" s="14"/>
      <c r="F181" s="18"/>
      <c r="G181" s="19"/>
      <c r="H181" s="20"/>
      <c r="I181" s="21"/>
      <c r="J181" s="14"/>
      <c r="K181" s="14">
        <f t="shared" si="4"/>
        <v>0</v>
      </c>
      <c r="L181" s="16">
        <f t="shared" si="5"/>
        <v>0</v>
      </c>
      <c r="M181" s="22">
        <v>44593</v>
      </c>
      <c r="N181" s="23" t="s">
        <v>16</v>
      </c>
      <c r="O181" s="24"/>
      <c r="P181" s="23" t="s">
        <v>275</v>
      </c>
    </row>
    <row r="182" spans="1:16">
      <c r="A182" s="14">
        <v>178</v>
      </c>
      <c r="B182" s="15" t="s">
        <v>276</v>
      </c>
      <c r="C182" s="16">
        <v>0</v>
      </c>
      <c r="D182" s="17"/>
      <c r="E182" s="14"/>
      <c r="F182" s="18"/>
      <c r="G182" s="19"/>
      <c r="H182" s="20"/>
      <c r="I182" s="21"/>
      <c r="J182" s="14"/>
      <c r="K182" s="14">
        <f t="shared" si="4"/>
        <v>0</v>
      </c>
      <c r="L182" s="16">
        <f t="shared" si="5"/>
        <v>0</v>
      </c>
      <c r="M182" s="22"/>
      <c r="N182" s="23" t="s">
        <v>16</v>
      </c>
      <c r="O182" s="24"/>
      <c r="P182" s="25"/>
    </row>
    <row r="183" spans="1:16">
      <c r="A183" s="14">
        <v>179</v>
      </c>
      <c r="B183" s="15" t="s">
        <v>277</v>
      </c>
      <c r="C183" s="16">
        <v>33</v>
      </c>
      <c r="D183" s="17"/>
      <c r="E183" s="14"/>
      <c r="F183" s="18"/>
      <c r="G183" s="19"/>
      <c r="H183" s="20"/>
      <c r="I183" s="21"/>
      <c r="J183" s="14"/>
      <c r="K183" s="14">
        <f t="shared" si="4"/>
        <v>0</v>
      </c>
      <c r="L183" s="16">
        <f t="shared" si="5"/>
        <v>33</v>
      </c>
      <c r="M183" s="22">
        <v>44409</v>
      </c>
      <c r="N183" s="23" t="s">
        <v>16</v>
      </c>
      <c r="O183" s="24" t="s">
        <v>17</v>
      </c>
      <c r="P183" s="28" t="s">
        <v>278</v>
      </c>
    </row>
    <row r="184" spans="1:16">
      <c r="A184" s="14">
        <v>180</v>
      </c>
      <c r="B184" s="15" t="s">
        <v>279</v>
      </c>
      <c r="C184" s="16">
        <v>1</v>
      </c>
      <c r="D184" s="17"/>
      <c r="E184" s="14"/>
      <c r="F184" s="18"/>
      <c r="G184" s="19"/>
      <c r="H184" s="20"/>
      <c r="I184" s="21"/>
      <c r="J184" s="14"/>
      <c r="K184" s="14">
        <f t="shared" si="4"/>
        <v>0</v>
      </c>
      <c r="L184" s="16">
        <f t="shared" si="5"/>
        <v>1</v>
      </c>
      <c r="M184" s="22">
        <v>44378</v>
      </c>
      <c r="N184" s="23" t="s">
        <v>16</v>
      </c>
      <c r="O184" s="24" t="s">
        <v>17</v>
      </c>
      <c r="P184" s="23" t="s">
        <v>280</v>
      </c>
    </row>
    <row r="185" spans="1:16">
      <c r="A185" s="14">
        <v>181</v>
      </c>
      <c r="B185" s="15" t="s">
        <v>281</v>
      </c>
      <c r="C185" s="16">
        <v>17</v>
      </c>
      <c r="D185" s="17"/>
      <c r="E185" s="14"/>
      <c r="F185" s="18">
        <f>3+1</f>
        <v>4</v>
      </c>
      <c r="G185" s="19"/>
      <c r="H185" s="20"/>
      <c r="I185" s="21"/>
      <c r="J185" s="14"/>
      <c r="K185" s="14">
        <f t="shared" si="4"/>
        <v>4</v>
      </c>
      <c r="L185" s="16">
        <f t="shared" si="5"/>
        <v>13</v>
      </c>
      <c r="M185" s="22">
        <v>44593</v>
      </c>
      <c r="N185" s="23" t="s">
        <v>16</v>
      </c>
      <c r="O185" s="24" t="s">
        <v>17</v>
      </c>
      <c r="P185" s="23" t="s">
        <v>282</v>
      </c>
    </row>
    <row r="186" spans="1:16">
      <c r="A186" s="14">
        <v>182</v>
      </c>
      <c r="B186" s="15" t="s">
        <v>283</v>
      </c>
      <c r="C186" s="16">
        <v>0</v>
      </c>
      <c r="D186" s="17"/>
      <c r="E186" s="14"/>
      <c r="F186" s="18"/>
      <c r="G186" s="19"/>
      <c r="H186" s="20"/>
      <c r="I186" s="21"/>
      <c r="J186" s="14"/>
      <c r="K186" s="14">
        <f t="shared" si="4"/>
        <v>0</v>
      </c>
      <c r="L186" s="16">
        <f t="shared" si="5"/>
        <v>0</v>
      </c>
      <c r="M186" s="22">
        <v>44136</v>
      </c>
      <c r="N186" s="23" t="s">
        <v>16</v>
      </c>
      <c r="O186" s="24"/>
      <c r="P186" s="23" t="s">
        <v>284</v>
      </c>
    </row>
    <row r="187" spans="1:16">
      <c r="A187" s="14">
        <v>183</v>
      </c>
      <c r="B187" s="15" t="s">
        <v>285</v>
      </c>
      <c r="C187" s="16">
        <v>0</v>
      </c>
      <c r="D187" s="17"/>
      <c r="E187" s="14"/>
      <c r="F187" s="18"/>
      <c r="G187" s="19"/>
      <c r="H187" s="20"/>
      <c r="I187" s="21"/>
      <c r="J187" s="14"/>
      <c r="K187" s="14">
        <f t="shared" si="4"/>
        <v>0</v>
      </c>
      <c r="L187" s="16">
        <f t="shared" si="5"/>
        <v>0</v>
      </c>
      <c r="M187" s="22"/>
      <c r="N187" s="23" t="s">
        <v>16</v>
      </c>
      <c r="O187" s="24"/>
      <c r="P187" s="25"/>
    </row>
    <row r="188" spans="1:16">
      <c r="A188" s="14">
        <v>184</v>
      </c>
      <c r="B188" s="15" t="s">
        <v>286</v>
      </c>
      <c r="C188" s="16">
        <v>0</v>
      </c>
      <c r="D188" s="17"/>
      <c r="E188" s="14"/>
      <c r="F188" s="18"/>
      <c r="G188" s="19"/>
      <c r="H188" s="20"/>
      <c r="I188" s="21"/>
      <c r="J188" s="14"/>
      <c r="K188" s="14">
        <f t="shared" si="4"/>
        <v>0</v>
      </c>
      <c r="L188" s="16">
        <f t="shared" si="5"/>
        <v>0</v>
      </c>
      <c r="M188" s="22">
        <v>44197</v>
      </c>
      <c r="N188" s="23" t="s">
        <v>16</v>
      </c>
      <c r="O188" s="24"/>
      <c r="P188" s="23" t="s">
        <v>287</v>
      </c>
    </row>
    <row r="189" spans="1:16">
      <c r="A189" s="14">
        <v>185</v>
      </c>
      <c r="B189" s="15" t="s">
        <v>288</v>
      </c>
      <c r="C189" s="16">
        <v>0</v>
      </c>
      <c r="D189" s="17"/>
      <c r="E189" s="14"/>
      <c r="F189" s="18"/>
      <c r="G189" s="19"/>
      <c r="H189" s="20"/>
      <c r="I189" s="21"/>
      <c r="J189" s="14"/>
      <c r="K189" s="14">
        <f t="shared" si="4"/>
        <v>0</v>
      </c>
      <c r="L189" s="16">
        <f t="shared" si="5"/>
        <v>0</v>
      </c>
      <c r="M189" s="22">
        <v>44105</v>
      </c>
      <c r="N189" s="23" t="s">
        <v>16</v>
      </c>
      <c r="O189" s="24"/>
      <c r="P189" s="28" t="s">
        <v>289</v>
      </c>
    </row>
    <row r="190" spans="1:16">
      <c r="A190" s="14">
        <v>186</v>
      </c>
      <c r="B190" s="15" t="s">
        <v>290</v>
      </c>
      <c r="C190" s="16">
        <v>67</v>
      </c>
      <c r="D190" s="17"/>
      <c r="E190" s="14"/>
      <c r="F190" s="18"/>
      <c r="G190" s="19"/>
      <c r="H190" s="20"/>
      <c r="I190" s="21"/>
      <c r="J190" s="14"/>
      <c r="K190" s="14">
        <f t="shared" si="4"/>
        <v>0</v>
      </c>
      <c r="L190" s="16">
        <f t="shared" si="5"/>
        <v>67</v>
      </c>
      <c r="M190" s="22">
        <v>44317</v>
      </c>
      <c r="N190" s="23" t="s">
        <v>16</v>
      </c>
      <c r="O190" s="24" t="s">
        <v>17</v>
      </c>
      <c r="P190" s="23" t="s">
        <v>291</v>
      </c>
    </row>
    <row r="191" spans="1:16">
      <c r="A191" s="14">
        <v>187</v>
      </c>
      <c r="B191" s="15" t="s">
        <v>292</v>
      </c>
      <c r="C191" s="16">
        <v>0</v>
      </c>
      <c r="D191" s="17"/>
      <c r="E191" s="14"/>
      <c r="F191" s="18"/>
      <c r="G191" s="19"/>
      <c r="H191" s="20"/>
      <c r="I191" s="21"/>
      <c r="J191" s="14"/>
      <c r="K191" s="14">
        <f t="shared" si="4"/>
        <v>0</v>
      </c>
      <c r="L191" s="16">
        <f t="shared" si="5"/>
        <v>0</v>
      </c>
      <c r="M191" s="22">
        <v>44197</v>
      </c>
      <c r="N191" s="23" t="s">
        <v>16</v>
      </c>
      <c r="O191" s="24"/>
      <c r="P191" s="23" t="s">
        <v>293</v>
      </c>
    </row>
    <row r="192" spans="1:16">
      <c r="A192" s="14">
        <v>188</v>
      </c>
      <c r="B192" s="15" t="s">
        <v>292</v>
      </c>
      <c r="C192" s="16">
        <v>60</v>
      </c>
      <c r="D192" s="17"/>
      <c r="E192" s="14"/>
      <c r="F192" s="18">
        <f>5</f>
        <v>5</v>
      </c>
      <c r="G192" s="19"/>
      <c r="H192" s="20"/>
      <c r="I192" s="21"/>
      <c r="J192" s="14"/>
      <c r="K192" s="14">
        <f t="shared" si="4"/>
        <v>5</v>
      </c>
      <c r="L192" s="16">
        <f t="shared" si="5"/>
        <v>55</v>
      </c>
      <c r="M192" s="22">
        <v>44713</v>
      </c>
      <c r="N192" s="23" t="s">
        <v>16</v>
      </c>
      <c r="O192" s="24" t="s">
        <v>45</v>
      </c>
      <c r="P192" s="23" t="s">
        <v>293</v>
      </c>
    </row>
    <row r="193" spans="1:16">
      <c r="A193" s="14">
        <v>189</v>
      </c>
      <c r="B193" s="15" t="s">
        <v>294</v>
      </c>
      <c r="C193" s="16">
        <v>10</v>
      </c>
      <c r="D193" s="17"/>
      <c r="E193" s="14"/>
      <c r="F193" s="18">
        <f>1</f>
        <v>1</v>
      </c>
      <c r="G193" s="19"/>
      <c r="H193" s="20"/>
      <c r="I193" s="21"/>
      <c r="J193" s="14"/>
      <c r="K193" s="14">
        <f t="shared" si="4"/>
        <v>1</v>
      </c>
      <c r="L193" s="16">
        <f t="shared" si="5"/>
        <v>9</v>
      </c>
      <c r="M193" s="22">
        <v>44409</v>
      </c>
      <c r="N193" s="23" t="s">
        <v>16</v>
      </c>
      <c r="O193" s="24" t="s">
        <v>45</v>
      </c>
      <c r="P193" s="23" t="s">
        <v>295</v>
      </c>
    </row>
    <row r="194" spans="1:16">
      <c r="A194" s="14">
        <v>190</v>
      </c>
      <c r="B194" s="15" t="s">
        <v>296</v>
      </c>
      <c r="C194" s="16">
        <v>0</v>
      </c>
      <c r="D194" s="17"/>
      <c r="E194" s="14"/>
      <c r="F194" s="18"/>
      <c r="G194" s="19"/>
      <c r="H194" s="20"/>
      <c r="I194" s="21"/>
      <c r="J194" s="14"/>
      <c r="K194" s="14">
        <f t="shared" si="4"/>
        <v>0</v>
      </c>
      <c r="L194" s="16">
        <f t="shared" si="5"/>
        <v>0</v>
      </c>
      <c r="M194" s="22"/>
      <c r="N194" s="23" t="s">
        <v>16</v>
      </c>
      <c r="O194" s="24"/>
      <c r="P194" s="25"/>
    </row>
    <row r="195" spans="1:16">
      <c r="A195" s="14">
        <v>191</v>
      </c>
      <c r="B195" s="15" t="s">
        <v>297</v>
      </c>
      <c r="C195" s="16">
        <v>0</v>
      </c>
      <c r="D195" s="17"/>
      <c r="E195" s="14"/>
      <c r="F195" s="18"/>
      <c r="G195" s="19"/>
      <c r="H195" s="20"/>
      <c r="I195" s="21"/>
      <c r="J195" s="14"/>
      <c r="K195" s="14">
        <f t="shared" si="4"/>
        <v>0</v>
      </c>
      <c r="L195" s="16">
        <f t="shared" si="5"/>
        <v>0</v>
      </c>
      <c r="M195" s="22"/>
      <c r="N195" s="23" t="s">
        <v>16</v>
      </c>
      <c r="O195" s="24"/>
      <c r="P195" s="25"/>
    </row>
    <row r="196" spans="1:16" ht="25.5">
      <c r="A196" s="14">
        <v>192</v>
      </c>
      <c r="B196" s="15" t="s">
        <v>298</v>
      </c>
      <c r="C196" s="16">
        <v>0</v>
      </c>
      <c r="D196" s="17"/>
      <c r="E196" s="14"/>
      <c r="F196" s="18"/>
      <c r="G196" s="19"/>
      <c r="H196" s="20"/>
      <c r="I196" s="21"/>
      <c r="J196" s="14"/>
      <c r="K196" s="14">
        <f t="shared" si="4"/>
        <v>0</v>
      </c>
      <c r="L196" s="16">
        <f t="shared" si="5"/>
        <v>0</v>
      </c>
      <c r="M196" s="22">
        <v>44593</v>
      </c>
      <c r="N196" s="23" t="s">
        <v>26</v>
      </c>
      <c r="O196" s="24"/>
      <c r="P196" s="23"/>
    </row>
    <row r="197" spans="1:16">
      <c r="A197" s="14">
        <v>193</v>
      </c>
      <c r="B197" s="15" t="s">
        <v>299</v>
      </c>
      <c r="C197" s="16">
        <v>0</v>
      </c>
      <c r="D197" s="17"/>
      <c r="E197" s="14"/>
      <c r="F197" s="18"/>
      <c r="G197" s="19"/>
      <c r="H197" s="20"/>
      <c r="I197" s="21"/>
      <c r="J197" s="14"/>
      <c r="K197" s="14">
        <f t="shared" ref="K197:K260" si="6">SUM(F197:J197)</f>
        <v>0</v>
      </c>
      <c r="L197" s="16">
        <f t="shared" ref="L197:L260" si="7">(C197+E197)-K197</f>
        <v>0</v>
      </c>
      <c r="M197" s="22">
        <v>44256</v>
      </c>
      <c r="N197" s="23" t="s">
        <v>16</v>
      </c>
      <c r="O197" s="24"/>
      <c r="P197" s="23" t="s">
        <v>300</v>
      </c>
    </row>
    <row r="198" spans="1:16">
      <c r="A198" s="14">
        <v>194</v>
      </c>
      <c r="B198" s="15" t="s">
        <v>301</v>
      </c>
      <c r="C198" s="16">
        <v>0</v>
      </c>
      <c r="D198" s="17"/>
      <c r="E198" s="14"/>
      <c r="F198" s="18"/>
      <c r="G198" s="19"/>
      <c r="H198" s="20"/>
      <c r="I198" s="21"/>
      <c r="J198" s="14"/>
      <c r="K198" s="14">
        <f t="shared" si="6"/>
        <v>0</v>
      </c>
      <c r="L198" s="16">
        <f t="shared" si="7"/>
        <v>0</v>
      </c>
      <c r="M198" s="22"/>
      <c r="N198" s="23" t="s">
        <v>16</v>
      </c>
      <c r="O198" s="24"/>
      <c r="P198" s="25"/>
    </row>
    <row r="199" spans="1:16">
      <c r="A199" s="14">
        <v>195</v>
      </c>
      <c r="B199" s="15" t="s">
        <v>302</v>
      </c>
      <c r="C199" s="16">
        <v>0</v>
      </c>
      <c r="D199" s="17"/>
      <c r="E199" s="14"/>
      <c r="F199" s="18"/>
      <c r="G199" s="19"/>
      <c r="H199" s="20"/>
      <c r="I199" s="21"/>
      <c r="J199" s="14"/>
      <c r="K199" s="14">
        <f t="shared" si="6"/>
        <v>0</v>
      </c>
      <c r="L199" s="16">
        <f t="shared" si="7"/>
        <v>0</v>
      </c>
      <c r="M199" s="22"/>
      <c r="N199" s="23" t="s">
        <v>16</v>
      </c>
      <c r="O199" s="24"/>
      <c r="P199" s="25"/>
    </row>
    <row r="200" spans="1:16">
      <c r="A200" s="14">
        <v>196</v>
      </c>
      <c r="B200" s="15" t="s">
        <v>303</v>
      </c>
      <c r="C200" s="16">
        <v>0</v>
      </c>
      <c r="D200" s="17"/>
      <c r="E200" s="14"/>
      <c r="F200" s="18"/>
      <c r="G200" s="19"/>
      <c r="H200" s="20"/>
      <c r="I200" s="21"/>
      <c r="J200" s="14"/>
      <c r="K200" s="14">
        <f t="shared" si="6"/>
        <v>0</v>
      </c>
      <c r="L200" s="16">
        <f t="shared" si="7"/>
        <v>0</v>
      </c>
      <c r="M200" s="22"/>
      <c r="N200" s="23" t="s">
        <v>16</v>
      </c>
      <c r="O200" s="24"/>
      <c r="P200" s="25"/>
    </row>
    <row r="201" spans="1:16">
      <c r="A201" s="14">
        <v>197</v>
      </c>
      <c r="B201" s="15" t="s">
        <v>304</v>
      </c>
      <c r="C201" s="16">
        <v>0</v>
      </c>
      <c r="D201" s="17"/>
      <c r="E201" s="14"/>
      <c r="F201" s="18"/>
      <c r="G201" s="19"/>
      <c r="H201" s="20"/>
      <c r="I201" s="21"/>
      <c r="J201" s="14"/>
      <c r="K201" s="14">
        <f t="shared" si="6"/>
        <v>0</v>
      </c>
      <c r="L201" s="16">
        <f t="shared" si="7"/>
        <v>0</v>
      </c>
      <c r="M201" s="22">
        <v>45261</v>
      </c>
      <c r="N201" s="23" t="s">
        <v>16</v>
      </c>
      <c r="O201" s="24"/>
      <c r="P201" s="23" t="s">
        <v>305</v>
      </c>
    </row>
    <row r="202" spans="1:16">
      <c r="A202" s="14">
        <v>198</v>
      </c>
      <c r="B202" s="15" t="s">
        <v>304</v>
      </c>
      <c r="C202" s="16">
        <v>2040</v>
      </c>
      <c r="D202" s="17"/>
      <c r="E202" s="14"/>
      <c r="F202" s="18">
        <f>80+80</f>
        <v>160</v>
      </c>
      <c r="G202" s="19"/>
      <c r="H202" s="20"/>
      <c r="I202" s="21"/>
      <c r="J202" s="14"/>
      <c r="K202" s="14">
        <f t="shared" si="6"/>
        <v>160</v>
      </c>
      <c r="L202" s="16">
        <f t="shared" si="7"/>
        <v>1880</v>
      </c>
      <c r="M202" s="22">
        <v>45413</v>
      </c>
      <c r="N202" s="23" t="s">
        <v>26</v>
      </c>
      <c r="O202" s="24" t="s">
        <v>17</v>
      </c>
      <c r="P202" s="23" t="s">
        <v>305</v>
      </c>
    </row>
    <row r="203" spans="1:16">
      <c r="A203" s="14">
        <v>199</v>
      </c>
      <c r="B203" s="15" t="s">
        <v>306</v>
      </c>
      <c r="C203" s="16">
        <v>0</v>
      </c>
      <c r="D203" s="17"/>
      <c r="E203" s="14"/>
      <c r="F203" s="18"/>
      <c r="G203" s="19"/>
      <c r="H203" s="20"/>
      <c r="I203" s="21"/>
      <c r="J203" s="14"/>
      <c r="K203" s="14">
        <f t="shared" si="6"/>
        <v>0</v>
      </c>
      <c r="L203" s="16">
        <f t="shared" si="7"/>
        <v>0</v>
      </c>
      <c r="M203" s="22"/>
      <c r="N203" s="23" t="s">
        <v>16</v>
      </c>
      <c r="O203" s="24"/>
      <c r="P203" s="25"/>
    </row>
    <row r="204" spans="1:16">
      <c r="A204" s="14">
        <v>200</v>
      </c>
      <c r="B204" s="15" t="s">
        <v>307</v>
      </c>
      <c r="C204" s="16">
        <v>0</v>
      </c>
      <c r="D204" s="17"/>
      <c r="E204" s="14"/>
      <c r="F204" s="18"/>
      <c r="G204" s="19"/>
      <c r="H204" s="20"/>
      <c r="I204" s="21"/>
      <c r="J204" s="14"/>
      <c r="K204" s="14">
        <f t="shared" si="6"/>
        <v>0</v>
      </c>
      <c r="L204" s="16">
        <f t="shared" si="7"/>
        <v>0</v>
      </c>
      <c r="M204" s="22"/>
      <c r="N204" s="23" t="s">
        <v>16</v>
      </c>
      <c r="O204" s="24"/>
      <c r="P204" s="25"/>
    </row>
    <row r="205" spans="1:16">
      <c r="A205" s="14">
        <v>201</v>
      </c>
      <c r="B205" s="15" t="s">
        <v>308</v>
      </c>
      <c r="C205" s="16">
        <v>0</v>
      </c>
      <c r="D205" s="17"/>
      <c r="E205" s="14"/>
      <c r="F205" s="18"/>
      <c r="G205" s="19"/>
      <c r="H205" s="20"/>
      <c r="I205" s="21"/>
      <c r="J205" s="14"/>
      <c r="K205" s="14">
        <f t="shared" si="6"/>
        <v>0</v>
      </c>
      <c r="L205" s="16">
        <f t="shared" si="7"/>
        <v>0</v>
      </c>
      <c r="M205" s="22">
        <v>44136</v>
      </c>
      <c r="N205" s="23" t="s">
        <v>16</v>
      </c>
      <c r="O205" s="24"/>
      <c r="P205" s="23" t="s">
        <v>309</v>
      </c>
    </row>
    <row r="206" spans="1:16">
      <c r="A206" s="14">
        <v>202</v>
      </c>
      <c r="B206" s="15" t="s">
        <v>310</v>
      </c>
      <c r="C206" s="16">
        <v>17</v>
      </c>
      <c r="D206" s="17"/>
      <c r="E206" s="14"/>
      <c r="F206" s="18"/>
      <c r="G206" s="19"/>
      <c r="H206" s="20"/>
      <c r="I206" s="21"/>
      <c r="J206" s="14"/>
      <c r="K206" s="14">
        <f t="shared" si="6"/>
        <v>0</v>
      </c>
      <c r="L206" s="16">
        <f t="shared" si="7"/>
        <v>17</v>
      </c>
      <c r="M206" s="22">
        <v>44652</v>
      </c>
      <c r="N206" s="23" t="s">
        <v>16</v>
      </c>
      <c r="O206" s="24" t="s">
        <v>17</v>
      </c>
      <c r="P206" s="28" t="s">
        <v>311</v>
      </c>
    </row>
    <row r="207" spans="1:16">
      <c r="A207" s="14">
        <v>203</v>
      </c>
      <c r="B207" s="15" t="s">
        <v>310</v>
      </c>
      <c r="C207" s="16">
        <v>0</v>
      </c>
      <c r="D207" s="17"/>
      <c r="E207" s="14"/>
      <c r="F207" s="18"/>
      <c r="G207" s="19"/>
      <c r="H207" s="20"/>
      <c r="I207" s="21"/>
      <c r="J207" s="14"/>
      <c r="K207" s="14">
        <f t="shared" si="6"/>
        <v>0</v>
      </c>
      <c r="L207" s="16">
        <f t="shared" si="7"/>
        <v>0</v>
      </c>
      <c r="M207" s="22">
        <v>44652</v>
      </c>
      <c r="N207" s="23" t="s">
        <v>26</v>
      </c>
      <c r="O207" s="24"/>
      <c r="P207" s="28" t="s">
        <v>311</v>
      </c>
    </row>
    <row r="208" spans="1:16">
      <c r="A208" s="14">
        <v>204</v>
      </c>
      <c r="B208" s="15" t="s">
        <v>312</v>
      </c>
      <c r="C208" s="16">
        <v>0</v>
      </c>
      <c r="D208" s="17"/>
      <c r="E208" s="14"/>
      <c r="F208" s="18"/>
      <c r="G208" s="19"/>
      <c r="H208" s="20"/>
      <c r="I208" s="21"/>
      <c r="J208" s="14"/>
      <c r="K208" s="14">
        <f t="shared" si="6"/>
        <v>0</v>
      </c>
      <c r="L208" s="16">
        <f t="shared" si="7"/>
        <v>0</v>
      </c>
      <c r="M208" s="22">
        <v>45658</v>
      </c>
      <c r="N208" s="23" t="s">
        <v>16</v>
      </c>
      <c r="O208" s="24"/>
      <c r="P208" s="28" t="s">
        <v>313</v>
      </c>
    </row>
    <row r="209" spans="1:16">
      <c r="A209" s="14">
        <v>205</v>
      </c>
      <c r="B209" s="15" t="s">
        <v>312</v>
      </c>
      <c r="C209" s="16">
        <v>0</v>
      </c>
      <c r="D209" s="17"/>
      <c r="E209" s="14"/>
      <c r="F209" s="18"/>
      <c r="G209" s="19"/>
      <c r="H209" s="20"/>
      <c r="I209" s="21"/>
      <c r="J209" s="14"/>
      <c r="K209" s="14">
        <f t="shared" si="6"/>
        <v>0</v>
      </c>
      <c r="L209" s="16">
        <f t="shared" si="7"/>
        <v>0</v>
      </c>
      <c r="M209" s="22">
        <v>45658</v>
      </c>
      <c r="N209" s="23" t="s">
        <v>26</v>
      </c>
      <c r="O209" s="24"/>
      <c r="P209" s="28" t="s">
        <v>313</v>
      </c>
    </row>
    <row r="210" spans="1:16">
      <c r="A210" s="14">
        <v>206</v>
      </c>
      <c r="B210" s="15" t="s">
        <v>314</v>
      </c>
      <c r="C210" s="16">
        <v>0</v>
      </c>
      <c r="D210" s="17"/>
      <c r="E210" s="14"/>
      <c r="F210" s="18"/>
      <c r="G210" s="19"/>
      <c r="H210" s="20"/>
      <c r="I210" s="21"/>
      <c r="J210" s="14"/>
      <c r="K210" s="14">
        <f t="shared" si="6"/>
        <v>0</v>
      </c>
      <c r="L210" s="16">
        <f t="shared" si="7"/>
        <v>0</v>
      </c>
      <c r="M210" s="22">
        <v>44562</v>
      </c>
      <c r="N210" s="23" t="s">
        <v>16</v>
      </c>
      <c r="O210" s="24"/>
      <c r="P210" s="23" t="s">
        <v>315</v>
      </c>
    </row>
    <row r="211" spans="1:16">
      <c r="A211" s="14">
        <v>207</v>
      </c>
      <c r="B211" s="15" t="s">
        <v>316</v>
      </c>
      <c r="C211" s="16">
        <v>0</v>
      </c>
      <c r="D211" s="17"/>
      <c r="E211" s="14"/>
      <c r="F211" s="18"/>
      <c r="G211" s="19"/>
      <c r="H211" s="20"/>
      <c r="I211" s="21"/>
      <c r="J211" s="14"/>
      <c r="K211" s="14">
        <f t="shared" si="6"/>
        <v>0</v>
      </c>
      <c r="L211" s="16">
        <f t="shared" si="7"/>
        <v>0</v>
      </c>
      <c r="M211" s="22"/>
      <c r="N211" s="23" t="s">
        <v>16</v>
      </c>
      <c r="O211" s="24"/>
      <c r="P211" s="25"/>
    </row>
    <row r="212" spans="1:16">
      <c r="A212" s="14">
        <v>208</v>
      </c>
      <c r="B212" s="29" t="s">
        <v>317</v>
      </c>
      <c r="C212" s="16">
        <v>0</v>
      </c>
      <c r="D212" s="17"/>
      <c r="E212" s="14"/>
      <c r="F212" s="18"/>
      <c r="G212" s="19"/>
      <c r="H212" s="20"/>
      <c r="I212" s="21"/>
      <c r="J212" s="14"/>
      <c r="K212" s="14">
        <f t="shared" si="6"/>
        <v>0</v>
      </c>
      <c r="L212" s="16">
        <f t="shared" si="7"/>
        <v>0</v>
      </c>
      <c r="M212" s="22"/>
      <c r="N212" s="23" t="s">
        <v>16</v>
      </c>
      <c r="O212" s="24"/>
      <c r="P212" s="25"/>
    </row>
    <row r="213" spans="1:16">
      <c r="A213" s="14">
        <v>209</v>
      </c>
      <c r="B213" s="29" t="s">
        <v>318</v>
      </c>
      <c r="C213" s="16">
        <v>0</v>
      </c>
      <c r="D213" s="17"/>
      <c r="E213" s="14"/>
      <c r="F213" s="18"/>
      <c r="G213" s="19"/>
      <c r="H213" s="20"/>
      <c r="I213" s="21"/>
      <c r="J213" s="14"/>
      <c r="K213" s="14">
        <f t="shared" si="6"/>
        <v>0</v>
      </c>
      <c r="L213" s="16">
        <f t="shared" si="7"/>
        <v>0</v>
      </c>
      <c r="M213" s="22"/>
      <c r="N213" s="23" t="s">
        <v>16</v>
      </c>
      <c r="O213" s="24"/>
      <c r="P213" s="25"/>
    </row>
    <row r="214" spans="1:16">
      <c r="A214" s="14">
        <v>210</v>
      </c>
      <c r="B214" s="29" t="s">
        <v>319</v>
      </c>
      <c r="C214" s="16">
        <v>0</v>
      </c>
      <c r="D214" s="17"/>
      <c r="E214" s="14"/>
      <c r="F214" s="18"/>
      <c r="G214" s="19"/>
      <c r="H214" s="20"/>
      <c r="I214" s="21"/>
      <c r="J214" s="14"/>
      <c r="K214" s="14">
        <f t="shared" si="6"/>
        <v>0</v>
      </c>
      <c r="L214" s="16">
        <f t="shared" si="7"/>
        <v>0</v>
      </c>
      <c r="M214" s="22"/>
      <c r="N214" s="23" t="s">
        <v>16</v>
      </c>
      <c r="O214" s="24"/>
      <c r="P214" s="25"/>
    </row>
    <row r="215" spans="1:16">
      <c r="A215" s="14">
        <v>211</v>
      </c>
      <c r="B215" s="29" t="s">
        <v>320</v>
      </c>
      <c r="C215" s="16">
        <v>2</v>
      </c>
      <c r="D215" s="17"/>
      <c r="E215" s="14"/>
      <c r="F215" s="18"/>
      <c r="G215" s="19"/>
      <c r="H215" s="20"/>
      <c r="I215" s="21"/>
      <c r="J215" s="14"/>
      <c r="K215" s="14">
        <f t="shared" si="6"/>
        <v>0</v>
      </c>
      <c r="L215" s="16">
        <f t="shared" si="7"/>
        <v>2</v>
      </c>
      <c r="M215" s="22">
        <v>44652</v>
      </c>
      <c r="N215" s="23" t="s">
        <v>16</v>
      </c>
      <c r="O215" s="24" t="s">
        <v>17</v>
      </c>
      <c r="P215" s="28" t="s">
        <v>321</v>
      </c>
    </row>
    <row r="216" spans="1:16">
      <c r="A216" s="14">
        <v>212</v>
      </c>
      <c r="B216" s="29" t="s">
        <v>322</v>
      </c>
      <c r="C216" s="16">
        <v>0</v>
      </c>
      <c r="D216" s="17"/>
      <c r="E216" s="14"/>
      <c r="F216" s="18"/>
      <c r="G216" s="19"/>
      <c r="H216" s="20"/>
      <c r="I216" s="21"/>
      <c r="J216" s="14"/>
      <c r="K216" s="14">
        <f t="shared" si="6"/>
        <v>0</v>
      </c>
      <c r="L216" s="16">
        <f t="shared" si="7"/>
        <v>0</v>
      </c>
      <c r="M216" s="22"/>
      <c r="N216" s="23" t="s">
        <v>16</v>
      </c>
      <c r="O216" s="24"/>
      <c r="P216" s="25"/>
    </row>
    <row r="217" spans="1:16">
      <c r="A217" s="14">
        <v>213</v>
      </c>
      <c r="B217" s="29" t="s">
        <v>323</v>
      </c>
      <c r="C217" s="16">
        <v>0</v>
      </c>
      <c r="D217" s="17"/>
      <c r="E217" s="14"/>
      <c r="F217" s="18"/>
      <c r="G217" s="19"/>
      <c r="H217" s="20"/>
      <c r="I217" s="21"/>
      <c r="J217" s="14"/>
      <c r="K217" s="14">
        <f t="shared" si="6"/>
        <v>0</v>
      </c>
      <c r="L217" s="16">
        <f t="shared" si="7"/>
        <v>0</v>
      </c>
      <c r="M217" s="22"/>
      <c r="N217" s="23" t="s">
        <v>16</v>
      </c>
      <c r="O217" s="24"/>
      <c r="P217" s="25"/>
    </row>
    <row r="218" spans="1:16">
      <c r="A218" s="14">
        <v>214</v>
      </c>
      <c r="B218" s="29" t="s">
        <v>324</v>
      </c>
      <c r="C218" s="16">
        <v>92</v>
      </c>
      <c r="D218" s="17"/>
      <c r="E218" s="14"/>
      <c r="F218" s="18">
        <f>8</f>
        <v>8</v>
      </c>
      <c r="G218" s="19"/>
      <c r="H218" s="20"/>
      <c r="I218" s="21"/>
      <c r="J218" s="14"/>
      <c r="K218" s="14">
        <f t="shared" si="6"/>
        <v>8</v>
      </c>
      <c r="L218" s="16">
        <f t="shared" si="7"/>
        <v>84</v>
      </c>
      <c r="M218" s="22">
        <v>45017</v>
      </c>
      <c r="N218" s="23" t="s">
        <v>16</v>
      </c>
      <c r="O218" s="24" t="s">
        <v>17</v>
      </c>
      <c r="P218" s="23" t="s">
        <v>325</v>
      </c>
    </row>
    <row r="219" spans="1:16">
      <c r="A219" s="14">
        <v>215</v>
      </c>
      <c r="B219" s="29" t="s">
        <v>326</v>
      </c>
      <c r="C219" s="16">
        <v>0</v>
      </c>
      <c r="D219" s="17"/>
      <c r="E219" s="14"/>
      <c r="F219" s="18"/>
      <c r="G219" s="19"/>
      <c r="H219" s="20"/>
      <c r="I219" s="21"/>
      <c r="J219" s="14"/>
      <c r="K219" s="14">
        <f t="shared" si="6"/>
        <v>0</v>
      </c>
      <c r="L219" s="16">
        <f t="shared" si="7"/>
        <v>0</v>
      </c>
      <c r="M219" s="22"/>
      <c r="N219" s="23" t="s">
        <v>16</v>
      </c>
      <c r="O219" s="24"/>
      <c r="P219" s="25"/>
    </row>
    <row r="220" spans="1:16">
      <c r="A220" s="14">
        <v>216</v>
      </c>
      <c r="B220" s="29" t="s">
        <v>327</v>
      </c>
      <c r="C220" s="16">
        <v>100</v>
      </c>
      <c r="D220" s="17"/>
      <c r="E220" s="14"/>
      <c r="F220" s="18">
        <f>2</f>
        <v>2</v>
      </c>
      <c r="G220" s="19"/>
      <c r="H220" s="20">
        <f>2</f>
        <v>2</v>
      </c>
      <c r="I220" s="21"/>
      <c r="J220" s="14"/>
      <c r="K220" s="14">
        <f t="shared" si="6"/>
        <v>4</v>
      </c>
      <c r="L220" s="16">
        <f t="shared" si="7"/>
        <v>96</v>
      </c>
      <c r="M220" s="22">
        <v>44774</v>
      </c>
      <c r="N220" s="23" t="s">
        <v>16</v>
      </c>
      <c r="O220" s="24" t="s">
        <v>17</v>
      </c>
      <c r="P220" s="23" t="s">
        <v>328</v>
      </c>
    </row>
    <row r="221" spans="1:16">
      <c r="A221" s="14">
        <v>217</v>
      </c>
      <c r="B221" s="29" t="s">
        <v>327</v>
      </c>
      <c r="C221" s="16">
        <v>18</v>
      </c>
      <c r="D221" s="17"/>
      <c r="E221" s="14"/>
      <c r="F221" s="18">
        <f>10</f>
        <v>10</v>
      </c>
      <c r="G221" s="19"/>
      <c r="H221" s="20">
        <f>8</f>
        <v>8</v>
      </c>
      <c r="I221" s="21"/>
      <c r="J221" s="14"/>
      <c r="K221" s="14">
        <f t="shared" si="6"/>
        <v>18</v>
      </c>
      <c r="L221" s="16">
        <f t="shared" si="7"/>
        <v>0</v>
      </c>
      <c r="M221" s="22">
        <v>44743</v>
      </c>
      <c r="N221" s="23" t="s">
        <v>16</v>
      </c>
      <c r="O221" s="24" t="s">
        <v>17</v>
      </c>
      <c r="P221" s="23" t="s">
        <v>328</v>
      </c>
    </row>
    <row r="222" spans="1:16">
      <c r="A222" s="14">
        <v>218</v>
      </c>
      <c r="B222" s="29" t="s">
        <v>327</v>
      </c>
      <c r="C222" s="16">
        <v>25</v>
      </c>
      <c r="D222" s="17"/>
      <c r="E222" s="14"/>
      <c r="F222" s="18"/>
      <c r="G222" s="19"/>
      <c r="H222" s="20"/>
      <c r="I222" s="21"/>
      <c r="J222" s="14"/>
      <c r="K222" s="14">
        <f t="shared" si="6"/>
        <v>0</v>
      </c>
      <c r="L222" s="16">
        <f t="shared" si="7"/>
        <v>25</v>
      </c>
      <c r="M222" s="22">
        <v>44774</v>
      </c>
      <c r="N222" s="23" t="s">
        <v>26</v>
      </c>
      <c r="O222" s="24" t="s">
        <v>17</v>
      </c>
      <c r="P222" s="23" t="s">
        <v>328</v>
      </c>
    </row>
    <row r="223" spans="1:16">
      <c r="A223" s="14">
        <v>219</v>
      </c>
      <c r="B223" s="29" t="s">
        <v>329</v>
      </c>
      <c r="C223" s="16">
        <v>0</v>
      </c>
      <c r="D223" s="17"/>
      <c r="E223" s="14"/>
      <c r="F223" s="18"/>
      <c r="G223" s="19"/>
      <c r="H223" s="20"/>
      <c r="I223" s="21"/>
      <c r="J223" s="14"/>
      <c r="K223" s="14">
        <f t="shared" si="6"/>
        <v>0</v>
      </c>
      <c r="L223" s="16">
        <f t="shared" si="7"/>
        <v>0</v>
      </c>
      <c r="M223" s="22">
        <v>44713</v>
      </c>
      <c r="N223" s="23" t="s">
        <v>16</v>
      </c>
      <c r="O223" s="24"/>
      <c r="P223" s="23" t="s">
        <v>330</v>
      </c>
    </row>
    <row r="224" spans="1:16">
      <c r="A224" s="14">
        <v>220</v>
      </c>
      <c r="B224" s="29" t="s">
        <v>331</v>
      </c>
      <c r="C224" s="16">
        <v>5</v>
      </c>
      <c r="D224" s="17"/>
      <c r="E224" s="14"/>
      <c r="F224" s="18"/>
      <c r="G224" s="19"/>
      <c r="H224" s="20"/>
      <c r="I224" s="21"/>
      <c r="J224" s="14"/>
      <c r="K224" s="14">
        <f t="shared" si="6"/>
        <v>0</v>
      </c>
      <c r="L224" s="16">
        <f t="shared" si="7"/>
        <v>5</v>
      </c>
      <c r="M224" s="22">
        <v>44317</v>
      </c>
      <c r="N224" s="23" t="s">
        <v>16</v>
      </c>
      <c r="O224" s="24" t="s">
        <v>45</v>
      </c>
      <c r="P224" s="23" t="s">
        <v>332</v>
      </c>
    </row>
    <row r="225" spans="1:16">
      <c r="A225" s="14">
        <v>221</v>
      </c>
      <c r="B225" s="29" t="s">
        <v>333</v>
      </c>
      <c r="C225" s="16">
        <v>0</v>
      </c>
      <c r="D225" s="17"/>
      <c r="E225" s="14"/>
      <c r="F225" s="18"/>
      <c r="G225" s="19"/>
      <c r="H225" s="20"/>
      <c r="I225" s="21"/>
      <c r="J225" s="14"/>
      <c r="K225" s="14">
        <f t="shared" si="6"/>
        <v>0</v>
      </c>
      <c r="L225" s="16">
        <f t="shared" si="7"/>
        <v>0</v>
      </c>
      <c r="M225" s="22">
        <v>44348</v>
      </c>
      <c r="N225" s="23" t="s">
        <v>16</v>
      </c>
      <c r="O225" s="24"/>
      <c r="P225" s="23" t="s">
        <v>334</v>
      </c>
    </row>
    <row r="226" spans="1:16">
      <c r="A226" s="14">
        <v>222</v>
      </c>
      <c r="B226" s="29" t="s">
        <v>335</v>
      </c>
      <c r="C226" s="16">
        <v>0</v>
      </c>
      <c r="D226" s="17"/>
      <c r="E226" s="14"/>
      <c r="F226" s="18"/>
      <c r="G226" s="19"/>
      <c r="H226" s="20"/>
      <c r="I226" s="21"/>
      <c r="J226" s="14"/>
      <c r="K226" s="14">
        <f t="shared" si="6"/>
        <v>0</v>
      </c>
      <c r="L226" s="16">
        <f t="shared" si="7"/>
        <v>0</v>
      </c>
      <c r="M226" s="22">
        <v>44348</v>
      </c>
      <c r="N226" s="23" t="s">
        <v>16</v>
      </c>
      <c r="O226" s="24"/>
      <c r="P226" s="25"/>
    </row>
    <row r="227" spans="1:16">
      <c r="A227" s="14">
        <v>223</v>
      </c>
      <c r="B227" s="29" t="s">
        <v>336</v>
      </c>
      <c r="C227" s="16">
        <v>167</v>
      </c>
      <c r="D227" s="17"/>
      <c r="E227" s="14"/>
      <c r="F227" s="18">
        <f>5</f>
        <v>5</v>
      </c>
      <c r="G227" s="19"/>
      <c r="H227" s="20"/>
      <c r="I227" s="21"/>
      <c r="J227" s="14"/>
      <c r="K227" s="14">
        <f t="shared" si="6"/>
        <v>5</v>
      </c>
      <c r="L227" s="16">
        <f t="shared" si="7"/>
        <v>162</v>
      </c>
      <c r="M227" s="22">
        <v>45413</v>
      </c>
      <c r="N227" s="23" t="s">
        <v>16</v>
      </c>
      <c r="O227" s="24" t="s">
        <v>17</v>
      </c>
      <c r="P227" s="23" t="s">
        <v>337</v>
      </c>
    </row>
    <row r="228" spans="1:16">
      <c r="A228" s="14">
        <v>224</v>
      </c>
      <c r="B228" s="29" t="s">
        <v>338</v>
      </c>
      <c r="C228" s="16">
        <v>0</v>
      </c>
      <c r="D228" s="17"/>
      <c r="E228" s="14"/>
      <c r="F228" s="18"/>
      <c r="G228" s="19"/>
      <c r="H228" s="20"/>
      <c r="I228" s="21"/>
      <c r="J228" s="14"/>
      <c r="K228" s="14">
        <f t="shared" si="6"/>
        <v>0</v>
      </c>
      <c r="L228" s="16">
        <f t="shared" si="7"/>
        <v>0</v>
      </c>
      <c r="M228" s="22">
        <v>44562</v>
      </c>
      <c r="N228" s="23" t="s">
        <v>16</v>
      </c>
      <c r="O228" s="24"/>
      <c r="P228" s="23" t="s">
        <v>339</v>
      </c>
    </row>
    <row r="229" spans="1:16">
      <c r="A229" s="14">
        <v>225</v>
      </c>
      <c r="B229" s="29" t="s">
        <v>340</v>
      </c>
      <c r="C229" s="16">
        <v>0</v>
      </c>
      <c r="D229" s="17"/>
      <c r="E229" s="14"/>
      <c r="F229" s="18"/>
      <c r="G229" s="19"/>
      <c r="H229" s="20"/>
      <c r="I229" s="21"/>
      <c r="J229" s="14"/>
      <c r="K229" s="14">
        <f t="shared" si="6"/>
        <v>0</v>
      </c>
      <c r="L229" s="16">
        <f t="shared" si="7"/>
        <v>0</v>
      </c>
      <c r="M229" s="22"/>
      <c r="N229" s="23" t="s">
        <v>16</v>
      </c>
      <c r="O229" s="24"/>
      <c r="P229" s="25"/>
    </row>
    <row r="230" spans="1:16">
      <c r="A230" s="14">
        <v>226</v>
      </c>
      <c r="B230" s="29" t="s">
        <v>341</v>
      </c>
      <c r="C230" s="16">
        <v>67</v>
      </c>
      <c r="D230" s="17"/>
      <c r="E230" s="14"/>
      <c r="F230" s="18">
        <f>5</f>
        <v>5</v>
      </c>
      <c r="G230" s="19"/>
      <c r="H230" s="20"/>
      <c r="I230" s="21"/>
      <c r="J230" s="14"/>
      <c r="K230" s="14">
        <f t="shared" si="6"/>
        <v>5</v>
      </c>
      <c r="L230" s="16">
        <f t="shared" si="7"/>
        <v>62</v>
      </c>
      <c r="M230" s="22">
        <v>45108</v>
      </c>
      <c r="N230" s="23" t="s">
        <v>16</v>
      </c>
      <c r="O230" s="24" t="s">
        <v>17</v>
      </c>
      <c r="P230" s="28" t="s">
        <v>342</v>
      </c>
    </row>
    <row r="231" spans="1:16">
      <c r="A231" s="14">
        <v>227</v>
      </c>
      <c r="B231" s="29" t="s">
        <v>343</v>
      </c>
      <c r="C231" s="16">
        <v>25</v>
      </c>
      <c r="D231" s="17"/>
      <c r="E231" s="14"/>
      <c r="F231" s="18"/>
      <c r="G231" s="19"/>
      <c r="H231" s="20"/>
      <c r="I231" s="21"/>
      <c r="J231" s="14"/>
      <c r="K231" s="14">
        <f t="shared" si="6"/>
        <v>0</v>
      </c>
      <c r="L231" s="16">
        <f t="shared" si="7"/>
        <v>25</v>
      </c>
      <c r="M231" s="22">
        <v>44835</v>
      </c>
      <c r="N231" s="23" t="s">
        <v>16</v>
      </c>
      <c r="O231" s="24" t="s">
        <v>17</v>
      </c>
      <c r="P231" s="28" t="s">
        <v>344</v>
      </c>
    </row>
    <row r="232" spans="1:16">
      <c r="A232" s="14">
        <v>228</v>
      </c>
      <c r="B232" s="29" t="s">
        <v>343</v>
      </c>
      <c r="C232" s="16">
        <v>0</v>
      </c>
      <c r="D232" s="17"/>
      <c r="E232" s="14"/>
      <c r="F232" s="18"/>
      <c r="G232" s="19"/>
      <c r="H232" s="20"/>
      <c r="I232" s="21"/>
      <c r="J232" s="14"/>
      <c r="K232" s="14">
        <f t="shared" si="6"/>
        <v>0</v>
      </c>
      <c r="L232" s="16">
        <f t="shared" si="7"/>
        <v>0</v>
      </c>
      <c r="M232" s="22">
        <v>44835</v>
      </c>
      <c r="N232" s="23" t="s">
        <v>26</v>
      </c>
      <c r="O232" s="24"/>
      <c r="P232" s="28" t="s">
        <v>344</v>
      </c>
    </row>
    <row r="233" spans="1:16">
      <c r="A233" s="14">
        <v>229</v>
      </c>
      <c r="B233" s="29" t="s">
        <v>345</v>
      </c>
      <c r="C233" s="16">
        <v>62</v>
      </c>
      <c r="D233" s="17"/>
      <c r="E233" s="14"/>
      <c r="F233" s="18">
        <f>5+5</f>
        <v>10</v>
      </c>
      <c r="G233" s="19"/>
      <c r="H233" s="20"/>
      <c r="I233" s="21"/>
      <c r="J233" s="14"/>
      <c r="K233" s="14">
        <f t="shared" si="6"/>
        <v>10</v>
      </c>
      <c r="L233" s="16">
        <f t="shared" si="7"/>
        <v>52</v>
      </c>
      <c r="M233" s="22">
        <v>44562</v>
      </c>
      <c r="N233" s="23" t="s">
        <v>16</v>
      </c>
      <c r="O233" s="24" t="s">
        <v>45</v>
      </c>
      <c r="P233" s="28" t="s">
        <v>346</v>
      </c>
    </row>
    <row r="234" spans="1:16">
      <c r="A234" s="14">
        <v>230</v>
      </c>
      <c r="B234" s="29" t="s">
        <v>347</v>
      </c>
      <c r="C234" s="16">
        <v>19</v>
      </c>
      <c r="D234" s="17"/>
      <c r="E234" s="14"/>
      <c r="F234" s="18">
        <f>5+5+9</f>
        <v>19</v>
      </c>
      <c r="G234" s="19"/>
      <c r="H234" s="20"/>
      <c r="I234" s="21"/>
      <c r="J234" s="14"/>
      <c r="K234" s="14">
        <f t="shared" si="6"/>
        <v>19</v>
      </c>
      <c r="L234" s="16">
        <f t="shared" si="7"/>
        <v>0</v>
      </c>
      <c r="M234" s="22">
        <v>44896</v>
      </c>
      <c r="N234" s="23" t="s">
        <v>16</v>
      </c>
      <c r="O234" s="24" t="s">
        <v>45</v>
      </c>
      <c r="P234" s="23" t="s">
        <v>348</v>
      </c>
    </row>
    <row r="235" spans="1:16">
      <c r="A235" s="14">
        <v>231</v>
      </c>
      <c r="B235" s="29" t="s">
        <v>349</v>
      </c>
      <c r="C235" s="16">
        <v>0</v>
      </c>
      <c r="D235" s="17"/>
      <c r="E235" s="14"/>
      <c r="F235" s="18"/>
      <c r="G235" s="19"/>
      <c r="H235" s="20"/>
      <c r="I235" s="21"/>
      <c r="J235" s="14"/>
      <c r="K235" s="14">
        <f t="shared" si="6"/>
        <v>0</v>
      </c>
      <c r="L235" s="16">
        <f t="shared" si="7"/>
        <v>0</v>
      </c>
      <c r="M235" s="22"/>
      <c r="N235" s="23" t="s">
        <v>16</v>
      </c>
      <c r="O235" s="24"/>
      <c r="P235" s="25"/>
    </row>
    <row r="236" spans="1:16">
      <c r="A236" s="14">
        <v>232</v>
      </c>
      <c r="B236" s="29" t="s">
        <v>350</v>
      </c>
      <c r="C236" s="16">
        <v>0</v>
      </c>
      <c r="D236" s="17"/>
      <c r="E236" s="14"/>
      <c r="F236" s="18"/>
      <c r="G236" s="19"/>
      <c r="H236" s="20"/>
      <c r="I236" s="21"/>
      <c r="J236" s="14"/>
      <c r="K236" s="14">
        <f t="shared" si="6"/>
        <v>0</v>
      </c>
      <c r="L236" s="16">
        <f t="shared" si="7"/>
        <v>0</v>
      </c>
      <c r="M236" s="22"/>
      <c r="N236" s="23" t="s">
        <v>16</v>
      </c>
      <c r="O236" s="24"/>
      <c r="P236" s="25"/>
    </row>
    <row r="237" spans="1:16">
      <c r="A237" s="14">
        <v>233</v>
      </c>
      <c r="B237" s="29" t="s">
        <v>351</v>
      </c>
      <c r="C237" s="16">
        <v>0</v>
      </c>
      <c r="D237" s="17"/>
      <c r="E237" s="14"/>
      <c r="F237" s="18"/>
      <c r="G237" s="19"/>
      <c r="H237" s="20"/>
      <c r="I237" s="21"/>
      <c r="J237" s="14"/>
      <c r="K237" s="14">
        <f t="shared" si="6"/>
        <v>0</v>
      </c>
      <c r="L237" s="16">
        <f t="shared" si="7"/>
        <v>0</v>
      </c>
      <c r="M237" s="22">
        <v>44197</v>
      </c>
      <c r="N237" s="23" t="s">
        <v>16</v>
      </c>
      <c r="O237" s="24"/>
      <c r="P237" s="28" t="s">
        <v>352</v>
      </c>
    </row>
    <row r="238" spans="1:16">
      <c r="A238" s="14">
        <v>234</v>
      </c>
      <c r="B238" s="29" t="s">
        <v>353</v>
      </c>
      <c r="C238" s="16">
        <v>432</v>
      </c>
      <c r="D238" s="17"/>
      <c r="E238" s="14"/>
      <c r="F238" s="18">
        <f>5+10+24</f>
        <v>39</v>
      </c>
      <c r="G238" s="19"/>
      <c r="H238" s="20"/>
      <c r="I238" s="21"/>
      <c r="J238" s="14"/>
      <c r="K238" s="14">
        <f t="shared" si="6"/>
        <v>39</v>
      </c>
      <c r="L238" s="16">
        <f t="shared" si="7"/>
        <v>393</v>
      </c>
      <c r="M238" s="22">
        <v>44652</v>
      </c>
      <c r="N238" s="23" t="s">
        <v>16</v>
      </c>
      <c r="O238" s="24" t="s">
        <v>17</v>
      </c>
      <c r="P238" s="28" t="s">
        <v>354</v>
      </c>
    </row>
    <row r="239" spans="1:16">
      <c r="A239" s="14">
        <v>235</v>
      </c>
      <c r="B239" s="29" t="s">
        <v>355</v>
      </c>
      <c r="C239" s="16">
        <v>8</v>
      </c>
      <c r="D239" s="17"/>
      <c r="E239" s="14"/>
      <c r="F239" s="18"/>
      <c r="G239" s="19"/>
      <c r="H239" s="20"/>
      <c r="I239" s="21"/>
      <c r="J239" s="14"/>
      <c r="K239" s="14">
        <f t="shared" si="6"/>
        <v>0</v>
      </c>
      <c r="L239" s="16">
        <f t="shared" si="7"/>
        <v>8</v>
      </c>
      <c r="M239" s="22">
        <v>44713</v>
      </c>
      <c r="N239" s="23" t="s">
        <v>16</v>
      </c>
      <c r="O239" s="24" t="s">
        <v>17</v>
      </c>
      <c r="P239" s="28" t="s">
        <v>356</v>
      </c>
    </row>
    <row r="240" spans="1:16">
      <c r="A240" s="14">
        <v>236</v>
      </c>
      <c r="B240" s="29" t="s">
        <v>357</v>
      </c>
      <c r="C240" s="16">
        <v>0</v>
      </c>
      <c r="D240" s="17"/>
      <c r="E240" s="14"/>
      <c r="F240" s="18"/>
      <c r="G240" s="19"/>
      <c r="H240" s="20"/>
      <c r="I240" s="21"/>
      <c r="J240" s="14"/>
      <c r="K240" s="14">
        <f t="shared" si="6"/>
        <v>0</v>
      </c>
      <c r="L240" s="16">
        <f t="shared" si="7"/>
        <v>0</v>
      </c>
      <c r="M240" s="22"/>
      <c r="N240" s="23" t="s">
        <v>16</v>
      </c>
      <c r="O240" s="24"/>
      <c r="P240" s="25"/>
    </row>
    <row r="241" spans="1:16">
      <c r="A241" s="14">
        <v>237</v>
      </c>
      <c r="B241" s="29" t="s">
        <v>358</v>
      </c>
      <c r="C241" s="16">
        <v>0</v>
      </c>
      <c r="D241" s="17"/>
      <c r="E241" s="14"/>
      <c r="F241" s="18"/>
      <c r="G241" s="19"/>
      <c r="H241" s="20"/>
      <c r="I241" s="21"/>
      <c r="J241" s="14"/>
      <c r="K241" s="14">
        <f t="shared" si="6"/>
        <v>0</v>
      </c>
      <c r="L241" s="16">
        <f t="shared" si="7"/>
        <v>0</v>
      </c>
      <c r="M241" s="22">
        <v>44562</v>
      </c>
      <c r="N241" s="23" t="s">
        <v>26</v>
      </c>
      <c r="O241" s="24"/>
      <c r="P241" s="28" t="s">
        <v>359</v>
      </c>
    </row>
    <row r="242" spans="1:16">
      <c r="A242" s="14">
        <v>238</v>
      </c>
      <c r="B242" s="29" t="s">
        <v>360</v>
      </c>
      <c r="C242" s="16">
        <v>0</v>
      </c>
      <c r="D242" s="17"/>
      <c r="E242" s="14"/>
      <c r="F242" s="18"/>
      <c r="G242" s="19"/>
      <c r="H242" s="20"/>
      <c r="I242" s="21"/>
      <c r="J242" s="14"/>
      <c r="K242" s="14">
        <f t="shared" si="6"/>
        <v>0</v>
      </c>
      <c r="L242" s="16">
        <f t="shared" si="7"/>
        <v>0</v>
      </c>
      <c r="M242" s="22"/>
      <c r="N242" s="23" t="s">
        <v>16</v>
      </c>
      <c r="O242" s="24"/>
      <c r="P242" s="25"/>
    </row>
    <row r="243" spans="1:16">
      <c r="A243" s="14">
        <v>239</v>
      </c>
      <c r="B243" s="29" t="s">
        <v>361</v>
      </c>
      <c r="C243" s="16">
        <v>0</v>
      </c>
      <c r="D243" s="17"/>
      <c r="E243" s="14"/>
      <c r="F243" s="18"/>
      <c r="G243" s="19"/>
      <c r="H243" s="20"/>
      <c r="I243" s="21"/>
      <c r="J243" s="14"/>
      <c r="K243" s="14">
        <f t="shared" si="6"/>
        <v>0</v>
      </c>
      <c r="L243" s="16">
        <f t="shared" si="7"/>
        <v>0</v>
      </c>
      <c r="M243" s="22"/>
      <c r="N243" s="23" t="s">
        <v>16</v>
      </c>
      <c r="O243" s="24"/>
      <c r="P243" s="25"/>
    </row>
    <row r="244" spans="1:16">
      <c r="A244" s="14">
        <v>240</v>
      </c>
      <c r="B244" s="29" t="s">
        <v>362</v>
      </c>
      <c r="C244" s="16">
        <v>0</v>
      </c>
      <c r="D244" s="17"/>
      <c r="E244" s="14"/>
      <c r="F244" s="18"/>
      <c r="G244" s="19"/>
      <c r="H244" s="20"/>
      <c r="I244" s="21"/>
      <c r="J244" s="14"/>
      <c r="K244" s="14">
        <f t="shared" si="6"/>
        <v>0</v>
      </c>
      <c r="L244" s="16">
        <f t="shared" si="7"/>
        <v>0</v>
      </c>
      <c r="M244" s="22">
        <v>45200</v>
      </c>
      <c r="N244" s="23" t="s">
        <v>16</v>
      </c>
      <c r="O244" s="24"/>
      <c r="P244" s="23" t="s">
        <v>363</v>
      </c>
    </row>
    <row r="245" spans="1:16">
      <c r="A245" s="14">
        <v>241</v>
      </c>
      <c r="B245" s="29" t="s">
        <v>364</v>
      </c>
      <c r="C245" s="16">
        <v>0</v>
      </c>
      <c r="D245" s="17"/>
      <c r="E245" s="14"/>
      <c r="F245" s="18"/>
      <c r="G245" s="19"/>
      <c r="H245" s="20"/>
      <c r="I245" s="21"/>
      <c r="J245" s="14"/>
      <c r="K245" s="14">
        <f t="shared" si="6"/>
        <v>0</v>
      </c>
      <c r="L245" s="16">
        <f t="shared" si="7"/>
        <v>0</v>
      </c>
      <c r="M245" s="22">
        <v>44378</v>
      </c>
      <c r="N245" s="23" t="s">
        <v>26</v>
      </c>
      <c r="O245" s="24"/>
      <c r="P245" s="25"/>
    </row>
    <row r="246" spans="1:16">
      <c r="A246" s="14">
        <v>242</v>
      </c>
      <c r="B246" s="29" t="s">
        <v>365</v>
      </c>
      <c r="C246" s="16">
        <v>0</v>
      </c>
      <c r="D246" s="17"/>
      <c r="E246" s="14"/>
      <c r="F246" s="18"/>
      <c r="G246" s="19"/>
      <c r="H246" s="20"/>
      <c r="I246" s="21"/>
      <c r="J246" s="14"/>
      <c r="K246" s="14">
        <f t="shared" si="6"/>
        <v>0</v>
      </c>
      <c r="L246" s="16">
        <f t="shared" si="7"/>
        <v>0</v>
      </c>
      <c r="M246" s="22"/>
      <c r="N246" s="23" t="s">
        <v>16</v>
      </c>
      <c r="O246" s="24"/>
      <c r="P246" s="25"/>
    </row>
    <row r="247" spans="1:16">
      <c r="A247" s="14">
        <v>243</v>
      </c>
      <c r="B247" s="29" t="s">
        <v>366</v>
      </c>
      <c r="C247" s="16">
        <v>0</v>
      </c>
      <c r="D247" s="17"/>
      <c r="E247" s="14"/>
      <c r="F247" s="18"/>
      <c r="G247" s="19"/>
      <c r="H247" s="20"/>
      <c r="I247" s="21"/>
      <c r="J247" s="14"/>
      <c r="K247" s="14">
        <f t="shared" si="6"/>
        <v>0</v>
      </c>
      <c r="L247" s="16">
        <f t="shared" si="7"/>
        <v>0</v>
      </c>
      <c r="M247" s="22"/>
      <c r="N247" s="23" t="s">
        <v>16</v>
      </c>
      <c r="O247" s="24"/>
      <c r="P247" s="25"/>
    </row>
    <row r="248" spans="1:16">
      <c r="A248" s="14">
        <v>244</v>
      </c>
      <c r="B248" s="29" t="s">
        <v>367</v>
      </c>
      <c r="C248" s="16">
        <v>25</v>
      </c>
      <c r="D248" s="17"/>
      <c r="E248" s="14"/>
      <c r="F248" s="18"/>
      <c r="G248" s="19"/>
      <c r="H248" s="20"/>
      <c r="I248" s="21"/>
      <c r="J248" s="14"/>
      <c r="K248" s="14">
        <f t="shared" si="6"/>
        <v>0</v>
      </c>
      <c r="L248" s="16">
        <f t="shared" si="7"/>
        <v>25</v>
      </c>
      <c r="M248" s="22">
        <v>45261</v>
      </c>
      <c r="N248" s="23" t="s">
        <v>16</v>
      </c>
      <c r="O248" s="24" t="s">
        <v>17</v>
      </c>
      <c r="P248" s="23" t="s">
        <v>368</v>
      </c>
    </row>
    <row r="249" spans="1:16">
      <c r="A249" s="14">
        <v>245</v>
      </c>
      <c r="B249" s="29" t="s">
        <v>369</v>
      </c>
      <c r="C249" s="16">
        <v>20</v>
      </c>
      <c r="D249" s="17"/>
      <c r="E249" s="14"/>
      <c r="F249" s="18"/>
      <c r="G249" s="19"/>
      <c r="H249" s="20"/>
      <c r="I249" s="21"/>
      <c r="J249" s="14"/>
      <c r="K249" s="14">
        <f t="shared" si="6"/>
        <v>0</v>
      </c>
      <c r="L249" s="16">
        <f t="shared" si="7"/>
        <v>20</v>
      </c>
      <c r="M249" s="22">
        <v>44927</v>
      </c>
      <c r="N249" s="23" t="s">
        <v>16</v>
      </c>
      <c r="O249" s="24" t="s">
        <v>45</v>
      </c>
      <c r="P249" s="28" t="s">
        <v>370</v>
      </c>
    </row>
    <row r="250" spans="1:16">
      <c r="A250" s="14">
        <v>246</v>
      </c>
      <c r="B250" s="29" t="s">
        <v>371</v>
      </c>
      <c r="C250" s="16">
        <v>72</v>
      </c>
      <c r="D250" s="17"/>
      <c r="E250" s="14"/>
      <c r="F250" s="18">
        <f>10+5+10</f>
        <v>25</v>
      </c>
      <c r="G250" s="19"/>
      <c r="H250" s="20"/>
      <c r="I250" s="21"/>
      <c r="J250" s="14"/>
      <c r="K250" s="14">
        <f t="shared" si="6"/>
        <v>25</v>
      </c>
      <c r="L250" s="16">
        <f t="shared" si="7"/>
        <v>47</v>
      </c>
      <c r="M250" s="22">
        <v>45413</v>
      </c>
      <c r="N250" s="23" t="s">
        <v>16</v>
      </c>
      <c r="O250" s="24" t="s">
        <v>17</v>
      </c>
      <c r="P250" s="23" t="s">
        <v>372</v>
      </c>
    </row>
    <row r="251" spans="1:16">
      <c r="A251" s="14">
        <v>247</v>
      </c>
      <c r="B251" s="29" t="s">
        <v>371</v>
      </c>
      <c r="C251" s="16">
        <v>0</v>
      </c>
      <c r="D251" s="17"/>
      <c r="E251" s="14"/>
      <c r="F251" s="18"/>
      <c r="G251" s="19"/>
      <c r="H251" s="20"/>
      <c r="I251" s="21"/>
      <c r="J251" s="14"/>
      <c r="K251" s="14">
        <f t="shared" si="6"/>
        <v>0</v>
      </c>
      <c r="L251" s="16">
        <f t="shared" si="7"/>
        <v>0</v>
      </c>
      <c r="M251" s="22">
        <v>45413</v>
      </c>
      <c r="N251" s="23" t="s">
        <v>26</v>
      </c>
      <c r="O251" s="24"/>
      <c r="P251" s="23" t="s">
        <v>372</v>
      </c>
    </row>
    <row r="252" spans="1:16">
      <c r="A252" s="14">
        <v>248</v>
      </c>
      <c r="B252" s="29" t="s">
        <v>373</v>
      </c>
      <c r="C252" s="16">
        <v>0</v>
      </c>
      <c r="D252" s="17"/>
      <c r="E252" s="14"/>
      <c r="F252" s="18"/>
      <c r="G252" s="19"/>
      <c r="H252" s="20"/>
      <c r="I252" s="21"/>
      <c r="J252" s="14"/>
      <c r="K252" s="14">
        <f t="shared" si="6"/>
        <v>0</v>
      </c>
      <c r="L252" s="16">
        <f t="shared" si="7"/>
        <v>0</v>
      </c>
      <c r="M252" s="22">
        <v>45108</v>
      </c>
      <c r="N252" s="23" t="s">
        <v>16</v>
      </c>
      <c r="O252" s="24"/>
      <c r="P252" s="23" t="s">
        <v>374</v>
      </c>
    </row>
    <row r="253" spans="1:16">
      <c r="A253" s="14">
        <v>249</v>
      </c>
      <c r="B253" s="29" t="s">
        <v>373</v>
      </c>
      <c r="C253" s="16">
        <v>0</v>
      </c>
      <c r="D253" s="17"/>
      <c r="E253" s="14"/>
      <c r="F253" s="18"/>
      <c r="G253" s="19"/>
      <c r="H253" s="20"/>
      <c r="I253" s="21"/>
      <c r="J253" s="14"/>
      <c r="K253" s="14">
        <f t="shared" si="6"/>
        <v>0</v>
      </c>
      <c r="L253" s="16">
        <f t="shared" si="7"/>
        <v>0</v>
      </c>
      <c r="M253" s="22">
        <v>45108</v>
      </c>
      <c r="N253" s="23" t="s">
        <v>26</v>
      </c>
      <c r="O253" s="24"/>
      <c r="P253" s="23" t="s">
        <v>374</v>
      </c>
    </row>
    <row r="254" spans="1:16">
      <c r="A254" s="14">
        <v>250</v>
      </c>
      <c r="B254" s="29" t="s">
        <v>375</v>
      </c>
      <c r="C254" s="16">
        <v>10</v>
      </c>
      <c r="D254" s="17"/>
      <c r="E254" s="14"/>
      <c r="F254" s="18">
        <f>7</f>
        <v>7</v>
      </c>
      <c r="G254" s="19"/>
      <c r="H254" s="20"/>
      <c r="I254" s="21"/>
      <c r="J254" s="14"/>
      <c r="K254" s="14">
        <f t="shared" si="6"/>
        <v>7</v>
      </c>
      <c r="L254" s="16">
        <f t="shared" si="7"/>
        <v>3</v>
      </c>
      <c r="M254" s="22">
        <v>44805</v>
      </c>
      <c r="N254" s="23" t="s">
        <v>16</v>
      </c>
      <c r="O254" s="24" t="s">
        <v>17</v>
      </c>
      <c r="P254" s="28" t="s">
        <v>376</v>
      </c>
    </row>
    <row r="255" spans="1:16">
      <c r="A255" s="14">
        <v>251</v>
      </c>
      <c r="B255" s="29" t="s">
        <v>375</v>
      </c>
      <c r="C255" s="16">
        <v>0</v>
      </c>
      <c r="D255" s="17"/>
      <c r="E255" s="14"/>
      <c r="F255" s="18"/>
      <c r="G255" s="19"/>
      <c r="H255" s="20"/>
      <c r="I255" s="21"/>
      <c r="J255" s="14"/>
      <c r="K255" s="14">
        <f t="shared" si="6"/>
        <v>0</v>
      </c>
      <c r="L255" s="16">
        <f t="shared" si="7"/>
        <v>0</v>
      </c>
      <c r="M255" s="22">
        <v>44958</v>
      </c>
      <c r="N255" s="23" t="s">
        <v>26</v>
      </c>
      <c r="O255" s="24"/>
      <c r="P255" s="28" t="s">
        <v>376</v>
      </c>
    </row>
    <row r="256" spans="1:16">
      <c r="A256" s="14">
        <v>252</v>
      </c>
      <c r="B256" s="29" t="s">
        <v>377</v>
      </c>
      <c r="C256" s="16">
        <v>161</v>
      </c>
      <c r="D256" s="17"/>
      <c r="E256" s="14"/>
      <c r="F256" s="18"/>
      <c r="G256" s="19"/>
      <c r="H256" s="20"/>
      <c r="I256" s="21"/>
      <c r="J256" s="14"/>
      <c r="K256" s="14">
        <f t="shared" si="6"/>
        <v>0</v>
      </c>
      <c r="L256" s="16">
        <f t="shared" si="7"/>
        <v>161</v>
      </c>
      <c r="M256" s="22">
        <v>45170</v>
      </c>
      <c r="N256" s="23" t="s">
        <v>16</v>
      </c>
      <c r="O256" s="24" t="s">
        <v>17</v>
      </c>
      <c r="P256" s="23" t="s">
        <v>378</v>
      </c>
    </row>
    <row r="257" spans="1:16">
      <c r="A257" s="14">
        <v>253</v>
      </c>
      <c r="B257" s="29" t="s">
        <v>377</v>
      </c>
      <c r="C257" s="16">
        <v>114</v>
      </c>
      <c r="D257" s="17"/>
      <c r="E257" s="14"/>
      <c r="F257" s="18"/>
      <c r="G257" s="19"/>
      <c r="H257" s="20"/>
      <c r="I257" s="21"/>
      <c r="J257" s="14"/>
      <c r="K257" s="14">
        <f t="shared" si="6"/>
        <v>0</v>
      </c>
      <c r="L257" s="16">
        <f t="shared" si="7"/>
        <v>114</v>
      </c>
      <c r="M257" s="22">
        <v>45170</v>
      </c>
      <c r="N257" s="23" t="s">
        <v>26</v>
      </c>
      <c r="O257" s="24" t="s">
        <v>17</v>
      </c>
      <c r="P257" s="23" t="s">
        <v>378</v>
      </c>
    </row>
    <row r="258" spans="1:16">
      <c r="A258" s="14">
        <v>254</v>
      </c>
      <c r="B258" s="29" t="s">
        <v>379</v>
      </c>
      <c r="C258" s="16">
        <v>0</v>
      </c>
      <c r="D258" s="17"/>
      <c r="E258" s="14"/>
      <c r="F258" s="18"/>
      <c r="G258" s="19"/>
      <c r="H258" s="20"/>
      <c r="I258" s="21"/>
      <c r="J258" s="14"/>
      <c r="K258" s="14">
        <f t="shared" si="6"/>
        <v>0</v>
      </c>
      <c r="L258" s="16">
        <f t="shared" si="7"/>
        <v>0</v>
      </c>
      <c r="M258" s="22"/>
      <c r="N258" s="23" t="s">
        <v>16</v>
      </c>
      <c r="O258" s="24"/>
      <c r="P258" s="25"/>
    </row>
    <row r="259" spans="1:16">
      <c r="A259" s="14">
        <v>255</v>
      </c>
      <c r="B259" s="29" t="s">
        <v>380</v>
      </c>
      <c r="C259" s="16">
        <v>7</v>
      </c>
      <c r="D259" s="17"/>
      <c r="E259" s="14"/>
      <c r="F259" s="18">
        <f>5</f>
        <v>5</v>
      </c>
      <c r="G259" s="19"/>
      <c r="H259" s="20"/>
      <c r="I259" s="21"/>
      <c r="J259" s="14"/>
      <c r="K259" s="14">
        <f t="shared" si="6"/>
        <v>5</v>
      </c>
      <c r="L259" s="16">
        <f t="shared" si="7"/>
        <v>2</v>
      </c>
      <c r="M259" s="22">
        <v>44682</v>
      </c>
      <c r="N259" s="23" t="s">
        <v>16</v>
      </c>
      <c r="O259" s="24" t="s">
        <v>45</v>
      </c>
      <c r="P259" s="23" t="s">
        <v>381</v>
      </c>
    </row>
    <row r="260" spans="1:16">
      <c r="A260" s="14">
        <v>256</v>
      </c>
      <c r="B260" s="29" t="s">
        <v>382</v>
      </c>
      <c r="C260" s="16">
        <v>0</v>
      </c>
      <c r="D260" s="17"/>
      <c r="E260" s="14"/>
      <c r="F260" s="18"/>
      <c r="G260" s="19"/>
      <c r="H260" s="20"/>
      <c r="I260" s="21"/>
      <c r="J260" s="14"/>
      <c r="K260" s="14">
        <f t="shared" si="6"/>
        <v>0</v>
      </c>
      <c r="L260" s="16">
        <f t="shared" si="7"/>
        <v>0</v>
      </c>
      <c r="M260" s="22">
        <v>44743</v>
      </c>
      <c r="N260" s="23" t="s">
        <v>16</v>
      </c>
      <c r="O260" s="24"/>
      <c r="P260" s="23" t="s">
        <v>383</v>
      </c>
    </row>
    <row r="261" spans="1:16">
      <c r="A261" s="14">
        <v>257</v>
      </c>
      <c r="B261" s="29" t="s">
        <v>384</v>
      </c>
      <c r="C261" s="16">
        <v>0</v>
      </c>
      <c r="D261" s="17"/>
      <c r="E261" s="14"/>
      <c r="F261" s="18"/>
      <c r="G261" s="19"/>
      <c r="H261" s="20"/>
      <c r="I261" s="21"/>
      <c r="J261" s="14"/>
      <c r="K261" s="14">
        <f t="shared" ref="K261:K324" si="8">SUM(F261:J261)</f>
        <v>0</v>
      </c>
      <c r="L261" s="16">
        <f t="shared" ref="L261:L324" si="9">(C261+E261)-K261</f>
        <v>0</v>
      </c>
      <c r="M261" s="22"/>
      <c r="N261" s="23" t="s">
        <v>16</v>
      </c>
      <c r="O261" s="24"/>
      <c r="P261" s="25"/>
    </row>
    <row r="262" spans="1:16">
      <c r="A262" s="14">
        <v>258</v>
      </c>
      <c r="B262" s="29" t="s">
        <v>385</v>
      </c>
      <c r="C262" s="16">
        <v>0</v>
      </c>
      <c r="D262" s="17"/>
      <c r="E262" s="14"/>
      <c r="F262" s="18"/>
      <c r="G262" s="19"/>
      <c r="H262" s="20"/>
      <c r="I262" s="21"/>
      <c r="J262" s="14"/>
      <c r="K262" s="14">
        <f t="shared" si="8"/>
        <v>0</v>
      </c>
      <c r="L262" s="16">
        <f t="shared" si="9"/>
        <v>0</v>
      </c>
      <c r="M262" s="22"/>
      <c r="N262" s="23" t="s">
        <v>16</v>
      </c>
      <c r="O262" s="24"/>
      <c r="P262" s="25"/>
    </row>
    <row r="263" spans="1:16">
      <c r="A263" s="14">
        <v>259</v>
      </c>
      <c r="B263" s="29" t="s">
        <v>386</v>
      </c>
      <c r="C263" s="16">
        <v>0</v>
      </c>
      <c r="D263" s="17"/>
      <c r="E263" s="14"/>
      <c r="F263" s="18"/>
      <c r="G263" s="19"/>
      <c r="H263" s="20"/>
      <c r="I263" s="21"/>
      <c r="J263" s="14"/>
      <c r="K263" s="14">
        <f t="shared" si="8"/>
        <v>0</v>
      </c>
      <c r="L263" s="16">
        <f t="shared" si="9"/>
        <v>0</v>
      </c>
      <c r="M263" s="22"/>
      <c r="N263" s="23" t="s">
        <v>16</v>
      </c>
      <c r="O263" s="24"/>
      <c r="P263" s="25"/>
    </row>
    <row r="264" spans="1:16">
      <c r="A264" s="14">
        <v>260</v>
      </c>
      <c r="B264" s="29" t="s">
        <v>387</v>
      </c>
      <c r="C264" s="16">
        <v>0</v>
      </c>
      <c r="D264" s="17"/>
      <c r="E264" s="14"/>
      <c r="F264" s="18"/>
      <c r="G264" s="19"/>
      <c r="H264" s="20"/>
      <c r="I264" s="21"/>
      <c r="J264" s="14"/>
      <c r="K264" s="14">
        <f t="shared" si="8"/>
        <v>0</v>
      </c>
      <c r="L264" s="16">
        <f t="shared" si="9"/>
        <v>0</v>
      </c>
      <c r="M264" s="22"/>
      <c r="N264" s="23" t="s">
        <v>16</v>
      </c>
      <c r="O264" s="24"/>
      <c r="P264" s="25"/>
    </row>
    <row r="265" spans="1:16">
      <c r="A265" s="14">
        <v>261</v>
      </c>
      <c r="B265" s="29" t="s">
        <v>388</v>
      </c>
      <c r="C265" s="16">
        <v>0</v>
      </c>
      <c r="D265" s="17"/>
      <c r="E265" s="14"/>
      <c r="F265" s="18"/>
      <c r="G265" s="19"/>
      <c r="H265" s="20"/>
      <c r="I265" s="21"/>
      <c r="J265" s="14"/>
      <c r="K265" s="14">
        <f t="shared" si="8"/>
        <v>0</v>
      </c>
      <c r="L265" s="16">
        <f t="shared" si="9"/>
        <v>0</v>
      </c>
      <c r="M265" s="22">
        <v>45139</v>
      </c>
      <c r="N265" s="23" t="s">
        <v>16</v>
      </c>
      <c r="O265" s="24"/>
      <c r="P265" s="23" t="s">
        <v>389</v>
      </c>
    </row>
    <row r="266" spans="1:16">
      <c r="A266" s="14">
        <v>262</v>
      </c>
      <c r="B266" s="29" t="s">
        <v>390</v>
      </c>
      <c r="C266" s="16">
        <v>0</v>
      </c>
      <c r="D266" s="26"/>
      <c r="E266" s="14"/>
      <c r="F266" s="18"/>
      <c r="G266" s="19"/>
      <c r="H266" s="20"/>
      <c r="I266" s="21"/>
      <c r="J266" s="14"/>
      <c r="K266" s="14">
        <f t="shared" si="8"/>
        <v>0</v>
      </c>
      <c r="L266" s="16">
        <f t="shared" si="9"/>
        <v>0</v>
      </c>
      <c r="M266" s="22"/>
      <c r="N266" s="23" t="s">
        <v>16</v>
      </c>
      <c r="O266" s="24"/>
      <c r="P266" s="23" t="s">
        <v>391</v>
      </c>
    </row>
    <row r="267" spans="1:16">
      <c r="A267" s="14">
        <v>263</v>
      </c>
      <c r="B267" s="29" t="s">
        <v>392</v>
      </c>
      <c r="C267" s="16">
        <v>0</v>
      </c>
      <c r="D267" s="17"/>
      <c r="E267" s="14"/>
      <c r="F267" s="18"/>
      <c r="G267" s="19"/>
      <c r="H267" s="20"/>
      <c r="I267" s="21"/>
      <c r="J267" s="14"/>
      <c r="K267" s="14">
        <f t="shared" si="8"/>
        <v>0</v>
      </c>
      <c r="L267" s="16">
        <f t="shared" si="9"/>
        <v>0</v>
      </c>
      <c r="M267" s="22"/>
      <c r="N267" s="23" t="s">
        <v>16</v>
      </c>
      <c r="O267" s="24"/>
      <c r="P267" s="25"/>
    </row>
    <row r="268" spans="1:16">
      <c r="A268" s="14">
        <v>264</v>
      </c>
      <c r="B268" s="29" t="s">
        <v>393</v>
      </c>
      <c r="C268" s="16">
        <v>69</v>
      </c>
      <c r="D268" s="17"/>
      <c r="E268" s="14"/>
      <c r="F268" s="18"/>
      <c r="G268" s="19"/>
      <c r="H268" s="20"/>
      <c r="I268" s="21"/>
      <c r="J268" s="14"/>
      <c r="K268" s="14">
        <f t="shared" si="8"/>
        <v>0</v>
      </c>
      <c r="L268" s="16">
        <f t="shared" si="9"/>
        <v>69</v>
      </c>
      <c r="M268" s="22">
        <v>44652</v>
      </c>
      <c r="N268" s="23" t="s">
        <v>16</v>
      </c>
      <c r="O268" s="24" t="s">
        <v>17</v>
      </c>
      <c r="P268" s="23" t="s">
        <v>394</v>
      </c>
    </row>
    <row r="269" spans="1:16">
      <c r="A269" s="14">
        <v>265</v>
      </c>
      <c r="B269" s="29" t="s">
        <v>395</v>
      </c>
      <c r="C269" s="16">
        <v>0</v>
      </c>
      <c r="D269" s="17"/>
      <c r="E269" s="14"/>
      <c r="F269" s="18"/>
      <c r="G269" s="19"/>
      <c r="H269" s="20"/>
      <c r="I269" s="21"/>
      <c r="J269" s="14"/>
      <c r="K269" s="14">
        <f t="shared" si="8"/>
        <v>0</v>
      </c>
      <c r="L269" s="16">
        <f t="shared" si="9"/>
        <v>0</v>
      </c>
      <c r="M269" s="22">
        <v>44378</v>
      </c>
      <c r="N269" s="23" t="s">
        <v>16</v>
      </c>
      <c r="O269" s="24"/>
      <c r="P269" s="23" t="s">
        <v>396</v>
      </c>
    </row>
    <row r="270" spans="1:16">
      <c r="A270" s="14">
        <v>266</v>
      </c>
      <c r="B270" s="29" t="s">
        <v>397</v>
      </c>
      <c r="C270" s="16">
        <v>0</v>
      </c>
      <c r="D270" s="17"/>
      <c r="E270" s="14"/>
      <c r="F270" s="18"/>
      <c r="G270" s="19"/>
      <c r="H270" s="20"/>
      <c r="I270" s="21"/>
      <c r="J270" s="14"/>
      <c r="K270" s="14">
        <f t="shared" si="8"/>
        <v>0</v>
      </c>
      <c r="L270" s="16">
        <f t="shared" si="9"/>
        <v>0</v>
      </c>
      <c r="M270" s="22"/>
      <c r="N270" s="23" t="s">
        <v>16</v>
      </c>
      <c r="O270" s="24"/>
      <c r="P270" s="25"/>
    </row>
    <row r="271" spans="1:16">
      <c r="A271" s="14">
        <v>267</v>
      </c>
      <c r="B271" s="29" t="s">
        <v>398</v>
      </c>
      <c r="C271" s="16">
        <v>0</v>
      </c>
      <c r="D271" s="17"/>
      <c r="E271" s="14"/>
      <c r="F271" s="18"/>
      <c r="G271" s="19"/>
      <c r="H271" s="20"/>
      <c r="I271" s="21"/>
      <c r="J271" s="14"/>
      <c r="K271" s="14">
        <f t="shared" si="8"/>
        <v>0</v>
      </c>
      <c r="L271" s="16">
        <f t="shared" si="9"/>
        <v>0</v>
      </c>
      <c r="M271" s="22">
        <v>44256</v>
      </c>
      <c r="N271" s="23" t="s">
        <v>16</v>
      </c>
      <c r="O271" s="24"/>
      <c r="P271" s="28" t="s">
        <v>399</v>
      </c>
    </row>
    <row r="272" spans="1:16">
      <c r="A272" s="14">
        <v>268</v>
      </c>
      <c r="B272" s="29" t="s">
        <v>400</v>
      </c>
      <c r="C272" s="16">
        <v>9</v>
      </c>
      <c r="D272" s="17"/>
      <c r="E272" s="14"/>
      <c r="F272" s="18">
        <f>5</f>
        <v>5</v>
      </c>
      <c r="G272" s="19"/>
      <c r="H272" s="20"/>
      <c r="I272" s="21"/>
      <c r="J272" s="14"/>
      <c r="K272" s="14">
        <f t="shared" si="8"/>
        <v>5</v>
      </c>
      <c r="L272" s="16">
        <f t="shared" si="9"/>
        <v>4</v>
      </c>
      <c r="M272" s="22">
        <v>44531</v>
      </c>
      <c r="N272" s="23" t="s">
        <v>16</v>
      </c>
      <c r="O272" s="24" t="s">
        <v>45</v>
      </c>
      <c r="P272" s="28" t="s">
        <v>401</v>
      </c>
    </row>
    <row r="273" spans="1:16">
      <c r="A273" s="14">
        <v>269</v>
      </c>
      <c r="B273" s="29" t="s">
        <v>402</v>
      </c>
      <c r="C273" s="16">
        <v>36</v>
      </c>
      <c r="D273" s="17"/>
      <c r="E273" s="14"/>
      <c r="F273" s="18"/>
      <c r="G273" s="19"/>
      <c r="H273" s="20"/>
      <c r="I273" s="21"/>
      <c r="J273" s="14"/>
      <c r="K273" s="14">
        <f t="shared" si="8"/>
        <v>0</v>
      </c>
      <c r="L273" s="16">
        <f t="shared" si="9"/>
        <v>36</v>
      </c>
      <c r="M273" s="22">
        <v>45108</v>
      </c>
      <c r="N273" s="23" t="s">
        <v>26</v>
      </c>
      <c r="O273" s="24" t="s">
        <v>45</v>
      </c>
      <c r="P273" s="23" t="s">
        <v>403</v>
      </c>
    </row>
    <row r="274" spans="1:16">
      <c r="A274" s="14">
        <v>270</v>
      </c>
      <c r="B274" s="29" t="s">
        <v>404</v>
      </c>
      <c r="C274" s="16">
        <v>0</v>
      </c>
      <c r="D274" s="17"/>
      <c r="E274" s="14"/>
      <c r="F274" s="18"/>
      <c r="G274" s="19"/>
      <c r="H274" s="20"/>
      <c r="I274" s="21"/>
      <c r="J274" s="14"/>
      <c r="K274" s="14">
        <f t="shared" si="8"/>
        <v>0</v>
      </c>
      <c r="L274" s="16">
        <f t="shared" si="9"/>
        <v>0</v>
      </c>
      <c r="M274" s="22"/>
      <c r="N274" s="23" t="s">
        <v>16</v>
      </c>
      <c r="O274" s="24"/>
      <c r="P274" s="25"/>
    </row>
    <row r="275" spans="1:16">
      <c r="A275" s="14">
        <v>271</v>
      </c>
      <c r="B275" s="29" t="s">
        <v>405</v>
      </c>
      <c r="C275" s="16">
        <v>15</v>
      </c>
      <c r="D275" s="17"/>
      <c r="E275" s="14"/>
      <c r="F275" s="18"/>
      <c r="G275" s="19"/>
      <c r="H275" s="20"/>
      <c r="I275" s="21"/>
      <c r="J275" s="14"/>
      <c r="K275" s="14">
        <f t="shared" si="8"/>
        <v>0</v>
      </c>
      <c r="L275" s="16">
        <f t="shared" si="9"/>
        <v>15</v>
      </c>
      <c r="M275" s="22">
        <v>44287</v>
      </c>
      <c r="N275" s="23" t="s">
        <v>16</v>
      </c>
      <c r="O275" s="24" t="s">
        <v>45</v>
      </c>
      <c r="P275" s="23" t="s">
        <v>406</v>
      </c>
    </row>
    <row r="276" spans="1:16">
      <c r="A276" s="14">
        <v>272</v>
      </c>
      <c r="B276" s="29" t="s">
        <v>407</v>
      </c>
      <c r="C276" s="16">
        <v>5</v>
      </c>
      <c r="D276" s="17"/>
      <c r="E276" s="14"/>
      <c r="F276" s="18">
        <f>5</f>
        <v>5</v>
      </c>
      <c r="G276" s="19"/>
      <c r="H276" s="20"/>
      <c r="I276" s="21"/>
      <c r="J276" s="14"/>
      <c r="K276" s="14">
        <f t="shared" si="8"/>
        <v>5</v>
      </c>
      <c r="L276" s="16">
        <f t="shared" si="9"/>
        <v>0</v>
      </c>
      <c r="M276" s="22">
        <v>44562</v>
      </c>
      <c r="N276" s="23" t="s">
        <v>16</v>
      </c>
      <c r="O276" s="24" t="s">
        <v>17</v>
      </c>
      <c r="P276" s="28" t="s">
        <v>408</v>
      </c>
    </row>
    <row r="277" spans="1:16">
      <c r="A277" s="14">
        <v>273</v>
      </c>
      <c r="B277" s="29" t="s">
        <v>409</v>
      </c>
      <c r="C277" s="16">
        <v>300</v>
      </c>
      <c r="D277" s="17"/>
      <c r="E277" s="14"/>
      <c r="F277" s="18">
        <f>5</f>
        <v>5</v>
      </c>
      <c r="G277" s="19"/>
      <c r="H277" s="20"/>
      <c r="I277" s="21"/>
      <c r="J277" s="14"/>
      <c r="K277" s="14">
        <f t="shared" si="8"/>
        <v>5</v>
      </c>
      <c r="L277" s="16">
        <f t="shared" si="9"/>
        <v>295</v>
      </c>
      <c r="M277" s="22">
        <v>45139</v>
      </c>
      <c r="N277" s="23" t="s">
        <v>16</v>
      </c>
      <c r="O277" s="24" t="s">
        <v>17</v>
      </c>
      <c r="P277" s="28" t="s">
        <v>410</v>
      </c>
    </row>
    <row r="278" spans="1:16">
      <c r="A278" s="14">
        <v>274</v>
      </c>
      <c r="B278" s="29" t="s">
        <v>411</v>
      </c>
      <c r="C278" s="16">
        <v>17</v>
      </c>
      <c r="D278" s="17"/>
      <c r="E278" s="14"/>
      <c r="F278" s="18"/>
      <c r="G278" s="19"/>
      <c r="H278" s="20"/>
      <c r="I278" s="21"/>
      <c r="J278" s="14"/>
      <c r="K278" s="14">
        <f t="shared" si="8"/>
        <v>0</v>
      </c>
      <c r="L278" s="16">
        <f t="shared" si="9"/>
        <v>17</v>
      </c>
      <c r="M278" s="22">
        <v>45413</v>
      </c>
      <c r="N278" s="23" t="s">
        <v>16</v>
      </c>
      <c r="O278" s="24" t="s">
        <v>45</v>
      </c>
      <c r="P278" s="23" t="s">
        <v>412</v>
      </c>
    </row>
    <row r="279" spans="1:16">
      <c r="A279" s="14">
        <v>275</v>
      </c>
      <c r="B279" s="29" t="s">
        <v>413</v>
      </c>
      <c r="C279" s="16">
        <v>0</v>
      </c>
      <c r="D279" s="17"/>
      <c r="E279" s="14"/>
      <c r="F279" s="18"/>
      <c r="G279" s="19"/>
      <c r="H279" s="20"/>
      <c r="I279" s="21"/>
      <c r="J279" s="14"/>
      <c r="K279" s="14">
        <f t="shared" si="8"/>
        <v>0</v>
      </c>
      <c r="L279" s="16">
        <f t="shared" si="9"/>
        <v>0</v>
      </c>
      <c r="M279" s="22">
        <v>45474</v>
      </c>
      <c r="N279" s="23" t="s">
        <v>16</v>
      </c>
      <c r="O279" s="24"/>
      <c r="P279" s="23"/>
    </row>
    <row r="280" spans="1:16">
      <c r="A280" s="14">
        <v>276</v>
      </c>
      <c r="B280" s="29" t="s">
        <v>414</v>
      </c>
      <c r="C280" s="16">
        <v>0</v>
      </c>
      <c r="D280" s="17"/>
      <c r="E280" s="14"/>
      <c r="F280" s="18"/>
      <c r="G280" s="19"/>
      <c r="H280" s="20"/>
      <c r="I280" s="21"/>
      <c r="J280" s="14"/>
      <c r="K280" s="14">
        <f t="shared" si="8"/>
        <v>0</v>
      </c>
      <c r="L280" s="16">
        <f t="shared" si="9"/>
        <v>0</v>
      </c>
      <c r="M280" s="22"/>
      <c r="N280" s="23" t="s">
        <v>16</v>
      </c>
      <c r="O280" s="24"/>
      <c r="P280" s="23"/>
    </row>
    <row r="281" spans="1:16">
      <c r="A281" s="14">
        <v>277</v>
      </c>
      <c r="B281" s="29" t="s">
        <v>415</v>
      </c>
      <c r="C281" s="16">
        <v>40</v>
      </c>
      <c r="D281" s="17"/>
      <c r="E281" s="14"/>
      <c r="F281" s="18">
        <f>5+5</f>
        <v>10</v>
      </c>
      <c r="G281" s="19"/>
      <c r="H281" s="20">
        <f>10</f>
        <v>10</v>
      </c>
      <c r="I281" s="21"/>
      <c r="J281" s="14"/>
      <c r="K281" s="14">
        <f t="shared" si="8"/>
        <v>20</v>
      </c>
      <c r="L281" s="16">
        <f t="shared" si="9"/>
        <v>20</v>
      </c>
      <c r="M281" s="22">
        <v>44986</v>
      </c>
      <c r="N281" s="23" t="s">
        <v>16</v>
      </c>
      <c r="O281" s="24" t="s">
        <v>17</v>
      </c>
      <c r="P281" s="23" t="s">
        <v>416</v>
      </c>
    </row>
    <row r="282" spans="1:16">
      <c r="A282" s="14">
        <v>278</v>
      </c>
      <c r="B282" s="29" t="s">
        <v>415</v>
      </c>
      <c r="C282" s="16">
        <v>0</v>
      </c>
      <c r="D282" s="17"/>
      <c r="E282" s="14"/>
      <c r="F282" s="18"/>
      <c r="G282" s="19"/>
      <c r="H282" s="20"/>
      <c r="I282" s="21"/>
      <c r="J282" s="14"/>
      <c r="K282" s="14">
        <f t="shared" si="8"/>
        <v>0</v>
      </c>
      <c r="L282" s="16">
        <f t="shared" si="9"/>
        <v>0</v>
      </c>
      <c r="M282" s="22">
        <v>44986</v>
      </c>
      <c r="N282" s="23" t="s">
        <v>26</v>
      </c>
      <c r="O282" s="24"/>
      <c r="P282" s="23" t="s">
        <v>416</v>
      </c>
    </row>
    <row r="283" spans="1:16">
      <c r="A283" s="14">
        <v>279</v>
      </c>
      <c r="B283" s="31" t="s">
        <v>417</v>
      </c>
      <c r="C283" s="16">
        <v>0</v>
      </c>
      <c r="D283" s="17"/>
      <c r="E283" s="14"/>
      <c r="F283" s="18"/>
      <c r="G283" s="19"/>
      <c r="H283" s="20"/>
      <c r="I283" s="21"/>
      <c r="J283" s="14"/>
      <c r="K283" s="14">
        <f t="shared" si="8"/>
        <v>0</v>
      </c>
      <c r="L283" s="16">
        <f t="shared" si="9"/>
        <v>0</v>
      </c>
      <c r="M283" s="22">
        <v>44136</v>
      </c>
      <c r="N283" s="23" t="s">
        <v>16</v>
      </c>
      <c r="O283" s="24"/>
      <c r="P283" s="23" t="s">
        <v>418</v>
      </c>
    </row>
    <row r="284" spans="1:16">
      <c r="A284" s="14">
        <v>280</v>
      </c>
      <c r="B284" s="29" t="s">
        <v>419</v>
      </c>
      <c r="C284" s="16">
        <v>0</v>
      </c>
      <c r="D284" s="17"/>
      <c r="E284" s="14"/>
      <c r="F284" s="18"/>
      <c r="G284" s="19"/>
      <c r="H284" s="20"/>
      <c r="I284" s="21"/>
      <c r="J284" s="14"/>
      <c r="K284" s="14">
        <f t="shared" si="8"/>
        <v>0</v>
      </c>
      <c r="L284" s="16">
        <f t="shared" si="9"/>
        <v>0</v>
      </c>
      <c r="M284" s="22"/>
      <c r="N284" s="23" t="s">
        <v>16</v>
      </c>
      <c r="O284" s="24"/>
      <c r="P284" s="25"/>
    </row>
    <row r="285" spans="1:16">
      <c r="A285" s="14">
        <v>281</v>
      </c>
      <c r="B285" s="29" t="s">
        <v>420</v>
      </c>
      <c r="C285" s="16">
        <v>34</v>
      </c>
      <c r="D285" s="17"/>
      <c r="E285" s="14"/>
      <c r="F285" s="18">
        <f>5+5</f>
        <v>10</v>
      </c>
      <c r="G285" s="19"/>
      <c r="H285" s="20"/>
      <c r="I285" s="21"/>
      <c r="J285" s="14"/>
      <c r="K285" s="14">
        <f t="shared" si="8"/>
        <v>10</v>
      </c>
      <c r="L285" s="16">
        <f t="shared" si="9"/>
        <v>24</v>
      </c>
      <c r="M285" s="22">
        <v>45047</v>
      </c>
      <c r="N285" s="23" t="s">
        <v>16</v>
      </c>
      <c r="O285" s="24" t="s">
        <v>17</v>
      </c>
      <c r="P285" s="23" t="s">
        <v>421</v>
      </c>
    </row>
    <row r="286" spans="1:16">
      <c r="A286" s="14">
        <v>282</v>
      </c>
      <c r="B286" s="29" t="s">
        <v>420</v>
      </c>
      <c r="C286" s="16">
        <v>0</v>
      </c>
      <c r="D286" s="17"/>
      <c r="E286" s="14"/>
      <c r="F286" s="18"/>
      <c r="G286" s="19"/>
      <c r="H286" s="20"/>
      <c r="I286" s="21"/>
      <c r="J286" s="14"/>
      <c r="K286" s="14">
        <f t="shared" si="8"/>
        <v>0</v>
      </c>
      <c r="L286" s="16">
        <f t="shared" si="9"/>
        <v>0</v>
      </c>
      <c r="M286" s="22">
        <v>45047</v>
      </c>
      <c r="N286" s="23" t="s">
        <v>26</v>
      </c>
      <c r="O286" s="24"/>
      <c r="P286" s="23" t="s">
        <v>421</v>
      </c>
    </row>
    <row r="287" spans="1:16">
      <c r="A287" s="14">
        <v>283</v>
      </c>
      <c r="B287" s="29" t="s">
        <v>422</v>
      </c>
      <c r="C287" s="16">
        <v>0</v>
      </c>
      <c r="D287" s="17"/>
      <c r="E287" s="14"/>
      <c r="F287" s="18"/>
      <c r="G287" s="19"/>
      <c r="H287" s="20"/>
      <c r="I287" s="21"/>
      <c r="J287" s="14"/>
      <c r="K287" s="14">
        <f t="shared" si="8"/>
        <v>0</v>
      </c>
      <c r="L287" s="16">
        <f t="shared" si="9"/>
        <v>0</v>
      </c>
      <c r="M287" s="22"/>
      <c r="N287" s="23" t="s">
        <v>26</v>
      </c>
      <c r="O287" s="24"/>
      <c r="P287" s="25"/>
    </row>
    <row r="288" spans="1:16">
      <c r="A288" s="14">
        <v>284</v>
      </c>
      <c r="B288" s="29" t="s">
        <v>422</v>
      </c>
      <c r="C288" s="16">
        <v>217</v>
      </c>
      <c r="D288" s="17"/>
      <c r="E288" s="14"/>
      <c r="F288" s="18">
        <f>5+10</f>
        <v>15</v>
      </c>
      <c r="G288" s="19"/>
      <c r="H288" s="20"/>
      <c r="I288" s="21"/>
      <c r="J288" s="14"/>
      <c r="K288" s="14">
        <f t="shared" si="8"/>
        <v>15</v>
      </c>
      <c r="L288" s="16">
        <f t="shared" si="9"/>
        <v>202</v>
      </c>
      <c r="M288" s="22">
        <v>44531</v>
      </c>
      <c r="N288" s="23" t="s">
        <v>16</v>
      </c>
      <c r="O288" s="24" t="s">
        <v>17</v>
      </c>
      <c r="P288" s="28" t="s">
        <v>423</v>
      </c>
    </row>
    <row r="289" spans="1:16">
      <c r="A289" s="14">
        <v>285</v>
      </c>
      <c r="B289" s="29" t="s">
        <v>424</v>
      </c>
      <c r="C289" s="16">
        <v>25</v>
      </c>
      <c r="D289" s="17"/>
      <c r="E289" s="14"/>
      <c r="F289" s="18"/>
      <c r="G289" s="19"/>
      <c r="H289" s="20"/>
      <c r="I289" s="21"/>
      <c r="J289" s="14"/>
      <c r="K289" s="14">
        <f t="shared" si="8"/>
        <v>0</v>
      </c>
      <c r="L289" s="16">
        <f t="shared" si="9"/>
        <v>25</v>
      </c>
      <c r="M289" s="22">
        <v>44986</v>
      </c>
      <c r="N289" s="23" t="s">
        <v>16</v>
      </c>
      <c r="O289" s="24" t="s">
        <v>17</v>
      </c>
      <c r="P289" s="28" t="s">
        <v>425</v>
      </c>
    </row>
    <row r="290" spans="1:16">
      <c r="A290" s="14">
        <v>286</v>
      </c>
      <c r="B290" s="29" t="s">
        <v>426</v>
      </c>
      <c r="C290" s="16">
        <v>0</v>
      </c>
      <c r="D290" s="17"/>
      <c r="E290" s="14"/>
      <c r="F290" s="18"/>
      <c r="G290" s="19"/>
      <c r="H290" s="20"/>
      <c r="I290" s="21"/>
      <c r="J290" s="14"/>
      <c r="K290" s="14">
        <f t="shared" si="8"/>
        <v>0</v>
      </c>
      <c r="L290" s="16">
        <f t="shared" si="9"/>
        <v>0</v>
      </c>
      <c r="M290" s="22"/>
      <c r="N290" s="23" t="s">
        <v>16</v>
      </c>
      <c r="O290" s="24"/>
      <c r="P290" s="25"/>
    </row>
    <row r="291" spans="1:16">
      <c r="A291" s="14">
        <v>287</v>
      </c>
      <c r="B291" s="29" t="s">
        <v>427</v>
      </c>
      <c r="C291" s="16">
        <v>0</v>
      </c>
      <c r="D291" s="17"/>
      <c r="E291" s="14"/>
      <c r="F291" s="18"/>
      <c r="G291" s="19"/>
      <c r="H291" s="20"/>
      <c r="I291" s="21"/>
      <c r="J291" s="14"/>
      <c r="K291" s="14">
        <f t="shared" si="8"/>
        <v>0</v>
      </c>
      <c r="L291" s="16">
        <f t="shared" si="9"/>
        <v>0</v>
      </c>
      <c r="M291" s="22"/>
      <c r="N291" s="23" t="s">
        <v>16</v>
      </c>
      <c r="O291" s="24"/>
      <c r="P291" s="25"/>
    </row>
    <row r="292" spans="1:16">
      <c r="A292" s="14">
        <v>288</v>
      </c>
      <c r="B292" s="29" t="s">
        <v>428</v>
      </c>
      <c r="C292" s="16">
        <v>47</v>
      </c>
      <c r="D292" s="17"/>
      <c r="E292" s="14"/>
      <c r="F292" s="18"/>
      <c r="G292" s="19"/>
      <c r="H292" s="20"/>
      <c r="I292" s="21"/>
      <c r="J292" s="14"/>
      <c r="K292" s="14">
        <f t="shared" si="8"/>
        <v>0</v>
      </c>
      <c r="L292" s="16">
        <f t="shared" si="9"/>
        <v>47</v>
      </c>
      <c r="M292" s="22">
        <v>44501</v>
      </c>
      <c r="N292" s="23" t="s">
        <v>16</v>
      </c>
      <c r="O292" s="24" t="s">
        <v>17</v>
      </c>
      <c r="P292" s="28" t="s">
        <v>429</v>
      </c>
    </row>
    <row r="293" spans="1:16">
      <c r="A293" s="14">
        <v>289</v>
      </c>
      <c r="B293" s="29" t="s">
        <v>430</v>
      </c>
      <c r="C293" s="16">
        <v>23</v>
      </c>
      <c r="D293" s="26"/>
      <c r="E293" s="14"/>
      <c r="F293" s="18"/>
      <c r="G293" s="19"/>
      <c r="H293" s="20"/>
      <c r="I293" s="21"/>
      <c r="J293" s="14"/>
      <c r="K293" s="14">
        <f t="shared" si="8"/>
        <v>0</v>
      </c>
      <c r="L293" s="16">
        <f t="shared" si="9"/>
        <v>23</v>
      </c>
      <c r="M293" s="22">
        <v>44835</v>
      </c>
      <c r="N293" s="23" t="s">
        <v>16</v>
      </c>
      <c r="O293" s="24" t="s">
        <v>17</v>
      </c>
      <c r="P293" s="28" t="s">
        <v>431</v>
      </c>
    </row>
    <row r="294" spans="1:16">
      <c r="A294" s="14">
        <v>290</v>
      </c>
      <c r="B294" s="29" t="s">
        <v>430</v>
      </c>
      <c r="C294" s="16">
        <v>1</v>
      </c>
      <c r="D294" s="26"/>
      <c r="E294" s="14"/>
      <c r="F294" s="18"/>
      <c r="G294" s="19"/>
      <c r="H294" s="20"/>
      <c r="I294" s="21"/>
      <c r="J294" s="14"/>
      <c r="K294" s="14">
        <f t="shared" si="8"/>
        <v>0</v>
      </c>
      <c r="L294" s="16">
        <f t="shared" si="9"/>
        <v>1</v>
      </c>
      <c r="M294" s="22">
        <v>44835</v>
      </c>
      <c r="N294" s="23" t="s">
        <v>26</v>
      </c>
      <c r="O294" s="24" t="s">
        <v>17</v>
      </c>
      <c r="P294" s="28" t="s">
        <v>431</v>
      </c>
    </row>
    <row r="295" spans="1:16">
      <c r="A295" s="14">
        <v>291</v>
      </c>
      <c r="B295" s="29" t="s">
        <v>432</v>
      </c>
      <c r="C295" s="16">
        <v>0</v>
      </c>
      <c r="D295" s="17"/>
      <c r="E295" s="14"/>
      <c r="F295" s="18"/>
      <c r="G295" s="19"/>
      <c r="H295" s="20"/>
      <c r="I295" s="21"/>
      <c r="J295" s="14"/>
      <c r="K295" s="14">
        <f t="shared" si="8"/>
        <v>0</v>
      </c>
      <c r="L295" s="16">
        <f t="shared" si="9"/>
        <v>0</v>
      </c>
      <c r="M295" s="22"/>
      <c r="N295" s="23" t="s">
        <v>16</v>
      </c>
      <c r="O295" s="24"/>
      <c r="P295" s="25"/>
    </row>
    <row r="296" spans="1:16">
      <c r="A296" s="14">
        <v>292</v>
      </c>
      <c r="B296" s="29" t="s">
        <v>433</v>
      </c>
      <c r="C296" s="16">
        <v>0</v>
      </c>
      <c r="D296" s="17"/>
      <c r="E296" s="14"/>
      <c r="F296" s="18"/>
      <c r="G296" s="19"/>
      <c r="H296" s="20"/>
      <c r="I296" s="21"/>
      <c r="J296" s="14"/>
      <c r="K296" s="14">
        <f t="shared" si="8"/>
        <v>0</v>
      </c>
      <c r="L296" s="16">
        <f t="shared" si="9"/>
        <v>0</v>
      </c>
      <c r="M296" s="22"/>
      <c r="N296" s="23" t="s">
        <v>16</v>
      </c>
      <c r="O296" s="24"/>
      <c r="P296" s="25"/>
    </row>
    <row r="297" spans="1:16">
      <c r="A297" s="14">
        <v>293</v>
      </c>
      <c r="B297" s="29" t="s">
        <v>434</v>
      </c>
      <c r="C297" s="16">
        <v>0</v>
      </c>
      <c r="D297" s="17"/>
      <c r="E297" s="14"/>
      <c r="F297" s="18"/>
      <c r="G297" s="19"/>
      <c r="H297" s="20"/>
      <c r="I297" s="21"/>
      <c r="J297" s="14"/>
      <c r="K297" s="14">
        <f t="shared" si="8"/>
        <v>0</v>
      </c>
      <c r="L297" s="16">
        <f t="shared" si="9"/>
        <v>0</v>
      </c>
      <c r="M297" s="22"/>
      <c r="N297" s="23" t="s">
        <v>16</v>
      </c>
      <c r="O297" s="24"/>
      <c r="P297" s="25"/>
    </row>
    <row r="298" spans="1:16">
      <c r="A298" s="14">
        <v>294</v>
      </c>
      <c r="B298" s="29" t="s">
        <v>435</v>
      </c>
      <c r="C298" s="16">
        <v>0</v>
      </c>
      <c r="D298" s="17"/>
      <c r="E298" s="14"/>
      <c r="F298" s="18"/>
      <c r="G298" s="19"/>
      <c r="H298" s="20"/>
      <c r="I298" s="21"/>
      <c r="J298" s="14"/>
      <c r="K298" s="14">
        <f t="shared" si="8"/>
        <v>0</v>
      </c>
      <c r="L298" s="16">
        <f t="shared" si="9"/>
        <v>0</v>
      </c>
      <c r="M298" s="22"/>
      <c r="N298" s="23" t="s">
        <v>16</v>
      </c>
      <c r="O298" s="24"/>
      <c r="P298" s="25"/>
    </row>
    <row r="299" spans="1:16">
      <c r="A299" s="14">
        <v>295</v>
      </c>
      <c r="B299" s="29" t="s">
        <v>436</v>
      </c>
      <c r="C299" s="16">
        <v>0</v>
      </c>
      <c r="D299" s="17"/>
      <c r="E299" s="14"/>
      <c r="F299" s="18"/>
      <c r="G299" s="19"/>
      <c r="H299" s="20"/>
      <c r="I299" s="21"/>
      <c r="J299" s="14"/>
      <c r="K299" s="14">
        <f t="shared" si="8"/>
        <v>0</v>
      </c>
      <c r="L299" s="16">
        <f t="shared" si="9"/>
        <v>0</v>
      </c>
      <c r="M299" s="22"/>
      <c r="N299" s="23" t="s">
        <v>16</v>
      </c>
      <c r="O299" s="24"/>
      <c r="P299" s="25"/>
    </row>
    <row r="300" spans="1:16">
      <c r="A300" s="14">
        <v>296</v>
      </c>
      <c r="B300" s="29" t="s">
        <v>437</v>
      </c>
      <c r="C300" s="16">
        <v>0</v>
      </c>
      <c r="D300" s="17"/>
      <c r="E300" s="14"/>
      <c r="F300" s="18"/>
      <c r="G300" s="19"/>
      <c r="H300" s="20"/>
      <c r="I300" s="21"/>
      <c r="J300" s="14"/>
      <c r="K300" s="14">
        <f t="shared" si="8"/>
        <v>0</v>
      </c>
      <c r="L300" s="16">
        <f t="shared" si="9"/>
        <v>0</v>
      </c>
      <c r="M300" s="22">
        <v>44440</v>
      </c>
      <c r="N300" s="23" t="s">
        <v>16</v>
      </c>
      <c r="O300" s="24"/>
      <c r="P300" s="23" t="s">
        <v>438</v>
      </c>
    </row>
    <row r="301" spans="1:16" ht="25.5">
      <c r="A301" s="14">
        <v>297</v>
      </c>
      <c r="B301" s="29" t="s">
        <v>439</v>
      </c>
      <c r="C301" s="16">
        <v>161</v>
      </c>
      <c r="D301" s="17"/>
      <c r="E301" s="14"/>
      <c r="F301" s="18">
        <f>10+10</f>
        <v>20</v>
      </c>
      <c r="G301" s="19"/>
      <c r="H301" s="20"/>
      <c r="I301" s="21"/>
      <c r="J301" s="14"/>
      <c r="K301" s="14">
        <f t="shared" si="8"/>
        <v>20</v>
      </c>
      <c r="L301" s="16">
        <f t="shared" si="9"/>
        <v>141</v>
      </c>
      <c r="M301" s="22">
        <v>45047</v>
      </c>
      <c r="N301" s="23" t="s">
        <v>16</v>
      </c>
      <c r="O301" s="24" t="s">
        <v>45</v>
      </c>
      <c r="P301" s="23" t="s">
        <v>438</v>
      </c>
    </row>
    <row r="302" spans="1:16">
      <c r="A302" s="14">
        <v>298</v>
      </c>
      <c r="B302" s="29" t="s">
        <v>437</v>
      </c>
      <c r="C302" s="16">
        <v>0</v>
      </c>
      <c r="D302" s="17"/>
      <c r="E302" s="14"/>
      <c r="F302" s="18"/>
      <c r="G302" s="19"/>
      <c r="H302" s="20"/>
      <c r="I302" s="21"/>
      <c r="J302" s="14"/>
      <c r="K302" s="14">
        <f t="shared" si="8"/>
        <v>0</v>
      </c>
      <c r="L302" s="16">
        <f t="shared" si="9"/>
        <v>0</v>
      </c>
      <c r="M302" s="22">
        <v>45047</v>
      </c>
      <c r="N302" s="23" t="s">
        <v>26</v>
      </c>
      <c r="O302" s="24"/>
      <c r="P302" s="23" t="s">
        <v>438</v>
      </c>
    </row>
    <row r="303" spans="1:16">
      <c r="A303" s="14">
        <v>299</v>
      </c>
      <c r="B303" s="29" t="s">
        <v>440</v>
      </c>
      <c r="C303" s="16">
        <v>0</v>
      </c>
      <c r="D303" s="17"/>
      <c r="E303" s="14"/>
      <c r="F303" s="18"/>
      <c r="G303" s="19"/>
      <c r="H303" s="20"/>
      <c r="I303" s="21"/>
      <c r="J303" s="14"/>
      <c r="K303" s="14">
        <f t="shared" si="8"/>
        <v>0</v>
      </c>
      <c r="L303" s="16">
        <f t="shared" si="9"/>
        <v>0</v>
      </c>
      <c r="M303" s="22"/>
      <c r="N303" s="23" t="s">
        <v>16</v>
      </c>
      <c r="O303" s="24"/>
      <c r="P303" s="25"/>
    </row>
    <row r="304" spans="1:16">
      <c r="A304" s="14">
        <v>300</v>
      </c>
      <c r="B304" s="29" t="s">
        <v>441</v>
      </c>
      <c r="C304" s="16">
        <v>0</v>
      </c>
      <c r="D304" s="17"/>
      <c r="E304" s="14"/>
      <c r="F304" s="18"/>
      <c r="G304" s="19"/>
      <c r="H304" s="20"/>
      <c r="I304" s="21"/>
      <c r="J304" s="14"/>
      <c r="K304" s="14">
        <f t="shared" si="8"/>
        <v>0</v>
      </c>
      <c r="L304" s="16">
        <f t="shared" si="9"/>
        <v>0</v>
      </c>
      <c r="M304" s="22"/>
      <c r="N304" s="23" t="s">
        <v>16</v>
      </c>
      <c r="O304" s="24"/>
      <c r="P304" s="25"/>
    </row>
    <row r="305" spans="1:16">
      <c r="A305" s="14">
        <v>301</v>
      </c>
      <c r="B305" s="29" t="s">
        <v>442</v>
      </c>
      <c r="C305" s="16">
        <v>0</v>
      </c>
      <c r="D305" s="17"/>
      <c r="E305" s="14"/>
      <c r="F305" s="18"/>
      <c r="G305" s="19"/>
      <c r="H305" s="20"/>
      <c r="I305" s="21"/>
      <c r="J305" s="14"/>
      <c r="K305" s="14">
        <f t="shared" si="8"/>
        <v>0</v>
      </c>
      <c r="L305" s="16">
        <f t="shared" si="9"/>
        <v>0</v>
      </c>
      <c r="M305" s="22"/>
      <c r="N305" s="23" t="s">
        <v>16</v>
      </c>
      <c r="O305" s="24"/>
      <c r="P305" s="25"/>
    </row>
    <row r="306" spans="1:16">
      <c r="A306" s="14">
        <v>302</v>
      </c>
      <c r="B306" s="29" t="s">
        <v>443</v>
      </c>
      <c r="C306" s="16">
        <v>0</v>
      </c>
      <c r="D306" s="17"/>
      <c r="E306" s="14"/>
      <c r="F306" s="18"/>
      <c r="G306" s="19"/>
      <c r="H306" s="20"/>
      <c r="I306" s="21"/>
      <c r="J306" s="14"/>
      <c r="K306" s="14">
        <f t="shared" si="8"/>
        <v>0</v>
      </c>
      <c r="L306" s="16">
        <f t="shared" si="9"/>
        <v>0</v>
      </c>
      <c r="M306" s="22"/>
      <c r="N306" s="23" t="s">
        <v>16</v>
      </c>
      <c r="O306" s="24"/>
      <c r="P306" s="25"/>
    </row>
    <row r="307" spans="1:16">
      <c r="A307" s="14">
        <v>303</v>
      </c>
      <c r="B307" s="29" t="s">
        <v>444</v>
      </c>
      <c r="C307" s="16">
        <v>53</v>
      </c>
      <c r="D307" s="17"/>
      <c r="E307" s="14"/>
      <c r="F307" s="18"/>
      <c r="G307" s="19"/>
      <c r="H307" s="20"/>
      <c r="I307" s="21"/>
      <c r="J307" s="14"/>
      <c r="K307" s="14">
        <f t="shared" si="8"/>
        <v>0</v>
      </c>
      <c r="L307" s="16">
        <f t="shared" si="9"/>
        <v>53</v>
      </c>
      <c r="M307" s="22">
        <v>44501</v>
      </c>
      <c r="N307" s="23" t="s">
        <v>16</v>
      </c>
      <c r="O307" s="24" t="s">
        <v>17</v>
      </c>
      <c r="P307" s="23" t="s">
        <v>445</v>
      </c>
    </row>
    <row r="308" spans="1:16">
      <c r="A308" s="14">
        <v>304</v>
      </c>
      <c r="B308" s="29" t="s">
        <v>446</v>
      </c>
      <c r="C308" s="16">
        <v>0</v>
      </c>
      <c r="D308" s="17"/>
      <c r="E308" s="14"/>
      <c r="F308" s="18"/>
      <c r="G308" s="19"/>
      <c r="H308" s="20"/>
      <c r="I308" s="21"/>
      <c r="J308" s="14"/>
      <c r="K308" s="14">
        <f t="shared" si="8"/>
        <v>0</v>
      </c>
      <c r="L308" s="16">
        <f t="shared" si="9"/>
        <v>0</v>
      </c>
      <c r="M308" s="22"/>
      <c r="N308" s="23" t="s">
        <v>16</v>
      </c>
      <c r="O308" s="24"/>
      <c r="P308" s="25"/>
    </row>
    <row r="309" spans="1:16">
      <c r="A309" s="14">
        <v>305</v>
      </c>
      <c r="B309" s="29" t="s">
        <v>447</v>
      </c>
      <c r="C309" s="16">
        <v>0</v>
      </c>
      <c r="D309" s="17"/>
      <c r="E309" s="14"/>
      <c r="F309" s="18"/>
      <c r="G309" s="19"/>
      <c r="H309" s="20"/>
      <c r="I309" s="21"/>
      <c r="J309" s="14"/>
      <c r="K309" s="14">
        <f t="shared" si="8"/>
        <v>0</v>
      </c>
      <c r="L309" s="16">
        <f t="shared" si="9"/>
        <v>0</v>
      </c>
      <c r="M309" s="22">
        <v>44593</v>
      </c>
      <c r="N309" s="23" t="s">
        <v>16</v>
      </c>
      <c r="O309" s="24"/>
      <c r="P309" s="23" t="s">
        <v>448</v>
      </c>
    </row>
    <row r="310" spans="1:16">
      <c r="A310" s="14">
        <v>306</v>
      </c>
      <c r="B310" s="29" t="s">
        <v>449</v>
      </c>
      <c r="C310" s="16">
        <v>5</v>
      </c>
      <c r="D310" s="17"/>
      <c r="E310" s="14"/>
      <c r="F310" s="18">
        <f>5</f>
        <v>5</v>
      </c>
      <c r="G310" s="19"/>
      <c r="H310" s="20"/>
      <c r="I310" s="21"/>
      <c r="J310" s="14"/>
      <c r="K310" s="14">
        <f t="shared" si="8"/>
        <v>5</v>
      </c>
      <c r="L310" s="16">
        <f t="shared" si="9"/>
        <v>0</v>
      </c>
      <c r="M310" s="22">
        <v>44228</v>
      </c>
      <c r="N310" s="23" t="s">
        <v>16</v>
      </c>
      <c r="O310" s="24" t="s">
        <v>17</v>
      </c>
      <c r="P310" s="23" t="s">
        <v>450</v>
      </c>
    </row>
    <row r="311" spans="1:16">
      <c r="A311" s="14">
        <v>307</v>
      </c>
      <c r="B311" s="29" t="s">
        <v>451</v>
      </c>
      <c r="C311" s="16">
        <v>3</v>
      </c>
      <c r="D311" s="17"/>
      <c r="E311" s="14"/>
      <c r="F311" s="18"/>
      <c r="G311" s="19"/>
      <c r="H311" s="20"/>
      <c r="I311" s="21"/>
      <c r="J311" s="14"/>
      <c r="K311" s="14">
        <f t="shared" si="8"/>
        <v>0</v>
      </c>
      <c r="L311" s="16">
        <f t="shared" si="9"/>
        <v>3</v>
      </c>
      <c r="M311" s="22">
        <v>44317</v>
      </c>
      <c r="N311" s="23" t="s">
        <v>16</v>
      </c>
      <c r="O311" s="24" t="s">
        <v>17</v>
      </c>
      <c r="P311" s="23" t="s">
        <v>452</v>
      </c>
    </row>
    <row r="312" spans="1:16" ht="25.5">
      <c r="A312" s="14">
        <v>308</v>
      </c>
      <c r="B312" s="29" t="s">
        <v>453</v>
      </c>
      <c r="C312" s="16">
        <v>24</v>
      </c>
      <c r="D312" s="17"/>
      <c r="E312" s="14"/>
      <c r="F312" s="18">
        <f>5</f>
        <v>5</v>
      </c>
      <c r="G312" s="19"/>
      <c r="H312" s="20"/>
      <c r="I312" s="21"/>
      <c r="J312" s="14"/>
      <c r="K312" s="14">
        <f t="shared" si="8"/>
        <v>5</v>
      </c>
      <c r="L312" s="16">
        <f t="shared" si="9"/>
        <v>19</v>
      </c>
      <c r="M312" s="22">
        <v>44470</v>
      </c>
      <c r="N312" s="23" t="s">
        <v>16</v>
      </c>
      <c r="O312" s="24" t="s">
        <v>17</v>
      </c>
      <c r="P312" s="28" t="s">
        <v>454</v>
      </c>
    </row>
    <row r="313" spans="1:16">
      <c r="A313" s="14">
        <v>309</v>
      </c>
      <c r="B313" s="29" t="s">
        <v>455</v>
      </c>
      <c r="C313" s="16">
        <v>0</v>
      </c>
      <c r="D313" s="17"/>
      <c r="E313" s="14"/>
      <c r="F313" s="18"/>
      <c r="G313" s="19"/>
      <c r="H313" s="20"/>
      <c r="I313" s="21"/>
      <c r="J313" s="14"/>
      <c r="K313" s="14">
        <f t="shared" si="8"/>
        <v>0</v>
      </c>
      <c r="L313" s="16">
        <f t="shared" si="9"/>
        <v>0</v>
      </c>
      <c r="M313" s="22"/>
      <c r="N313" s="23" t="s">
        <v>16</v>
      </c>
      <c r="O313" s="24"/>
      <c r="P313" s="25"/>
    </row>
    <row r="314" spans="1:16">
      <c r="A314" s="14">
        <v>310</v>
      </c>
      <c r="B314" s="29" t="s">
        <v>456</v>
      </c>
      <c r="C314" s="16">
        <v>0</v>
      </c>
      <c r="D314" s="17"/>
      <c r="E314" s="14"/>
      <c r="F314" s="18"/>
      <c r="G314" s="19"/>
      <c r="H314" s="20"/>
      <c r="I314" s="21"/>
      <c r="J314" s="14"/>
      <c r="K314" s="14">
        <f t="shared" si="8"/>
        <v>0</v>
      </c>
      <c r="L314" s="16">
        <f t="shared" si="9"/>
        <v>0</v>
      </c>
      <c r="M314" s="22">
        <v>44287</v>
      </c>
      <c r="N314" s="23" t="s">
        <v>16</v>
      </c>
      <c r="O314" s="24"/>
      <c r="P314" s="23" t="s">
        <v>457</v>
      </c>
    </row>
    <row r="315" spans="1:16">
      <c r="A315" s="14">
        <v>311</v>
      </c>
      <c r="B315" s="29" t="s">
        <v>458</v>
      </c>
      <c r="C315" s="16">
        <v>5</v>
      </c>
      <c r="D315" s="17"/>
      <c r="E315" s="14"/>
      <c r="F315" s="18"/>
      <c r="G315" s="19"/>
      <c r="H315" s="20"/>
      <c r="I315" s="21"/>
      <c r="J315" s="14"/>
      <c r="K315" s="14">
        <f t="shared" si="8"/>
        <v>0</v>
      </c>
      <c r="L315" s="16">
        <f t="shared" si="9"/>
        <v>5</v>
      </c>
      <c r="M315" s="22">
        <v>44287</v>
      </c>
      <c r="N315" s="23" t="s">
        <v>16</v>
      </c>
      <c r="O315" s="24" t="s">
        <v>45</v>
      </c>
      <c r="P315" s="28" t="s">
        <v>459</v>
      </c>
    </row>
    <row r="316" spans="1:16">
      <c r="A316" s="14">
        <v>312</v>
      </c>
      <c r="B316" s="29" t="s">
        <v>460</v>
      </c>
      <c r="C316" s="16">
        <v>4</v>
      </c>
      <c r="D316" s="17"/>
      <c r="E316" s="14"/>
      <c r="F316" s="18">
        <f>4</f>
        <v>4</v>
      </c>
      <c r="G316" s="19"/>
      <c r="H316" s="20"/>
      <c r="I316" s="21"/>
      <c r="J316" s="14"/>
      <c r="K316" s="14">
        <f t="shared" si="8"/>
        <v>4</v>
      </c>
      <c r="L316" s="16">
        <f t="shared" si="9"/>
        <v>0</v>
      </c>
      <c r="M316" s="22">
        <v>45597</v>
      </c>
      <c r="N316" s="23" t="s">
        <v>16</v>
      </c>
      <c r="O316" s="24" t="s">
        <v>45</v>
      </c>
      <c r="P316" s="23" t="s">
        <v>461</v>
      </c>
    </row>
    <row r="317" spans="1:16">
      <c r="A317" s="14">
        <v>313</v>
      </c>
      <c r="B317" s="29" t="s">
        <v>462</v>
      </c>
      <c r="C317" s="16">
        <v>0</v>
      </c>
      <c r="D317" s="17"/>
      <c r="E317" s="14"/>
      <c r="F317" s="18"/>
      <c r="G317" s="19"/>
      <c r="H317" s="20"/>
      <c r="I317" s="21"/>
      <c r="J317" s="14"/>
      <c r="K317" s="14">
        <f t="shared" si="8"/>
        <v>0</v>
      </c>
      <c r="L317" s="16">
        <f t="shared" si="9"/>
        <v>0</v>
      </c>
      <c r="M317" s="22">
        <v>43952</v>
      </c>
      <c r="N317" s="23" t="s">
        <v>16</v>
      </c>
      <c r="O317" s="24"/>
      <c r="P317" s="25"/>
    </row>
    <row r="318" spans="1:16">
      <c r="A318" s="14">
        <v>314</v>
      </c>
      <c r="B318" s="29" t="s">
        <v>463</v>
      </c>
      <c r="C318" s="16">
        <v>0</v>
      </c>
      <c r="D318" s="17"/>
      <c r="E318" s="14"/>
      <c r="F318" s="18"/>
      <c r="G318" s="19"/>
      <c r="H318" s="20"/>
      <c r="I318" s="21"/>
      <c r="J318" s="14"/>
      <c r="K318" s="14">
        <f t="shared" si="8"/>
        <v>0</v>
      </c>
      <c r="L318" s="16">
        <f t="shared" si="9"/>
        <v>0</v>
      </c>
      <c r="M318" s="22"/>
      <c r="N318" s="23" t="s">
        <v>16</v>
      </c>
      <c r="O318" s="24"/>
      <c r="P318" s="25"/>
    </row>
    <row r="319" spans="1:16">
      <c r="A319" s="14">
        <v>315</v>
      </c>
      <c r="B319" s="29" t="s">
        <v>464</v>
      </c>
      <c r="C319" s="16">
        <v>0</v>
      </c>
      <c r="D319" s="17"/>
      <c r="E319" s="14"/>
      <c r="F319" s="18"/>
      <c r="G319" s="19"/>
      <c r="H319" s="20"/>
      <c r="I319" s="21"/>
      <c r="J319" s="14"/>
      <c r="K319" s="14">
        <f t="shared" si="8"/>
        <v>0</v>
      </c>
      <c r="L319" s="16">
        <f t="shared" si="9"/>
        <v>0</v>
      </c>
      <c r="M319" s="22"/>
      <c r="N319" s="23" t="s">
        <v>16</v>
      </c>
      <c r="O319" s="24"/>
      <c r="P319" s="25"/>
    </row>
    <row r="320" spans="1:16">
      <c r="A320" s="14">
        <v>316</v>
      </c>
      <c r="B320" s="29" t="s">
        <v>465</v>
      </c>
      <c r="C320" s="16">
        <v>0</v>
      </c>
      <c r="D320" s="17"/>
      <c r="E320" s="14"/>
      <c r="F320" s="18"/>
      <c r="G320" s="19"/>
      <c r="H320" s="20"/>
      <c r="I320" s="21"/>
      <c r="J320" s="14"/>
      <c r="K320" s="14">
        <f t="shared" si="8"/>
        <v>0</v>
      </c>
      <c r="L320" s="16">
        <f t="shared" si="9"/>
        <v>0</v>
      </c>
      <c r="M320" s="22"/>
      <c r="N320" s="23" t="s">
        <v>16</v>
      </c>
      <c r="O320" s="24"/>
      <c r="P320" s="25"/>
    </row>
    <row r="321" spans="1:16">
      <c r="A321" s="14">
        <v>317</v>
      </c>
      <c r="B321" s="29" t="s">
        <v>466</v>
      </c>
      <c r="C321" s="16">
        <v>0</v>
      </c>
      <c r="D321" s="17"/>
      <c r="E321" s="14"/>
      <c r="F321" s="18"/>
      <c r="G321" s="19"/>
      <c r="H321" s="20"/>
      <c r="I321" s="21"/>
      <c r="J321" s="14"/>
      <c r="K321" s="14">
        <f t="shared" si="8"/>
        <v>0</v>
      </c>
      <c r="L321" s="16">
        <f t="shared" si="9"/>
        <v>0</v>
      </c>
      <c r="M321" s="22">
        <v>44835</v>
      </c>
      <c r="N321" s="23" t="s">
        <v>16</v>
      </c>
      <c r="O321" s="24"/>
      <c r="P321" s="25"/>
    </row>
    <row r="322" spans="1:16">
      <c r="A322" s="14">
        <v>318</v>
      </c>
      <c r="B322" s="29" t="s">
        <v>467</v>
      </c>
      <c r="C322" s="16">
        <v>0</v>
      </c>
      <c r="D322" s="26"/>
      <c r="E322" s="14"/>
      <c r="F322" s="18"/>
      <c r="G322" s="19"/>
      <c r="H322" s="20"/>
      <c r="I322" s="21"/>
      <c r="J322" s="14"/>
      <c r="K322" s="14">
        <f t="shared" si="8"/>
        <v>0</v>
      </c>
      <c r="L322" s="16">
        <f t="shared" si="9"/>
        <v>0</v>
      </c>
      <c r="M322" s="22"/>
      <c r="N322" s="23" t="s">
        <v>16</v>
      </c>
      <c r="O322" s="24"/>
      <c r="P322" s="25"/>
    </row>
    <row r="323" spans="1:16">
      <c r="A323" s="14">
        <v>319</v>
      </c>
      <c r="B323" s="29" t="s">
        <v>468</v>
      </c>
      <c r="C323" s="16">
        <v>0</v>
      </c>
      <c r="D323" s="17"/>
      <c r="E323" s="14"/>
      <c r="F323" s="18"/>
      <c r="G323" s="19"/>
      <c r="H323" s="20"/>
      <c r="I323" s="21"/>
      <c r="J323" s="14"/>
      <c r="K323" s="14">
        <f t="shared" si="8"/>
        <v>0</v>
      </c>
      <c r="L323" s="16">
        <f t="shared" si="9"/>
        <v>0</v>
      </c>
      <c r="M323" s="22"/>
      <c r="N323" s="23" t="s">
        <v>16</v>
      </c>
      <c r="O323" s="24"/>
      <c r="P323" s="25"/>
    </row>
    <row r="324" spans="1:16">
      <c r="A324" s="14">
        <v>320</v>
      </c>
      <c r="B324" s="29" t="s">
        <v>469</v>
      </c>
      <c r="C324" s="16">
        <v>62</v>
      </c>
      <c r="D324" s="17"/>
      <c r="E324" s="14"/>
      <c r="F324" s="18">
        <f>5</f>
        <v>5</v>
      </c>
      <c r="G324" s="19"/>
      <c r="H324" s="20"/>
      <c r="I324" s="21"/>
      <c r="J324" s="14"/>
      <c r="K324" s="14">
        <f t="shared" si="8"/>
        <v>5</v>
      </c>
      <c r="L324" s="16">
        <f t="shared" si="9"/>
        <v>57</v>
      </c>
      <c r="M324" s="22">
        <v>44652</v>
      </c>
      <c r="N324" s="23" t="s">
        <v>16</v>
      </c>
      <c r="O324" s="24" t="s">
        <v>17</v>
      </c>
      <c r="P324" s="28" t="s">
        <v>470</v>
      </c>
    </row>
    <row r="325" spans="1:16">
      <c r="A325" s="14">
        <v>321</v>
      </c>
      <c r="B325" s="29" t="s">
        <v>471</v>
      </c>
      <c r="C325" s="16">
        <v>0</v>
      </c>
      <c r="D325" s="17"/>
      <c r="E325" s="14"/>
      <c r="F325" s="18"/>
      <c r="G325" s="19"/>
      <c r="H325" s="20"/>
      <c r="I325" s="21"/>
      <c r="J325" s="14"/>
      <c r="K325" s="14">
        <f t="shared" ref="K325:K388" si="10">SUM(F325:J325)</f>
        <v>0</v>
      </c>
      <c r="L325" s="16">
        <f t="shared" ref="L325:L388" si="11">(C325+E325)-K325</f>
        <v>0</v>
      </c>
      <c r="M325" s="22"/>
      <c r="N325" s="23" t="s">
        <v>16</v>
      </c>
      <c r="O325" s="24"/>
      <c r="P325" s="25"/>
    </row>
    <row r="326" spans="1:16">
      <c r="A326" s="14">
        <v>322</v>
      </c>
      <c r="B326" s="29" t="s">
        <v>472</v>
      </c>
      <c r="C326" s="16">
        <v>0</v>
      </c>
      <c r="D326" s="17"/>
      <c r="E326" s="14"/>
      <c r="F326" s="18"/>
      <c r="G326" s="19"/>
      <c r="H326" s="20"/>
      <c r="I326" s="21"/>
      <c r="J326" s="14"/>
      <c r="K326" s="14">
        <f t="shared" si="10"/>
        <v>0</v>
      </c>
      <c r="L326" s="16">
        <f t="shared" si="11"/>
        <v>0</v>
      </c>
      <c r="M326" s="22">
        <v>44562</v>
      </c>
      <c r="N326" s="23" t="s">
        <v>16</v>
      </c>
      <c r="O326" s="24"/>
      <c r="P326" s="23" t="s">
        <v>473</v>
      </c>
    </row>
    <row r="327" spans="1:16">
      <c r="A327" s="14">
        <v>323</v>
      </c>
      <c r="B327" s="29" t="s">
        <v>474</v>
      </c>
      <c r="C327" s="16">
        <v>0</v>
      </c>
      <c r="D327" s="17"/>
      <c r="E327" s="14"/>
      <c r="F327" s="18"/>
      <c r="G327" s="19"/>
      <c r="H327" s="20"/>
      <c r="I327" s="21"/>
      <c r="J327" s="14"/>
      <c r="K327" s="14">
        <f t="shared" si="10"/>
        <v>0</v>
      </c>
      <c r="L327" s="16">
        <f t="shared" si="11"/>
        <v>0</v>
      </c>
      <c r="M327" s="22">
        <v>44743</v>
      </c>
      <c r="N327" s="23" t="s">
        <v>16</v>
      </c>
      <c r="O327" s="24"/>
      <c r="P327" s="23" t="s">
        <v>475</v>
      </c>
    </row>
    <row r="328" spans="1:16">
      <c r="A328" s="14">
        <v>324</v>
      </c>
      <c r="B328" s="29" t="s">
        <v>476</v>
      </c>
      <c r="C328" s="16">
        <v>15</v>
      </c>
      <c r="D328" s="17"/>
      <c r="E328" s="14"/>
      <c r="F328" s="18">
        <f>5+3+7</f>
        <v>15</v>
      </c>
      <c r="G328" s="19"/>
      <c r="H328" s="20"/>
      <c r="I328" s="21"/>
      <c r="J328" s="14"/>
      <c r="K328" s="14">
        <f t="shared" si="10"/>
        <v>15</v>
      </c>
      <c r="L328" s="16">
        <f t="shared" si="11"/>
        <v>0</v>
      </c>
      <c r="M328" s="22">
        <v>44531</v>
      </c>
      <c r="N328" s="23" t="s">
        <v>16</v>
      </c>
      <c r="O328" s="24" t="s">
        <v>45</v>
      </c>
      <c r="P328" s="23" t="s">
        <v>477</v>
      </c>
    </row>
    <row r="329" spans="1:16">
      <c r="A329" s="14">
        <v>325</v>
      </c>
      <c r="B329" s="29" t="s">
        <v>478</v>
      </c>
      <c r="C329" s="16">
        <v>0</v>
      </c>
      <c r="D329" s="17"/>
      <c r="E329" s="14"/>
      <c r="F329" s="18"/>
      <c r="G329" s="19"/>
      <c r="H329" s="20"/>
      <c r="I329" s="21"/>
      <c r="J329" s="14"/>
      <c r="K329" s="14">
        <f t="shared" si="10"/>
        <v>0</v>
      </c>
      <c r="L329" s="16">
        <f t="shared" si="11"/>
        <v>0</v>
      </c>
      <c r="M329" s="22"/>
      <c r="N329" s="23" t="s">
        <v>16</v>
      </c>
      <c r="O329" s="24"/>
      <c r="P329" s="25"/>
    </row>
    <row r="330" spans="1:16">
      <c r="A330" s="14">
        <v>326</v>
      </c>
      <c r="B330" s="29" t="s">
        <v>479</v>
      </c>
      <c r="C330" s="16">
        <v>0</v>
      </c>
      <c r="D330" s="17"/>
      <c r="E330" s="14"/>
      <c r="F330" s="18"/>
      <c r="G330" s="19"/>
      <c r="H330" s="20"/>
      <c r="I330" s="21"/>
      <c r="J330" s="14"/>
      <c r="K330" s="14">
        <f t="shared" si="10"/>
        <v>0</v>
      </c>
      <c r="L330" s="16">
        <f t="shared" si="11"/>
        <v>0</v>
      </c>
      <c r="M330" s="22">
        <v>44743</v>
      </c>
      <c r="N330" s="23" t="s">
        <v>16</v>
      </c>
      <c r="O330" s="24"/>
      <c r="P330" s="28" t="s">
        <v>480</v>
      </c>
    </row>
    <row r="331" spans="1:16">
      <c r="A331" s="14">
        <v>327</v>
      </c>
      <c r="B331" s="29" t="s">
        <v>481</v>
      </c>
      <c r="C331" s="16">
        <v>5</v>
      </c>
      <c r="D331" s="17"/>
      <c r="E331" s="14"/>
      <c r="F331" s="18"/>
      <c r="G331" s="19"/>
      <c r="H331" s="20"/>
      <c r="I331" s="21"/>
      <c r="J331" s="14"/>
      <c r="K331" s="14">
        <f t="shared" si="10"/>
        <v>0</v>
      </c>
      <c r="L331" s="16">
        <f t="shared" si="11"/>
        <v>5</v>
      </c>
      <c r="M331" s="22">
        <v>44713</v>
      </c>
      <c r="N331" s="23" t="s">
        <v>16</v>
      </c>
      <c r="O331" s="24" t="s">
        <v>17</v>
      </c>
      <c r="P331" s="28" t="s">
        <v>482</v>
      </c>
    </row>
    <row r="332" spans="1:16">
      <c r="A332" s="14">
        <v>328</v>
      </c>
      <c r="B332" s="29" t="s">
        <v>483</v>
      </c>
      <c r="C332" s="16">
        <v>0</v>
      </c>
      <c r="D332" s="17"/>
      <c r="E332" s="14"/>
      <c r="F332" s="18"/>
      <c r="G332" s="19"/>
      <c r="H332" s="20"/>
      <c r="I332" s="21"/>
      <c r="J332" s="14"/>
      <c r="K332" s="14">
        <f t="shared" si="10"/>
        <v>0</v>
      </c>
      <c r="L332" s="16">
        <f t="shared" si="11"/>
        <v>0</v>
      </c>
      <c r="M332" s="22">
        <v>45536</v>
      </c>
      <c r="N332" s="23" t="s">
        <v>16</v>
      </c>
      <c r="O332" s="24"/>
      <c r="P332" s="28" t="s">
        <v>484</v>
      </c>
    </row>
    <row r="333" spans="1:16">
      <c r="A333" s="14">
        <v>329</v>
      </c>
      <c r="B333" s="29" t="s">
        <v>485</v>
      </c>
      <c r="C333" s="16">
        <v>0</v>
      </c>
      <c r="D333" s="17"/>
      <c r="E333" s="14"/>
      <c r="F333" s="18"/>
      <c r="G333" s="19"/>
      <c r="H333" s="20"/>
      <c r="I333" s="21"/>
      <c r="J333" s="14"/>
      <c r="K333" s="14">
        <f t="shared" si="10"/>
        <v>0</v>
      </c>
      <c r="L333" s="16">
        <f t="shared" si="11"/>
        <v>0</v>
      </c>
      <c r="M333" s="22">
        <v>45597</v>
      </c>
      <c r="N333" s="23" t="s">
        <v>16</v>
      </c>
      <c r="O333" s="24"/>
      <c r="P333" s="28" t="s">
        <v>486</v>
      </c>
    </row>
    <row r="334" spans="1:16">
      <c r="A334" s="14">
        <v>330</v>
      </c>
      <c r="B334" s="29" t="s">
        <v>487</v>
      </c>
      <c r="C334" s="16">
        <v>0</v>
      </c>
      <c r="D334" s="17"/>
      <c r="E334" s="14"/>
      <c r="F334" s="18"/>
      <c r="G334" s="19"/>
      <c r="H334" s="20"/>
      <c r="I334" s="21"/>
      <c r="J334" s="14"/>
      <c r="K334" s="14">
        <f t="shared" si="10"/>
        <v>0</v>
      </c>
      <c r="L334" s="16">
        <f t="shared" si="11"/>
        <v>0</v>
      </c>
      <c r="M334" s="22"/>
      <c r="N334" s="23" t="s">
        <v>16</v>
      </c>
      <c r="O334" s="24"/>
      <c r="P334" s="25"/>
    </row>
    <row r="335" spans="1:16">
      <c r="A335" s="14">
        <v>331</v>
      </c>
      <c r="B335" s="29" t="s">
        <v>488</v>
      </c>
      <c r="C335" s="16">
        <v>0</v>
      </c>
      <c r="D335" s="17"/>
      <c r="E335" s="14"/>
      <c r="F335" s="18"/>
      <c r="G335" s="19"/>
      <c r="H335" s="20"/>
      <c r="I335" s="21"/>
      <c r="J335" s="14"/>
      <c r="K335" s="14">
        <f t="shared" si="10"/>
        <v>0</v>
      </c>
      <c r="L335" s="16">
        <f t="shared" si="11"/>
        <v>0</v>
      </c>
      <c r="M335" s="22">
        <v>44805</v>
      </c>
      <c r="N335" s="23" t="s">
        <v>16</v>
      </c>
      <c r="O335" s="24"/>
      <c r="P335" s="23" t="s">
        <v>489</v>
      </c>
    </row>
    <row r="336" spans="1:16">
      <c r="A336" s="14">
        <v>332</v>
      </c>
      <c r="B336" s="29" t="s">
        <v>490</v>
      </c>
      <c r="C336" s="16">
        <v>0</v>
      </c>
      <c r="D336" s="17"/>
      <c r="E336" s="14"/>
      <c r="F336" s="18"/>
      <c r="G336" s="19"/>
      <c r="H336" s="20"/>
      <c r="I336" s="21"/>
      <c r="J336" s="14"/>
      <c r="K336" s="14">
        <f t="shared" si="10"/>
        <v>0</v>
      </c>
      <c r="L336" s="16">
        <f t="shared" si="11"/>
        <v>0</v>
      </c>
      <c r="M336" s="22"/>
      <c r="N336" s="23" t="s">
        <v>16</v>
      </c>
      <c r="O336" s="24"/>
      <c r="P336" s="25"/>
    </row>
    <row r="337" spans="1:16" ht="25.5">
      <c r="A337" s="14">
        <v>333</v>
      </c>
      <c r="B337" s="29" t="s">
        <v>491</v>
      </c>
      <c r="C337" s="16">
        <v>50</v>
      </c>
      <c r="D337" s="17"/>
      <c r="E337" s="14"/>
      <c r="F337" s="18"/>
      <c r="G337" s="19"/>
      <c r="H337" s="20"/>
      <c r="I337" s="21"/>
      <c r="J337" s="14"/>
      <c r="K337" s="14">
        <f t="shared" si="10"/>
        <v>0</v>
      </c>
      <c r="L337" s="16">
        <f t="shared" si="11"/>
        <v>50</v>
      </c>
      <c r="M337" s="22">
        <v>45231</v>
      </c>
      <c r="N337" s="23" t="s">
        <v>16</v>
      </c>
      <c r="O337" s="24" t="s">
        <v>17</v>
      </c>
      <c r="P337" s="23" t="s">
        <v>492</v>
      </c>
    </row>
    <row r="338" spans="1:16" ht="25.5">
      <c r="A338" s="14">
        <v>334</v>
      </c>
      <c r="B338" s="29" t="s">
        <v>491</v>
      </c>
      <c r="C338" s="16">
        <v>350</v>
      </c>
      <c r="D338" s="17"/>
      <c r="E338" s="14"/>
      <c r="F338" s="18"/>
      <c r="G338" s="19"/>
      <c r="H338" s="20"/>
      <c r="I338" s="21"/>
      <c r="J338" s="14"/>
      <c r="K338" s="14">
        <f t="shared" si="10"/>
        <v>0</v>
      </c>
      <c r="L338" s="16">
        <f t="shared" si="11"/>
        <v>350</v>
      </c>
      <c r="M338" s="22">
        <v>44896</v>
      </c>
      <c r="N338" s="23" t="s">
        <v>16</v>
      </c>
      <c r="O338" s="24" t="s">
        <v>17</v>
      </c>
      <c r="P338" s="23" t="s">
        <v>492</v>
      </c>
    </row>
    <row r="339" spans="1:16">
      <c r="A339" s="14">
        <v>335</v>
      </c>
      <c r="B339" s="29" t="s">
        <v>493</v>
      </c>
      <c r="C339" s="16">
        <v>100</v>
      </c>
      <c r="D339" s="17"/>
      <c r="E339" s="14"/>
      <c r="F339" s="18"/>
      <c r="G339" s="19"/>
      <c r="H339" s="20"/>
      <c r="I339" s="21"/>
      <c r="J339" s="14"/>
      <c r="K339" s="14">
        <f t="shared" si="10"/>
        <v>0</v>
      </c>
      <c r="L339" s="16">
        <f t="shared" si="11"/>
        <v>100</v>
      </c>
      <c r="M339" s="22">
        <v>44774</v>
      </c>
      <c r="N339" s="23" t="s">
        <v>16</v>
      </c>
      <c r="O339" s="24" t="s">
        <v>17</v>
      </c>
      <c r="P339" s="23" t="s">
        <v>494</v>
      </c>
    </row>
    <row r="340" spans="1:16">
      <c r="A340" s="14">
        <v>336</v>
      </c>
      <c r="B340" s="29" t="s">
        <v>495</v>
      </c>
      <c r="C340" s="16">
        <v>0</v>
      </c>
      <c r="D340" s="17"/>
      <c r="E340" s="14"/>
      <c r="F340" s="18"/>
      <c r="G340" s="19"/>
      <c r="H340" s="20"/>
      <c r="I340" s="21"/>
      <c r="J340" s="14"/>
      <c r="K340" s="14">
        <f t="shared" si="10"/>
        <v>0</v>
      </c>
      <c r="L340" s="16">
        <f t="shared" si="11"/>
        <v>0</v>
      </c>
      <c r="M340" s="22"/>
      <c r="N340" s="23" t="s">
        <v>16</v>
      </c>
      <c r="O340" s="24"/>
      <c r="P340" s="25"/>
    </row>
    <row r="341" spans="1:16">
      <c r="A341" s="14">
        <v>337</v>
      </c>
      <c r="B341" s="29" t="s">
        <v>496</v>
      </c>
      <c r="C341" s="16">
        <v>0</v>
      </c>
      <c r="D341" s="17"/>
      <c r="E341" s="14"/>
      <c r="F341" s="18"/>
      <c r="G341" s="19"/>
      <c r="H341" s="20"/>
      <c r="I341" s="21"/>
      <c r="J341" s="14"/>
      <c r="K341" s="14">
        <f t="shared" si="10"/>
        <v>0</v>
      </c>
      <c r="L341" s="16">
        <f t="shared" si="11"/>
        <v>0</v>
      </c>
      <c r="M341" s="22">
        <v>44256</v>
      </c>
      <c r="N341" s="23" t="s">
        <v>16</v>
      </c>
      <c r="O341" s="24"/>
      <c r="P341" s="28" t="s">
        <v>497</v>
      </c>
    </row>
    <row r="342" spans="1:16">
      <c r="A342" s="14">
        <v>338</v>
      </c>
      <c r="B342" s="29" t="s">
        <v>498</v>
      </c>
      <c r="C342" s="16">
        <v>100</v>
      </c>
      <c r="D342" s="17"/>
      <c r="E342" s="14"/>
      <c r="F342" s="18"/>
      <c r="G342" s="19"/>
      <c r="H342" s="20"/>
      <c r="I342" s="21"/>
      <c r="J342" s="14"/>
      <c r="K342" s="14">
        <f t="shared" si="10"/>
        <v>0</v>
      </c>
      <c r="L342" s="16">
        <f t="shared" si="11"/>
        <v>100</v>
      </c>
      <c r="M342" s="22">
        <v>44805</v>
      </c>
      <c r="N342" s="23" t="s">
        <v>16</v>
      </c>
      <c r="O342" s="24" t="s">
        <v>17</v>
      </c>
      <c r="P342" s="23" t="s">
        <v>499</v>
      </c>
    </row>
    <row r="343" spans="1:16">
      <c r="A343" s="14">
        <v>339</v>
      </c>
      <c r="B343" s="29" t="s">
        <v>500</v>
      </c>
      <c r="C343" s="16">
        <v>0</v>
      </c>
      <c r="D343" s="17"/>
      <c r="E343" s="14"/>
      <c r="F343" s="18"/>
      <c r="G343" s="19"/>
      <c r="H343" s="20"/>
      <c r="I343" s="21"/>
      <c r="J343" s="14"/>
      <c r="K343" s="14">
        <f t="shared" si="10"/>
        <v>0</v>
      </c>
      <c r="L343" s="16">
        <f t="shared" si="11"/>
        <v>0</v>
      </c>
      <c r="M343" s="22"/>
      <c r="N343" s="23" t="s">
        <v>16</v>
      </c>
      <c r="O343" s="24"/>
      <c r="P343" s="25"/>
    </row>
    <row r="344" spans="1:16">
      <c r="A344" s="14">
        <v>340</v>
      </c>
      <c r="B344" s="29" t="s">
        <v>501</v>
      </c>
      <c r="C344" s="16">
        <v>0</v>
      </c>
      <c r="D344" s="17"/>
      <c r="E344" s="14"/>
      <c r="F344" s="18"/>
      <c r="G344" s="19"/>
      <c r="H344" s="20"/>
      <c r="I344" s="21"/>
      <c r="J344" s="14"/>
      <c r="K344" s="14">
        <f t="shared" si="10"/>
        <v>0</v>
      </c>
      <c r="L344" s="16">
        <f t="shared" si="11"/>
        <v>0</v>
      </c>
      <c r="M344" s="22"/>
      <c r="N344" s="23" t="s">
        <v>16</v>
      </c>
      <c r="O344" s="24"/>
      <c r="P344" s="25"/>
    </row>
    <row r="345" spans="1:16">
      <c r="A345" s="14">
        <v>341</v>
      </c>
      <c r="B345" s="29" t="s">
        <v>502</v>
      </c>
      <c r="C345" s="16">
        <v>0</v>
      </c>
      <c r="D345" s="17"/>
      <c r="E345" s="14"/>
      <c r="F345" s="18"/>
      <c r="G345" s="19"/>
      <c r="H345" s="20"/>
      <c r="I345" s="21"/>
      <c r="J345" s="14"/>
      <c r="K345" s="14">
        <f t="shared" si="10"/>
        <v>0</v>
      </c>
      <c r="L345" s="16">
        <f t="shared" si="11"/>
        <v>0</v>
      </c>
      <c r="M345" s="22">
        <v>44866</v>
      </c>
      <c r="N345" s="23" t="s">
        <v>26</v>
      </c>
      <c r="O345" s="24"/>
      <c r="P345" s="25"/>
    </row>
    <row r="346" spans="1:16">
      <c r="A346" s="14">
        <v>342</v>
      </c>
      <c r="B346" s="29" t="s">
        <v>503</v>
      </c>
      <c r="C346" s="16">
        <v>160</v>
      </c>
      <c r="D346" s="26"/>
      <c r="E346" s="14"/>
      <c r="F346" s="18">
        <f>5</f>
        <v>5</v>
      </c>
      <c r="G346" s="19"/>
      <c r="H346" s="20"/>
      <c r="I346" s="21"/>
      <c r="J346" s="14"/>
      <c r="K346" s="14">
        <f t="shared" si="10"/>
        <v>5</v>
      </c>
      <c r="L346" s="16">
        <f t="shared" si="11"/>
        <v>155</v>
      </c>
      <c r="M346" s="22">
        <v>44713</v>
      </c>
      <c r="N346" s="23" t="s">
        <v>16</v>
      </c>
      <c r="O346" s="24" t="s">
        <v>17</v>
      </c>
      <c r="P346" s="28" t="s">
        <v>504</v>
      </c>
    </row>
    <row r="347" spans="1:16">
      <c r="A347" s="14">
        <v>343</v>
      </c>
      <c r="B347" s="29" t="s">
        <v>505</v>
      </c>
      <c r="C347" s="16">
        <v>0</v>
      </c>
      <c r="D347" s="17"/>
      <c r="E347" s="14"/>
      <c r="F347" s="18"/>
      <c r="G347" s="19"/>
      <c r="H347" s="20"/>
      <c r="I347" s="21"/>
      <c r="J347" s="14"/>
      <c r="K347" s="14">
        <f t="shared" si="10"/>
        <v>0</v>
      </c>
      <c r="L347" s="16">
        <f t="shared" si="11"/>
        <v>0</v>
      </c>
      <c r="M347" s="22"/>
      <c r="N347" s="23" t="s">
        <v>16</v>
      </c>
      <c r="O347" s="24"/>
      <c r="P347" s="25"/>
    </row>
    <row r="348" spans="1:16">
      <c r="A348" s="14">
        <v>344</v>
      </c>
      <c r="B348" s="29" t="s">
        <v>506</v>
      </c>
      <c r="C348" s="16">
        <v>72</v>
      </c>
      <c r="D348" s="26"/>
      <c r="E348" s="14"/>
      <c r="F348" s="18">
        <f>5</f>
        <v>5</v>
      </c>
      <c r="G348" s="19"/>
      <c r="H348" s="20"/>
      <c r="I348" s="21"/>
      <c r="J348" s="14"/>
      <c r="K348" s="14">
        <f t="shared" si="10"/>
        <v>5</v>
      </c>
      <c r="L348" s="16">
        <f t="shared" si="11"/>
        <v>67</v>
      </c>
      <c r="M348" s="22">
        <v>44531</v>
      </c>
      <c r="N348" s="23" t="s">
        <v>16</v>
      </c>
      <c r="O348" s="24" t="s">
        <v>17</v>
      </c>
      <c r="P348" s="28" t="s">
        <v>507</v>
      </c>
    </row>
    <row r="349" spans="1:16" ht="25.5">
      <c r="A349" s="14">
        <v>345</v>
      </c>
      <c r="B349" s="29" t="s">
        <v>508</v>
      </c>
      <c r="C349" s="16">
        <v>412</v>
      </c>
      <c r="D349" s="17"/>
      <c r="E349" s="14"/>
      <c r="F349" s="18"/>
      <c r="G349" s="19"/>
      <c r="H349" s="20"/>
      <c r="I349" s="21"/>
      <c r="J349" s="14"/>
      <c r="K349" s="14">
        <f t="shared" si="10"/>
        <v>0</v>
      </c>
      <c r="L349" s="16">
        <f t="shared" si="11"/>
        <v>412</v>
      </c>
      <c r="M349" s="22">
        <v>45108</v>
      </c>
      <c r="N349" s="23" t="s">
        <v>16</v>
      </c>
      <c r="O349" s="24" t="s">
        <v>17</v>
      </c>
      <c r="P349" s="28" t="s">
        <v>509</v>
      </c>
    </row>
    <row r="350" spans="1:16">
      <c r="A350" s="14">
        <v>346</v>
      </c>
      <c r="B350" s="29" t="s">
        <v>510</v>
      </c>
      <c r="C350" s="16">
        <v>0</v>
      </c>
      <c r="D350" s="17"/>
      <c r="E350" s="14"/>
      <c r="F350" s="18"/>
      <c r="G350" s="19"/>
      <c r="H350" s="20"/>
      <c r="I350" s="21"/>
      <c r="J350" s="14"/>
      <c r="K350" s="14">
        <f t="shared" si="10"/>
        <v>0</v>
      </c>
      <c r="L350" s="16">
        <f t="shared" si="11"/>
        <v>0</v>
      </c>
      <c r="M350" s="22"/>
      <c r="N350" s="23" t="s">
        <v>16</v>
      </c>
      <c r="O350" s="24"/>
      <c r="P350" s="25"/>
    </row>
    <row r="351" spans="1:16">
      <c r="A351" s="14">
        <v>347</v>
      </c>
      <c r="B351" s="29" t="s">
        <v>511</v>
      </c>
      <c r="C351" s="16">
        <v>0</v>
      </c>
      <c r="D351" s="17"/>
      <c r="E351" s="14"/>
      <c r="F351" s="18"/>
      <c r="G351" s="19"/>
      <c r="H351" s="20"/>
      <c r="I351" s="21"/>
      <c r="J351" s="14"/>
      <c r="K351" s="14">
        <f t="shared" si="10"/>
        <v>0</v>
      </c>
      <c r="L351" s="16">
        <f t="shared" si="11"/>
        <v>0</v>
      </c>
      <c r="M351" s="22"/>
      <c r="N351" s="23" t="s">
        <v>16</v>
      </c>
      <c r="O351" s="24"/>
      <c r="P351" s="25"/>
    </row>
    <row r="352" spans="1:16">
      <c r="A352" s="14">
        <v>348</v>
      </c>
      <c r="B352" s="29" t="s">
        <v>512</v>
      </c>
      <c r="C352" s="16">
        <v>119</v>
      </c>
      <c r="D352" s="17"/>
      <c r="E352" s="14"/>
      <c r="F352" s="18">
        <f>5+10</f>
        <v>15</v>
      </c>
      <c r="G352" s="19"/>
      <c r="H352" s="20"/>
      <c r="I352" s="21"/>
      <c r="J352" s="14"/>
      <c r="K352" s="14">
        <f t="shared" si="10"/>
        <v>15</v>
      </c>
      <c r="L352" s="16">
        <f t="shared" si="11"/>
        <v>104</v>
      </c>
      <c r="M352" s="22">
        <v>44682</v>
      </c>
      <c r="N352" s="23" t="s">
        <v>16</v>
      </c>
      <c r="O352" s="24" t="s">
        <v>17</v>
      </c>
      <c r="P352" s="23" t="s">
        <v>513</v>
      </c>
    </row>
    <row r="353" spans="1:16">
      <c r="A353" s="14">
        <v>349</v>
      </c>
      <c r="B353" s="29" t="s">
        <v>514</v>
      </c>
      <c r="C353" s="16">
        <v>146</v>
      </c>
      <c r="D353" s="17"/>
      <c r="E353" s="14"/>
      <c r="F353" s="18">
        <f>2+5+10</f>
        <v>17</v>
      </c>
      <c r="G353" s="19"/>
      <c r="H353" s="20"/>
      <c r="I353" s="21"/>
      <c r="J353" s="14"/>
      <c r="K353" s="14">
        <f t="shared" si="10"/>
        <v>17</v>
      </c>
      <c r="L353" s="16">
        <f t="shared" si="11"/>
        <v>129</v>
      </c>
      <c r="M353" s="22">
        <v>44652</v>
      </c>
      <c r="N353" s="23" t="s">
        <v>16</v>
      </c>
      <c r="O353" s="24" t="s">
        <v>17</v>
      </c>
      <c r="P353" s="23" t="s">
        <v>515</v>
      </c>
    </row>
    <row r="354" spans="1:16">
      <c r="A354" s="14">
        <v>350</v>
      </c>
      <c r="B354" s="29" t="s">
        <v>516</v>
      </c>
      <c r="C354" s="16">
        <v>0</v>
      </c>
      <c r="D354" s="17"/>
      <c r="E354" s="14"/>
      <c r="F354" s="18"/>
      <c r="G354" s="19"/>
      <c r="H354" s="20"/>
      <c r="I354" s="21"/>
      <c r="J354" s="14"/>
      <c r="K354" s="14">
        <f t="shared" si="10"/>
        <v>0</v>
      </c>
      <c r="L354" s="16">
        <f t="shared" si="11"/>
        <v>0</v>
      </c>
      <c r="M354" s="22"/>
      <c r="N354" s="23" t="s">
        <v>16</v>
      </c>
      <c r="O354" s="24"/>
      <c r="P354" s="25"/>
    </row>
    <row r="355" spans="1:16">
      <c r="A355" s="14">
        <v>351</v>
      </c>
      <c r="B355" s="29" t="s">
        <v>517</v>
      </c>
      <c r="C355" s="16">
        <v>4</v>
      </c>
      <c r="D355" s="17"/>
      <c r="E355" s="14"/>
      <c r="F355" s="18">
        <f>4</f>
        <v>4</v>
      </c>
      <c r="G355" s="19"/>
      <c r="H355" s="20"/>
      <c r="I355" s="21"/>
      <c r="J355" s="14"/>
      <c r="K355" s="14">
        <f t="shared" si="10"/>
        <v>4</v>
      </c>
      <c r="L355" s="16">
        <f t="shared" si="11"/>
        <v>0</v>
      </c>
      <c r="M355" s="22">
        <v>44682</v>
      </c>
      <c r="N355" s="23" t="s">
        <v>26</v>
      </c>
      <c r="O355" s="24" t="s">
        <v>17</v>
      </c>
      <c r="P355" s="23" t="s">
        <v>518</v>
      </c>
    </row>
    <row r="356" spans="1:16">
      <c r="A356" s="14">
        <v>352</v>
      </c>
      <c r="B356" s="29" t="s">
        <v>519</v>
      </c>
      <c r="C356" s="16">
        <v>0</v>
      </c>
      <c r="D356" s="17"/>
      <c r="E356" s="14"/>
      <c r="F356" s="18"/>
      <c r="G356" s="19"/>
      <c r="H356" s="20"/>
      <c r="I356" s="21"/>
      <c r="J356" s="14"/>
      <c r="K356" s="14">
        <f t="shared" si="10"/>
        <v>0</v>
      </c>
      <c r="L356" s="16">
        <f t="shared" si="11"/>
        <v>0</v>
      </c>
      <c r="M356" s="22">
        <v>44409</v>
      </c>
      <c r="N356" s="23" t="s">
        <v>16</v>
      </c>
      <c r="O356" s="24"/>
      <c r="P356" s="25"/>
    </row>
    <row r="357" spans="1:16">
      <c r="A357" s="14">
        <v>353</v>
      </c>
      <c r="B357" s="29" t="s">
        <v>520</v>
      </c>
      <c r="C357" s="16">
        <v>87</v>
      </c>
      <c r="D357" s="17"/>
      <c r="E357" s="14"/>
      <c r="F357" s="18">
        <f>20</f>
        <v>20</v>
      </c>
      <c r="G357" s="19"/>
      <c r="H357" s="20"/>
      <c r="I357" s="21"/>
      <c r="J357" s="14"/>
      <c r="K357" s="14">
        <f t="shared" si="10"/>
        <v>20</v>
      </c>
      <c r="L357" s="16">
        <f t="shared" si="11"/>
        <v>67</v>
      </c>
      <c r="M357" s="22">
        <v>44805</v>
      </c>
      <c r="N357" s="23" t="s">
        <v>26</v>
      </c>
      <c r="O357" s="24" t="s">
        <v>17</v>
      </c>
      <c r="P357" s="23" t="s">
        <v>521</v>
      </c>
    </row>
    <row r="358" spans="1:16">
      <c r="A358" s="14">
        <v>354</v>
      </c>
      <c r="B358" s="29" t="s">
        <v>522</v>
      </c>
      <c r="C358" s="16">
        <v>0</v>
      </c>
      <c r="D358" s="17"/>
      <c r="E358" s="14"/>
      <c r="F358" s="18"/>
      <c r="G358" s="19"/>
      <c r="H358" s="20"/>
      <c r="I358" s="21"/>
      <c r="J358" s="14"/>
      <c r="K358" s="14">
        <f t="shared" si="10"/>
        <v>0</v>
      </c>
      <c r="L358" s="16">
        <f t="shared" si="11"/>
        <v>0</v>
      </c>
      <c r="M358" s="22"/>
      <c r="N358" s="23" t="s">
        <v>16</v>
      </c>
      <c r="O358" s="24"/>
      <c r="P358" s="25"/>
    </row>
    <row r="359" spans="1:16">
      <c r="A359" s="14">
        <v>355</v>
      </c>
      <c r="B359" s="29" t="s">
        <v>523</v>
      </c>
      <c r="C359" s="16">
        <v>0</v>
      </c>
      <c r="D359" s="17"/>
      <c r="E359" s="14"/>
      <c r="F359" s="18"/>
      <c r="G359" s="19"/>
      <c r="H359" s="20"/>
      <c r="I359" s="21"/>
      <c r="J359" s="14"/>
      <c r="K359" s="14">
        <f t="shared" si="10"/>
        <v>0</v>
      </c>
      <c r="L359" s="16">
        <f t="shared" si="11"/>
        <v>0</v>
      </c>
      <c r="M359" s="22">
        <v>44228</v>
      </c>
      <c r="N359" s="23" t="s">
        <v>16</v>
      </c>
      <c r="O359" s="24"/>
      <c r="P359" s="23" t="s">
        <v>524</v>
      </c>
    </row>
    <row r="360" spans="1:16">
      <c r="A360" s="14">
        <v>356</v>
      </c>
      <c r="B360" s="29" t="s">
        <v>525</v>
      </c>
      <c r="C360" s="16">
        <v>86</v>
      </c>
      <c r="D360" s="17"/>
      <c r="E360" s="14"/>
      <c r="F360" s="18"/>
      <c r="G360" s="19"/>
      <c r="H360" s="20"/>
      <c r="I360" s="21"/>
      <c r="J360" s="14"/>
      <c r="K360" s="14">
        <f t="shared" si="10"/>
        <v>0</v>
      </c>
      <c r="L360" s="16">
        <f t="shared" si="11"/>
        <v>86</v>
      </c>
      <c r="M360" s="22">
        <v>44958</v>
      </c>
      <c r="N360" s="23" t="s">
        <v>16</v>
      </c>
      <c r="O360" s="24" t="s">
        <v>17</v>
      </c>
      <c r="P360" s="23" t="s">
        <v>526</v>
      </c>
    </row>
    <row r="361" spans="1:16">
      <c r="A361" s="14">
        <v>357</v>
      </c>
      <c r="B361" s="29" t="s">
        <v>527</v>
      </c>
      <c r="C361" s="16">
        <v>8</v>
      </c>
      <c r="D361" s="17"/>
      <c r="E361" s="14"/>
      <c r="F361" s="18">
        <f>1</f>
        <v>1</v>
      </c>
      <c r="G361" s="19"/>
      <c r="H361" s="20"/>
      <c r="I361" s="21"/>
      <c r="J361" s="14"/>
      <c r="K361" s="14">
        <f t="shared" si="10"/>
        <v>1</v>
      </c>
      <c r="L361" s="16">
        <f t="shared" si="11"/>
        <v>7</v>
      </c>
      <c r="M361" s="22">
        <v>44652</v>
      </c>
      <c r="N361" s="23" t="s">
        <v>16</v>
      </c>
      <c r="O361" s="24" t="s">
        <v>17</v>
      </c>
      <c r="P361" s="28" t="s">
        <v>528</v>
      </c>
    </row>
    <row r="362" spans="1:16">
      <c r="A362" s="14">
        <v>358</v>
      </c>
      <c r="B362" s="29" t="s">
        <v>527</v>
      </c>
      <c r="C362" s="16">
        <v>25</v>
      </c>
      <c r="D362" s="17"/>
      <c r="E362" s="14"/>
      <c r="F362" s="18"/>
      <c r="G362" s="19"/>
      <c r="H362" s="20"/>
      <c r="I362" s="21"/>
      <c r="J362" s="14"/>
      <c r="K362" s="14">
        <f t="shared" si="10"/>
        <v>0</v>
      </c>
      <c r="L362" s="16">
        <f t="shared" si="11"/>
        <v>25</v>
      </c>
      <c r="M362" s="22">
        <v>44896</v>
      </c>
      <c r="N362" s="23" t="s">
        <v>16</v>
      </c>
      <c r="O362" s="24" t="s">
        <v>17</v>
      </c>
      <c r="P362" s="28" t="s">
        <v>528</v>
      </c>
    </row>
  </sheetData>
  <autoFilter ref="A2:P362"/>
  <mergeCells count="17">
    <mergeCell ref="P2:P4"/>
    <mergeCell ref="A1:P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2:M4"/>
    <mergeCell ref="N2:N4"/>
    <mergeCell ref="O2:O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55308D"/>
  </sheetPr>
  <dimension ref="A1:O24"/>
  <sheetViews>
    <sheetView zoomScaleNormal="100" workbookViewId="0">
      <pane ySplit="4" topLeftCell="A5" activePane="bottomLeft" state="frozen"/>
      <selection pane="bottomLeft" activeCell="E20" sqref="E20"/>
    </sheetView>
  </sheetViews>
  <sheetFormatPr defaultRowHeight="15"/>
  <cols>
    <col min="1" max="1" width="12.5703125" customWidth="1"/>
    <col min="2" max="2" width="45.85546875" customWidth="1"/>
    <col min="3" max="13" width="13.28515625" customWidth="1"/>
    <col min="14" max="14" width="13.7109375" customWidth="1"/>
    <col min="15" max="1022" width="9.140625" customWidth="1"/>
    <col min="1023" max="1025" width="11.5703125" customWidth="1"/>
  </cols>
  <sheetData>
    <row r="1" spans="1:15" ht="51.75" customHeight="1">
      <c r="A1" s="3" t="s">
        <v>529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s="33" customFormat="1" ht="13.9" customHeight="1">
      <c r="A2" s="11" t="s">
        <v>1</v>
      </c>
      <c r="B2" s="10" t="s">
        <v>2</v>
      </c>
      <c r="C2" s="9">
        <v>44287</v>
      </c>
      <c r="D2" s="11" t="s">
        <v>3</v>
      </c>
      <c r="E2" s="11" t="s">
        <v>4</v>
      </c>
      <c r="F2" s="8" t="s">
        <v>5</v>
      </c>
      <c r="G2" s="2" t="s">
        <v>6</v>
      </c>
      <c r="H2" s="6" t="s">
        <v>7</v>
      </c>
      <c r="I2" s="5" t="s">
        <v>8</v>
      </c>
      <c r="J2" s="11" t="s">
        <v>9</v>
      </c>
      <c r="K2" s="11" t="s">
        <v>10</v>
      </c>
      <c r="L2" s="9">
        <v>44316</v>
      </c>
      <c r="M2" s="1" t="s">
        <v>11</v>
      </c>
      <c r="N2" s="1" t="s">
        <v>12</v>
      </c>
      <c r="O2" s="32"/>
    </row>
    <row r="3" spans="1:15" s="33" customFormat="1" ht="14.25">
      <c r="A3" s="11"/>
      <c r="B3" s="10"/>
      <c r="C3" s="9"/>
      <c r="D3" s="9"/>
      <c r="E3" s="9"/>
      <c r="F3" s="8"/>
      <c r="G3" s="2"/>
      <c r="H3" s="6"/>
      <c r="I3" s="5"/>
      <c r="J3" s="11"/>
      <c r="K3" s="11"/>
      <c r="L3" s="11"/>
      <c r="M3" s="1"/>
      <c r="N3" s="1"/>
      <c r="O3" s="32"/>
    </row>
    <row r="4" spans="1:15" s="33" customFormat="1" ht="24.75" customHeight="1">
      <c r="A4" s="11"/>
      <c r="B4" s="10"/>
      <c r="C4" s="9"/>
      <c r="D4" s="9"/>
      <c r="E4" s="9"/>
      <c r="F4" s="8"/>
      <c r="G4" s="2"/>
      <c r="H4" s="6"/>
      <c r="I4" s="5"/>
      <c r="J4" s="11"/>
      <c r="K4" s="11"/>
      <c r="L4" s="11"/>
      <c r="M4" s="1"/>
      <c r="N4" s="1"/>
      <c r="O4" s="32"/>
    </row>
    <row r="5" spans="1:15">
      <c r="A5" s="34">
        <v>1</v>
      </c>
      <c r="B5" s="35" t="s">
        <v>530</v>
      </c>
      <c r="C5" s="14">
        <f>'Перевязочные Март'!L5</f>
        <v>580</v>
      </c>
      <c r="D5" s="36"/>
      <c r="E5" s="36"/>
      <c r="F5" s="37">
        <f>40</f>
        <v>40</v>
      </c>
      <c r="G5" s="38"/>
      <c r="H5" s="39"/>
      <c r="I5" s="40"/>
      <c r="J5" s="36"/>
      <c r="K5" s="14">
        <f t="shared" ref="K5:K24" si="0">SUM(F5:J5)</f>
        <v>40</v>
      </c>
      <c r="L5" s="16">
        <f t="shared" ref="L5:L24" si="1">(C5+E5)-K5</f>
        <v>540</v>
      </c>
      <c r="M5" s="41">
        <v>44652</v>
      </c>
      <c r="N5" s="42" t="s">
        <v>16</v>
      </c>
      <c r="O5" s="43"/>
    </row>
    <row r="6" spans="1:15">
      <c r="A6" s="34">
        <v>2</v>
      </c>
      <c r="B6" s="35" t="s">
        <v>531</v>
      </c>
      <c r="C6" s="14">
        <f>'Перевязочные Март'!L6</f>
        <v>85</v>
      </c>
      <c r="D6" s="36"/>
      <c r="E6" s="36"/>
      <c r="F6" s="37"/>
      <c r="G6" s="38"/>
      <c r="H6" s="39"/>
      <c r="I6" s="40"/>
      <c r="J6" s="36"/>
      <c r="K6" s="14">
        <f t="shared" si="0"/>
        <v>0</v>
      </c>
      <c r="L6" s="16">
        <f t="shared" si="1"/>
        <v>85</v>
      </c>
      <c r="M6" s="41">
        <v>45200</v>
      </c>
      <c r="N6" s="42" t="s">
        <v>16</v>
      </c>
      <c r="O6" s="43"/>
    </row>
    <row r="7" spans="1:15">
      <c r="A7" s="34">
        <v>3</v>
      </c>
      <c r="B7" s="35" t="s">
        <v>532</v>
      </c>
      <c r="C7" s="14">
        <f>'Перевязочные Март'!L7</f>
        <v>10</v>
      </c>
      <c r="D7" s="36"/>
      <c r="E7" s="36"/>
      <c r="F7" s="37"/>
      <c r="G7" s="38"/>
      <c r="H7" s="39"/>
      <c r="I7" s="40"/>
      <c r="J7" s="36"/>
      <c r="K7" s="14">
        <f t="shared" si="0"/>
        <v>0</v>
      </c>
      <c r="L7" s="16">
        <f t="shared" si="1"/>
        <v>10</v>
      </c>
      <c r="M7" s="41">
        <v>44958</v>
      </c>
      <c r="N7" s="42" t="s">
        <v>16</v>
      </c>
      <c r="O7" s="43"/>
    </row>
    <row r="8" spans="1:15">
      <c r="A8" s="34">
        <v>4</v>
      </c>
      <c r="B8" s="35" t="s">
        <v>533</v>
      </c>
      <c r="C8" s="14">
        <f>'Перевязочные Март'!L8</f>
        <v>0</v>
      </c>
      <c r="D8" s="36"/>
      <c r="E8" s="36"/>
      <c r="F8" s="37"/>
      <c r="G8" s="38"/>
      <c r="H8" s="39"/>
      <c r="I8" s="40"/>
      <c r="J8" s="36"/>
      <c r="K8" s="14">
        <f t="shared" si="0"/>
        <v>0</v>
      </c>
      <c r="L8" s="16">
        <f t="shared" si="1"/>
        <v>0</v>
      </c>
      <c r="M8" s="41"/>
      <c r="N8" s="42" t="s">
        <v>16</v>
      </c>
      <c r="O8" s="43"/>
    </row>
    <row r="9" spans="1:15">
      <c r="A9" s="34">
        <v>5</v>
      </c>
      <c r="B9" s="35" t="s">
        <v>534</v>
      </c>
      <c r="C9" s="14">
        <f>'Перевязочные Март'!L9</f>
        <v>0</v>
      </c>
      <c r="D9" s="36"/>
      <c r="E9" s="36"/>
      <c r="F9" s="37"/>
      <c r="G9" s="38"/>
      <c r="H9" s="39"/>
      <c r="I9" s="40"/>
      <c r="J9" s="36"/>
      <c r="K9" s="14">
        <f t="shared" si="0"/>
        <v>0</v>
      </c>
      <c r="L9" s="16">
        <f t="shared" si="1"/>
        <v>0</v>
      </c>
      <c r="M9" s="41"/>
      <c r="N9" s="42" t="s">
        <v>16</v>
      </c>
      <c r="O9" s="43"/>
    </row>
    <row r="10" spans="1:15">
      <c r="A10" s="34">
        <v>6</v>
      </c>
      <c r="B10" s="35" t="s">
        <v>535</v>
      </c>
      <c r="C10" s="14">
        <f>'Перевязочные Март'!L10</f>
        <v>10</v>
      </c>
      <c r="D10" s="36"/>
      <c r="E10" s="36"/>
      <c r="F10" s="37"/>
      <c r="G10" s="38"/>
      <c r="H10" s="39"/>
      <c r="I10" s="40"/>
      <c r="J10" s="36"/>
      <c r="K10" s="14">
        <f t="shared" si="0"/>
        <v>0</v>
      </c>
      <c r="L10" s="16">
        <f t="shared" si="1"/>
        <v>10</v>
      </c>
      <c r="M10" s="41">
        <v>45231</v>
      </c>
      <c r="N10" s="42" t="s">
        <v>16</v>
      </c>
      <c r="O10" s="43"/>
    </row>
    <row r="11" spans="1:15">
      <c r="A11" s="34">
        <v>7</v>
      </c>
      <c r="B11" s="35" t="s">
        <v>536</v>
      </c>
      <c r="C11" s="14">
        <f>'Перевязочные Март'!L11</f>
        <v>0</v>
      </c>
      <c r="D11" s="36"/>
      <c r="E11" s="36"/>
      <c r="F11" s="37"/>
      <c r="G11" s="38"/>
      <c r="H11" s="39"/>
      <c r="I11" s="40"/>
      <c r="J11" s="36"/>
      <c r="K11" s="14">
        <f t="shared" si="0"/>
        <v>0</v>
      </c>
      <c r="L11" s="16">
        <f t="shared" si="1"/>
        <v>0</v>
      </c>
      <c r="M11" s="41"/>
      <c r="N11" s="42" t="s">
        <v>16</v>
      </c>
      <c r="O11" s="43"/>
    </row>
    <row r="12" spans="1:15">
      <c r="A12" s="34">
        <v>8</v>
      </c>
      <c r="B12" s="35" t="s">
        <v>537</v>
      </c>
      <c r="C12" s="14">
        <f>'Перевязочные Март'!L12</f>
        <v>21</v>
      </c>
      <c r="D12" s="36"/>
      <c r="E12" s="36"/>
      <c r="F12" s="37"/>
      <c r="G12" s="38"/>
      <c r="H12" s="39"/>
      <c r="I12" s="40"/>
      <c r="J12" s="36"/>
      <c r="K12" s="14">
        <f t="shared" si="0"/>
        <v>0</v>
      </c>
      <c r="L12" s="16">
        <f t="shared" si="1"/>
        <v>21</v>
      </c>
      <c r="M12" s="41">
        <v>45658</v>
      </c>
      <c r="N12" s="42" t="s">
        <v>16</v>
      </c>
      <c r="O12" s="43"/>
    </row>
    <row r="13" spans="1:15">
      <c r="A13" s="34">
        <v>9</v>
      </c>
      <c r="B13" s="35" t="s">
        <v>538</v>
      </c>
      <c r="C13" s="14">
        <f>'Перевязочные Март'!L13</f>
        <v>1000</v>
      </c>
      <c r="D13" s="36"/>
      <c r="E13" s="36"/>
      <c r="F13" s="37">
        <f>100+100</f>
        <v>200</v>
      </c>
      <c r="G13" s="38"/>
      <c r="H13" s="39"/>
      <c r="I13" s="40"/>
      <c r="J13" s="36"/>
      <c r="K13" s="14">
        <f t="shared" si="0"/>
        <v>200</v>
      </c>
      <c r="L13" s="16">
        <f t="shared" si="1"/>
        <v>800</v>
      </c>
      <c r="M13" s="41">
        <v>44682</v>
      </c>
      <c r="N13" s="42" t="s">
        <v>16</v>
      </c>
      <c r="O13" s="43"/>
    </row>
    <row r="14" spans="1:15">
      <c r="A14" s="34">
        <v>10</v>
      </c>
      <c r="B14" s="35" t="s">
        <v>539</v>
      </c>
      <c r="C14" s="14">
        <f>'Перевязочные Март'!L14</f>
        <v>458</v>
      </c>
      <c r="D14" s="36"/>
      <c r="E14" s="36"/>
      <c r="F14" s="37">
        <f>24</f>
        <v>24</v>
      </c>
      <c r="G14" s="38"/>
      <c r="H14" s="39"/>
      <c r="I14" s="40"/>
      <c r="J14" s="36"/>
      <c r="K14" s="14">
        <f t="shared" si="0"/>
        <v>24</v>
      </c>
      <c r="L14" s="16">
        <f t="shared" si="1"/>
        <v>434</v>
      </c>
      <c r="M14" s="41">
        <v>45261</v>
      </c>
      <c r="N14" s="42" t="s">
        <v>16</v>
      </c>
      <c r="O14" s="43"/>
    </row>
    <row r="15" spans="1:15">
      <c r="A15" s="34">
        <v>11</v>
      </c>
      <c r="B15" s="35" t="s">
        <v>540</v>
      </c>
      <c r="C15" s="14">
        <f>'Перевязочные Март'!L15</f>
        <v>141</v>
      </c>
      <c r="D15" s="36"/>
      <c r="E15" s="36"/>
      <c r="F15" s="37"/>
      <c r="G15" s="38"/>
      <c r="H15" s="39"/>
      <c r="I15" s="40"/>
      <c r="J15" s="36"/>
      <c r="K15" s="14">
        <f t="shared" si="0"/>
        <v>0</v>
      </c>
      <c r="L15" s="16">
        <f t="shared" si="1"/>
        <v>141</v>
      </c>
      <c r="M15" s="41">
        <v>44835</v>
      </c>
      <c r="N15" s="42" t="s">
        <v>16</v>
      </c>
      <c r="O15" s="43"/>
    </row>
    <row r="16" spans="1:15" ht="30">
      <c r="A16" s="34">
        <v>12</v>
      </c>
      <c r="B16" s="35" t="s">
        <v>541</v>
      </c>
      <c r="C16" s="14">
        <f>'Перевязочные Март'!L16</f>
        <v>285</v>
      </c>
      <c r="D16" s="36"/>
      <c r="E16" s="36"/>
      <c r="F16" s="37"/>
      <c r="G16" s="38"/>
      <c r="H16" s="39"/>
      <c r="I16" s="40"/>
      <c r="J16" s="36"/>
      <c r="K16" s="14">
        <f t="shared" si="0"/>
        <v>0</v>
      </c>
      <c r="L16" s="16">
        <f t="shared" si="1"/>
        <v>285</v>
      </c>
      <c r="M16" s="41">
        <v>45616</v>
      </c>
      <c r="N16" s="42" t="s">
        <v>16</v>
      </c>
      <c r="O16" s="43"/>
    </row>
    <row r="17" spans="1:15" ht="45">
      <c r="A17" s="34">
        <v>13</v>
      </c>
      <c r="B17" s="35" t="s">
        <v>542</v>
      </c>
      <c r="C17" s="14">
        <f>'Перевязочные Март'!L17</f>
        <v>480</v>
      </c>
      <c r="D17" s="36"/>
      <c r="E17" s="36"/>
      <c r="F17" s="37"/>
      <c r="G17" s="38"/>
      <c r="H17" s="39"/>
      <c r="I17" s="40"/>
      <c r="J17" s="36"/>
      <c r="K17" s="14">
        <f t="shared" si="0"/>
        <v>0</v>
      </c>
      <c r="L17" s="16">
        <f t="shared" si="1"/>
        <v>480</v>
      </c>
      <c r="M17" s="41">
        <v>44682</v>
      </c>
      <c r="N17" s="42" t="s">
        <v>16</v>
      </c>
      <c r="O17" s="43"/>
    </row>
    <row r="18" spans="1:15" ht="30">
      <c r="A18" s="34">
        <v>14</v>
      </c>
      <c r="B18" s="35" t="s">
        <v>543</v>
      </c>
      <c r="C18" s="14">
        <f>'Перевязочные Март'!L18</f>
        <v>23</v>
      </c>
      <c r="D18" s="36"/>
      <c r="E18" s="36"/>
      <c r="F18" s="37">
        <f>9+7</f>
        <v>16</v>
      </c>
      <c r="G18" s="38"/>
      <c r="H18" s="39"/>
      <c r="I18" s="40"/>
      <c r="J18" s="36"/>
      <c r="K18" s="14">
        <f t="shared" si="0"/>
        <v>16</v>
      </c>
      <c r="L18" s="16">
        <f t="shared" si="1"/>
        <v>7</v>
      </c>
      <c r="M18" s="41">
        <v>45778</v>
      </c>
      <c r="N18" s="42" t="s">
        <v>16</v>
      </c>
      <c r="O18" s="43"/>
    </row>
    <row r="19" spans="1:15" ht="30">
      <c r="A19" s="34">
        <v>15</v>
      </c>
      <c r="B19" s="35" t="s">
        <v>565</v>
      </c>
      <c r="C19" s="14"/>
      <c r="D19" s="36"/>
      <c r="E19" s="36">
        <v>31250</v>
      </c>
      <c r="F19" s="37"/>
      <c r="G19" s="38"/>
      <c r="H19" s="39"/>
      <c r="I19" s="40"/>
      <c r="J19" s="36"/>
      <c r="K19" s="14">
        <f t="shared" si="0"/>
        <v>0</v>
      </c>
      <c r="L19" s="16">
        <f t="shared" si="1"/>
        <v>31250</v>
      </c>
      <c r="M19" s="41">
        <v>45992</v>
      </c>
      <c r="N19" s="42" t="s">
        <v>16</v>
      </c>
      <c r="O19" s="43"/>
    </row>
    <row r="20" spans="1:15" ht="30">
      <c r="A20" s="34">
        <v>16</v>
      </c>
      <c r="B20" s="35" t="s">
        <v>544</v>
      </c>
      <c r="C20" s="14">
        <f>'Перевязочные Март'!L19</f>
        <v>38</v>
      </c>
      <c r="D20" s="36"/>
      <c r="E20" s="36"/>
      <c r="F20" s="37"/>
      <c r="G20" s="38"/>
      <c r="H20" s="39"/>
      <c r="I20" s="40"/>
      <c r="J20" s="36"/>
      <c r="K20" s="14">
        <f t="shared" si="0"/>
        <v>0</v>
      </c>
      <c r="L20" s="16">
        <f t="shared" si="1"/>
        <v>38</v>
      </c>
      <c r="M20" s="41"/>
      <c r="N20" s="42" t="s">
        <v>16</v>
      </c>
      <c r="O20" s="43"/>
    </row>
    <row r="21" spans="1:15">
      <c r="A21" s="34">
        <v>17</v>
      </c>
      <c r="B21" s="35" t="s">
        <v>545</v>
      </c>
      <c r="C21" s="14">
        <f>'Перевязочные Март'!L20</f>
        <v>19</v>
      </c>
      <c r="D21" s="36"/>
      <c r="E21" s="36"/>
      <c r="F21" s="37">
        <f>3</f>
        <v>3</v>
      </c>
      <c r="G21" s="38"/>
      <c r="H21" s="39"/>
      <c r="I21" s="40"/>
      <c r="J21" s="36"/>
      <c r="K21" s="14">
        <f t="shared" si="0"/>
        <v>3</v>
      </c>
      <c r="L21" s="16">
        <f t="shared" si="1"/>
        <v>16</v>
      </c>
      <c r="M21" s="41">
        <v>45292</v>
      </c>
      <c r="N21" s="42" t="s">
        <v>16</v>
      </c>
      <c r="O21" s="43"/>
    </row>
    <row r="22" spans="1:15">
      <c r="A22" s="34">
        <v>18</v>
      </c>
      <c r="B22" s="35" t="s">
        <v>566</v>
      </c>
      <c r="C22" s="14"/>
      <c r="D22" s="36"/>
      <c r="E22" s="36">
        <f>28</f>
        <v>28</v>
      </c>
      <c r="F22" s="37"/>
      <c r="G22" s="38"/>
      <c r="H22" s="39"/>
      <c r="I22" s="40"/>
      <c r="J22" s="36"/>
      <c r="K22" s="14">
        <f t="shared" si="0"/>
        <v>0</v>
      </c>
      <c r="L22" s="16">
        <f t="shared" si="1"/>
        <v>28</v>
      </c>
      <c r="M22" s="41">
        <v>45717</v>
      </c>
      <c r="N22" s="42" t="s">
        <v>16</v>
      </c>
      <c r="O22" s="43"/>
    </row>
    <row r="23" spans="1:15" ht="30">
      <c r="A23" s="34">
        <v>19</v>
      </c>
      <c r="B23" s="35" t="s">
        <v>546</v>
      </c>
      <c r="C23" s="14">
        <f>'Перевязочные Март'!L21</f>
        <v>14</v>
      </c>
      <c r="D23" s="36"/>
      <c r="E23" s="36"/>
      <c r="F23" s="37"/>
      <c r="G23" s="38"/>
      <c r="H23" s="39"/>
      <c r="I23" s="40"/>
      <c r="J23" s="36"/>
      <c r="K23" s="14">
        <f t="shared" si="0"/>
        <v>0</v>
      </c>
      <c r="L23" s="16">
        <f t="shared" si="1"/>
        <v>14</v>
      </c>
      <c r="M23" s="41">
        <v>44682</v>
      </c>
      <c r="N23" s="42" t="s">
        <v>16</v>
      </c>
      <c r="O23" s="43"/>
    </row>
    <row r="24" spans="1:15" ht="45">
      <c r="A24" s="34">
        <v>20</v>
      </c>
      <c r="B24" s="35" t="s">
        <v>567</v>
      </c>
      <c r="C24" s="14"/>
      <c r="D24" s="36"/>
      <c r="E24" s="36">
        <f>20</f>
        <v>20</v>
      </c>
      <c r="F24" s="37"/>
      <c r="G24" s="38"/>
      <c r="H24" s="39"/>
      <c r="I24" s="40"/>
      <c r="J24" s="36"/>
      <c r="K24" s="14">
        <f t="shared" si="0"/>
        <v>0</v>
      </c>
      <c r="L24" s="16">
        <f t="shared" si="1"/>
        <v>20</v>
      </c>
      <c r="M24" s="41">
        <v>45292</v>
      </c>
      <c r="N24" s="42" t="s">
        <v>16</v>
      </c>
      <c r="O24" s="43"/>
    </row>
  </sheetData>
  <autoFilter ref="A2:N4"/>
  <mergeCells count="15">
    <mergeCell ref="A1:N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2:M4"/>
    <mergeCell ref="N2:N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0000"/>
  </sheetPr>
  <dimension ref="A1:Q376"/>
  <sheetViews>
    <sheetView zoomScaleNormal="100" workbookViewId="0">
      <pane ySplit="4" topLeftCell="A220" activePane="bottomLeft" state="frozen"/>
      <selection pane="bottomLeft" activeCell="B205" sqref="B205"/>
    </sheetView>
  </sheetViews>
  <sheetFormatPr defaultRowHeight="15"/>
  <cols>
    <col min="1" max="1" width="9.140625" customWidth="1"/>
    <col min="2" max="2" width="40.85546875" customWidth="1"/>
    <col min="3" max="13" width="13.28515625" customWidth="1"/>
    <col min="14" max="14" width="13.28515625" style="13" customWidth="1"/>
    <col min="15" max="15" width="13.28515625" customWidth="1"/>
    <col min="16" max="16" width="13.28515625" style="13" customWidth="1"/>
    <col min="17" max="17" width="43.5703125" customWidth="1"/>
    <col min="18" max="1025" width="9.140625" customWidth="1"/>
  </cols>
  <sheetData>
    <row r="1" spans="1:17" ht="52.5" customHeight="1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ht="13.9" customHeight="1">
      <c r="A2" s="11" t="s">
        <v>1</v>
      </c>
      <c r="B2" s="10" t="s">
        <v>2</v>
      </c>
      <c r="C2" s="9">
        <v>44317</v>
      </c>
      <c r="D2" s="11" t="s">
        <v>3</v>
      </c>
      <c r="E2" s="11" t="s">
        <v>4</v>
      </c>
      <c r="F2" s="8" t="s">
        <v>5</v>
      </c>
      <c r="G2" s="7" t="s">
        <v>6</v>
      </c>
      <c r="H2" s="6" t="s">
        <v>7</v>
      </c>
      <c r="I2" s="5" t="s">
        <v>8</v>
      </c>
      <c r="J2" s="11" t="s">
        <v>9</v>
      </c>
      <c r="K2" s="11" t="s">
        <v>10</v>
      </c>
      <c r="L2" s="9">
        <v>44347</v>
      </c>
      <c r="M2" s="4" t="s">
        <v>11</v>
      </c>
      <c r="N2" s="4" t="s">
        <v>550</v>
      </c>
      <c r="O2" s="4" t="s">
        <v>12</v>
      </c>
      <c r="P2" s="4" t="s">
        <v>13</v>
      </c>
      <c r="Q2" s="4" t="s">
        <v>14</v>
      </c>
    </row>
    <row r="3" spans="1:17">
      <c r="A3" s="11"/>
      <c r="B3" s="10"/>
      <c r="C3" s="9"/>
      <c r="D3" s="9"/>
      <c r="E3" s="9"/>
      <c r="F3" s="8"/>
      <c r="G3" s="7"/>
      <c r="H3" s="6"/>
      <c r="I3" s="5"/>
      <c r="J3" s="11"/>
      <c r="K3" s="11"/>
      <c r="L3" s="11"/>
      <c r="M3" s="4"/>
      <c r="N3" s="4"/>
      <c r="O3" s="4"/>
      <c r="P3" s="4"/>
      <c r="Q3" s="4"/>
    </row>
    <row r="4" spans="1:17" ht="34.5" customHeight="1">
      <c r="A4" s="11"/>
      <c r="B4" s="10"/>
      <c r="C4" s="9"/>
      <c r="D4" s="9"/>
      <c r="E4" s="9"/>
      <c r="F4" s="8"/>
      <c r="G4" s="7"/>
      <c r="H4" s="6"/>
      <c r="I4" s="5"/>
      <c r="J4" s="11"/>
      <c r="K4" s="11"/>
      <c r="L4" s="11"/>
      <c r="M4" s="4"/>
      <c r="N4" s="4"/>
      <c r="O4" s="4"/>
      <c r="P4" s="4"/>
      <c r="Q4" s="4"/>
    </row>
    <row r="5" spans="1:17">
      <c r="A5" s="14">
        <v>1</v>
      </c>
      <c r="B5" s="15" t="s">
        <v>15</v>
      </c>
      <c r="C5" s="16">
        <f>'Медикаменты Апрель'!L5</f>
        <v>18</v>
      </c>
      <c r="D5" s="17"/>
      <c r="E5" s="14"/>
      <c r="F5" s="18"/>
      <c r="G5" s="19"/>
      <c r="H5" s="20"/>
      <c r="I5" s="21"/>
      <c r="J5" s="14">
        <f>1</f>
        <v>1</v>
      </c>
      <c r="K5" s="14">
        <f t="shared" ref="K5:K68" si="0">SUM(F5:J5)</f>
        <v>1</v>
      </c>
      <c r="L5" s="16">
        <f t="shared" ref="L5:L68" si="1">(C5+E5)-K5</f>
        <v>17</v>
      </c>
      <c r="M5" s="22">
        <v>44531</v>
      </c>
      <c r="N5" s="44" t="s">
        <v>45</v>
      </c>
      <c r="O5" s="23" t="s">
        <v>16</v>
      </c>
      <c r="P5" s="24" t="s">
        <v>17</v>
      </c>
      <c r="Q5" s="23" t="s">
        <v>18</v>
      </c>
    </row>
    <row r="6" spans="1:17">
      <c r="A6" s="14">
        <v>2</v>
      </c>
      <c r="B6" s="15" t="s">
        <v>19</v>
      </c>
      <c r="C6" s="16">
        <f>'Медикаменты Апрель'!L6</f>
        <v>11</v>
      </c>
      <c r="D6" s="17"/>
      <c r="E6" s="14"/>
      <c r="F6" s="18"/>
      <c r="G6" s="19"/>
      <c r="H6" s="20"/>
      <c r="I6" s="21"/>
      <c r="J6" s="14"/>
      <c r="K6" s="14">
        <f t="shared" si="0"/>
        <v>0</v>
      </c>
      <c r="L6" s="16">
        <f t="shared" si="1"/>
        <v>11</v>
      </c>
      <c r="M6" s="22">
        <v>44593</v>
      </c>
      <c r="N6" s="44" t="s">
        <v>45</v>
      </c>
      <c r="O6" s="23" t="s">
        <v>16</v>
      </c>
      <c r="P6" s="24" t="s">
        <v>17</v>
      </c>
      <c r="Q6" s="23" t="s">
        <v>20</v>
      </c>
    </row>
    <row r="7" spans="1:17">
      <c r="A7" s="14">
        <v>3</v>
      </c>
      <c r="B7" s="15" t="s">
        <v>21</v>
      </c>
      <c r="C7" s="16">
        <f>'Медикаменты Апрель'!L7</f>
        <v>219</v>
      </c>
      <c r="D7" s="17"/>
      <c r="E7" s="14"/>
      <c r="F7" s="18">
        <f>2+10</f>
        <v>12</v>
      </c>
      <c r="G7" s="19"/>
      <c r="H7" s="20">
        <f>30</f>
        <v>30</v>
      </c>
      <c r="I7" s="21"/>
      <c r="J7" s="14"/>
      <c r="K7" s="14">
        <f t="shared" si="0"/>
        <v>42</v>
      </c>
      <c r="L7" s="16">
        <f t="shared" si="1"/>
        <v>177</v>
      </c>
      <c r="M7" s="22">
        <v>45566</v>
      </c>
      <c r="N7" s="44" t="s">
        <v>45</v>
      </c>
      <c r="O7" s="23" t="s">
        <v>16</v>
      </c>
      <c r="P7" s="24" t="s">
        <v>17</v>
      </c>
      <c r="Q7" s="23" t="s">
        <v>22</v>
      </c>
    </row>
    <row r="8" spans="1:17">
      <c r="A8" s="14">
        <v>4</v>
      </c>
      <c r="B8" s="15" t="s">
        <v>23</v>
      </c>
      <c r="C8" s="16">
        <f>'Медикаменты Апрель'!L8</f>
        <v>0</v>
      </c>
      <c r="D8" s="17"/>
      <c r="E8" s="14"/>
      <c r="F8" s="18"/>
      <c r="G8" s="19"/>
      <c r="H8" s="20"/>
      <c r="I8" s="21"/>
      <c r="J8" s="14"/>
      <c r="K8" s="14">
        <f t="shared" si="0"/>
        <v>0</v>
      </c>
      <c r="L8" s="16">
        <f t="shared" si="1"/>
        <v>0</v>
      </c>
      <c r="M8" s="22"/>
      <c r="N8" s="44"/>
      <c r="O8" s="23" t="s">
        <v>16</v>
      </c>
      <c r="P8" s="24"/>
      <c r="Q8" s="23"/>
    </row>
    <row r="9" spans="1:17">
      <c r="A9" s="14">
        <v>5</v>
      </c>
      <c r="B9" s="15" t="s">
        <v>24</v>
      </c>
      <c r="C9" s="16">
        <f>'Медикаменты Апрель'!L9</f>
        <v>0</v>
      </c>
      <c r="D9" s="17"/>
      <c r="E9" s="14"/>
      <c r="F9" s="18"/>
      <c r="G9" s="19"/>
      <c r="H9" s="20"/>
      <c r="I9" s="21"/>
      <c r="J9" s="14"/>
      <c r="K9" s="14">
        <f t="shared" si="0"/>
        <v>0</v>
      </c>
      <c r="L9" s="16">
        <f t="shared" si="1"/>
        <v>0</v>
      </c>
      <c r="M9" s="22">
        <v>44866</v>
      </c>
      <c r="N9" s="44"/>
      <c r="O9" s="23" t="s">
        <v>16</v>
      </c>
      <c r="P9" s="24" t="s">
        <v>17</v>
      </c>
      <c r="Q9" s="23" t="s">
        <v>25</v>
      </c>
    </row>
    <row r="10" spans="1:17">
      <c r="A10" s="14">
        <v>6</v>
      </c>
      <c r="B10" s="15" t="s">
        <v>24</v>
      </c>
      <c r="C10" s="16">
        <f>'Медикаменты Апрель'!L10</f>
        <v>0</v>
      </c>
      <c r="D10" s="17"/>
      <c r="E10" s="14"/>
      <c r="F10" s="18"/>
      <c r="G10" s="19"/>
      <c r="H10" s="20"/>
      <c r="I10" s="21"/>
      <c r="J10" s="14"/>
      <c r="K10" s="14">
        <f t="shared" si="0"/>
        <v>0</v>
      </c>
      <c r="L10" s="16">
        <f t="shared" si="1"/>
        <v>0</v>
      </c>
      <c r="M10" s="22"/>
      <c r="N10" s="44"/>
      <c r="O10" s="23" t="s">
        <v>26</v>
      </c>
      <c r="P10" s="24"/>
      <c r="Q10" s="25"/>
    </row>
    <row r="11" spans="1:17">
      <c r="A11" s="14">
        <v>7</v>
      </c>
      <c r="B11" s="15" t="s">
        <v>27</v>
      </c>
      <c r="C11" s="16">
        <f>'Медикаменты Апрель'!L11</f>
        <v>71</v>
      </c>
      <c r="D11" s="17"/>
      <c r="E11" s="14"/>
      <c r="F11" s="18">
        <f>30</f>
        <v>30</v>
      </c>
      <c r="G11" s="19"/>
      <c r="H11" s="20">
        <f>41</f>
        <v>41</v>
      </c>
      <c r="I11" s="21"/>
      <c r="J11" s="14"/>
      <c r="K11" s="14">
        <f t="shared" si="0"/>
        <v>71</v>
      </c>
      <c r="L11" s="16">
        <f t="shared" si="1"/>
        <v>0</v>
      </c>
      <c r="M11" s="22">
        <v>44805</v>
      </c>
      <c r="N11" s="44" t="s">
        <v>45</v>
      </c>
      <c r="O11" s="23" t="s">
        <v>16</v>
      </c>
      <c r="P11" s="24" t="s">
        <v>17</v>
      </c>
      <c r="Q11" s="23" t="s">
        <v>28</v>
      </c>
    </row>
    <row r="12" spans="1:17">
      <c r="A12" s="14">
        <v>8</v>
      </c>
      <c r="B12" s="15" t="s">
        <v>27</v>
      </c>
      <c r="C12" s="16">
        <f>'Медикаменты Апрель'!L12</f>
        <v>0</v>
      </c>
      <c r="D12" s="17"/>
      <c r="E12" s="14"/>
      <c r="F12" s="18"/>
      <c r="G12" s="19"/>
      <c r="H12" s="20"/>
      <c r="I12" s="21"/>
      <c r="J12" s="14"/>
      <c r="K12" s="14">
        <f t="shared" si="0"/>
        <v>0</v>
      </c>
      <c r="L12" s="16">
        <f t="shared" si="1"/>
        <v>0</v>
      </c>
      <c r="M12" s="22"/>
      <c r="N12" s="44"/>
      <c r="O12" s="23" t="s">
        <v>26</v>
      </c>
      <c r="P12" s="24"/>
      <c r="Q12" s="25"/>
    </row>
    <row r="13" spans="1:17">
      <c r="A13" s="14">
        <v>9</v>
      </c>
      <c r="B13" s="15" t="s">
        <v>29</v>
      </c>
      <c r="C13" s="16">
        <f>'Медикаменты Апрель'!L13</f>
        <v>17</v>
      </c>
      <c r="D13" s="17"/>
      <c r="E13" s="14"/>
      <c r="F13" s="18"/>
      <c r="G13" s="19"/>
      <c r="H13" s="20"/>
      <c r="I13" s="21"/>
      <c r="J13" s="14"/>
      <c r="K13" s="14">
        <f t="shared" si="0"/>
        <v>0</v>
      </c>
      <c r="L13" s="16">
        <f t="shared" si="1"/>
        <v>17</v>
      </c>
      <c r="M13" s="22">
        <v>44835</v>
      </c>
      <c r="N13" s="44" t="s">
        <v>45</v>
      </c>
      <c r="O13" s="23" t="s">
        <v>16</v>
      </c>
      <c r="P13" s="24" t="s">
        <v>17</v>
      </c>
      <c r="Q13" s="23" t="s">
        <v>30</v>
      </c>
    </row>
    <row r="14" spans="1:17">
      <c r="A14" s="14">
        <v>10</v>
      </c>
      <c r="B14" s="15" t="s">
        <v>31</v>
      </c>
      <c r="C14" s="16">
        <f>'Медикаменты Апрель'!L14</f>
        <v>101</v>
      </c>
      <c r="D14" s="26"/>
      <c r="E14" s="14"/>
      <c r="F14" s="18">
        <f>20+10</f>
        <v>30</v>
      </c>
      <c r="G14" s="19"/>
      <c r="H14" s="20"/>
      <c r="I14" s="21"/>
      <c r="J14" s="14"/>
      <c r="K14" s="14">
        <f t="shared" si="0"/>
        <v>30</v>
      </c>
      <c r="L14" s="16">
        <f t="shared" si="1"/>
        <v>71</v>
      </c>
      <c r="M14" s="22">
        <v>44621</v>
      </c>
      <c r="N14" s="44" t="s">
        <v>45</v>
      </c>
      <c r="O14" s="23" t="s">
        <v>16</v>
      </c>
      <c r="P14" s="24" t="s">
        <v>17</v>
      </c>
      <c r="Q14" s="23" t="s">
        <v>32</v>
      </c>
    </row>
    <row r="15" spans="1:17">
      <c r="A15" s="14">
        <v>11</v>
      </c>
      <c r="B15" s="15" t="s">
        <v>31</v>
      </c>
      <c r="C15" s="16">
        <f>'Медикаменты Апрель'!L15</f>
        <v>0</v>
      </c>
      <c r="D15" s="17"/>
      <c r="E15" s="14"/>
      <c r="F15" s="18"/>
      <c r="G15" s="19"/>
      <c r="H15" s="20"/>
      <c r="I15" s="21"/>
      <c r="J15" s="14"/>
      <c r="K15" s="14">
        <f t="shared" si="0"/>
        <v>0</v>
      </c>
      <c r="L15" s="16">
        <f t="shared" si="1"/>
        <v>0</v>
      </c>
      <c r="M15" s="22"/>
      <c r="N15" s="44"/>
      <c r="O15" s="23" t="s">
        <v>26</v>
      </c>
      <c r="P15" s="24"/>
      <c r="Q15" s="25"/>
    </row>
    <row r="16" spans="1:17" ht="25.5">
      <c r="A16" s="14">
        <v>12</v>
      </c>
      <c r="B16" s="15" t="s">
        <v>33</v>
      </c>
      <c r="C16" s="16">
        <f>'Медикаменты Апрель'!L16</f>
        <v>3</v>
      </c>
      <c r="D16" s="17"/>
      <c r="E16" s="14"/>
      <c r="F16" s="18"/>
      <c r="G16" s="19"/>
      <c r="H16" s="20"/>
      <c r="I16" s="21"/>
      <c r="J16" s="14"/>
      <c r="K16" s="14">
        <f t="shared" si="0"/>
        <v>0</v>
      </c>
      <c r="L16" s="16">
        <f t="shared" si="1"/>
        <v>3</v>
      </c>
      <c r="M16" s="22">
        <v>44501</v>
      </c>
      <c r="N16" s="44" t="s">
        <v>45</v>
      </c>
      <c r="O16" s="23" t="s">
        <v>16</v>
      </c>
      <c r="P16" s="24" t="s">
        <v>17</v>
      </c>
      <c r="Q16" s="23" t="s">
        <v>34</v>
      </c>
    </row>
    <row r="17" spans="1:17">
      <c r="A17" s="14">
        <v>13</v>
      </c>
      <c r="B17" s="15" t="s">
        <v>35</v>
      </c>
      <c r="C17" s="16">
        <f>'Медикаменты Апрель'!L17</f>
        <v>45</v>
      </c>
      <c r="D17" s="17"/>
      <c r="E17" s="14"/>
      <c r="F17" s="18">
        <f>5</f>
        <v>5</v>
      </c>
      <c r="G17" s="19"/>
      <c r="H17" s="20"/>
      <c r="I17" s="21"/>
      <c r="J17" s="14"/>
      <c r="K17" s="14">
        <f t="shared" si="0"/>
        <v>5</v>
      </c>
      <c r="L17" s="16">
        <f t="shared" si="1"/>
        <v>40</v>
      </c>
      <c r="M17" s="22">
        <v>44621</v>
      </c>
      <c r="N17" s="44" t="s">
        <v>45</v>
      </c>
      <c r="O17" s="23" t="s">
        <v>16</v>
      </c>
      <c r="P17" s="24" t="s">
        <v>17</v>
      </c>
      <c r="Q17" s="23" t="s">
        <v>36</v>
      </c>
    </row>
    <row r="18" spans="1:17">
      <c r="A18" s="14">
        <v>14</v>
      </c>
      <c r="B18" s="15" t="s">
        <v>37</v>
      </c>
      <c r="C18" s="16">
        <f>'Медикаменты Апрель'!L18</f>
        <v>129</v>
      </c>
      <c r="D18" s="17"/>
      <c r="E18" s="14"/>
      <c r="F18" s="18">
        <f>9</f>
        <v>9</v>
      </c>
      <c r="G18" s="19"/>
      <c r="H18" s="20"/>
      <c r="I18" s="21"/>
      <c r="J18" s="14"/>
      <c r="K18" s="14">
        <f t="shared" si="0"/>
        <v>9</v>
      </c>
      <c r="L18" s="16">
        <f t="shared" si="1"/>
        <v>120</v>
      </c>
      <c r="M18" s="22">
        <v>44348</v>
      </c>
      <c r="N18" s="44" t="s">
        <v>45</v>
      </c>
      <c r="O18" s="23" t="s">
        <v>16</v>
      </c>
      <c r="P18" s="24" t="s">
        <v>17</v>
      </c>
      <c r="Q18" s="23" t="s">
        <v>38</v>
      </c>
    </row>
    <row r="19" spans="1:17">
      <c r="A19" s="14">
        <v>15</v>
      </c>
      <c r="B19" s="15" t="s">
        <v>39</v>
      </c>
      <c r="C19" s="16">
        <f>'Медикаменты Апрель'!L19</f>
        <v>3</v>
      </c>
      <c r="D19" s="17"/>
      <c r="E19" s="14"/>
      <c r="F19" s="18"/>
      <c r="G19" s="19"/>
      <c r="H19" s="20"/>
      <c r="I19" s="21"/>
      <c r="J19" s="14"/>
      <c r="K19" s="14">
        <f t="shared" si="0"/>
        <v>0</v>
      </c>
      <c r="L19" s="16">
        <f t="shared" si="1"/>
        <v>3</v>
      </c>
      <c r="M19" s="22">
        <v>44409</v>
      </c>
      <c r="N19" s="44" t="s">
        <v>45</v>
      </c>
      <c r="O19" s="23" t="s">
        <v>16</v>
      </c>
      <c r="P19" s="24" t="s">
        <v>17</v>
      </c>
      <c r="Q19" s="23" t="s">
        <v>40</v>
      </c>
    </row>
    <row r="20" spans="1:17" ht="25.5">
      <c r="A20" s="14">
        <v>16</v>
      </c>
      <c r="B20" s="15" t="s">
        <v>41</v>
      </c>
      <c r="C20" s="16">
        <f>'Медикаменты Апрель'!L20</f>
        <v>8</v>
      </c>
      <c r="D20" s="17"/>
      <c r="E20" s="14"/>
      <c r="F20" s="18">
        <f>5+3</f>
        <v>8</v>
      </c>
      <c r="G20" s="19"/>
      <c r="H20" s="20"/>
      <c r="I20" s="21"/>
      <c r="J20" s="14"/>
      <c r="K20" s="14">
        <f t="shared" si="0"/>
        <v>8</v>
      </c>
      <c r="L20" s="16">
        <f t="shared" si="1"/>
        <v>0</v>
      </c>
      <c r="M20" s="22">
        <v>44743</v>
      </c>
      <c r="N20" s="44" t="s">
        <v>551</v>
      </c>
      <c r="O20" s="23" t="s">
        <v>16</v>
      </c>
      <c r="P20" s="24" t="s">
        <v>17</v>
      </c>
      <c r="Q20" s="23" t="s">
        <v>42</v>
      </c>
    </row>
    <row r="21" spans="1:17">
      <c r="A21" s="14">
        <v>17</v>
      </c>
      <c r="B21" s="15" t="s">
        <v>43</v>
      </c>
      <c r="C21" s="16">
        <f>'Медикаменты Апрель'!L21</f>
        <v>0</v>
      </c>
      <c r="D21" s="17"/>
      <c r="E21" s="14"/>
      <c r="F21" s="18"/>
      <c r="G21" s="19"/>
      <c r="H21" s="20"/>
      <c r="I21" s="21"/>
      <c r="J21" s="14"/>
      <c r="K21" s="14">
        <f t="shared" si="0"/>
        <v>0</v>
      </c>
      <c r="L21" s="16">
        <f t="shared" si="1"/>
        <v>0</v>
      </c>
      <c r="M21" s="22"/>
      <c r="N21" s="44"/>
      <c r="O21" s="23" t="s">
        <v>16</v>
      </c>
      <c r="P21" s="24"/>
      <c r="Q21" s="25"/>
    </row>
    <row r="22" spans="1:17">
      <c r="A22" s="14">
        <v>18</v>
      </c>
      <c r="B22" s="15" t="s">
        <v>44</v>
      </c>
      <c r="C22" s="16">
        <f>'Медикаменты Апрель'!L22</f>
        <v>4</v>
      </c>
      <c r="D22" s="17"/>
      <c r="E22" s="14"/>
      <c r="F22" s="18"/>
      <c r="G22" s="19"/>
      <c r="H22" s="20"/>
      <c r="I22" s="21"/>
      <c r="J22" s="14"/>
      <c r="K22" s="14">
        <f t="shared" si="0"/>
        <v>0</v>
      </c>
      <c r="L22" s="16">
        <f t="shared" si="1"/>
        <v>4</v>
      </c>
      <c r="M22" s="22">
        <v>44621</v>
      </c>
      <c r="N22" s="44" t="s">
        <v>45</v>
      </c>
      <c r="O22" s="23" t="s">
        <v>16</v>
      </c>
      <c r="P22" s="24" t="s">
        <v>45</v>
      </c>
      <c r="Q22" s="23" t="s">
        <v>46</v>
      </c>
    </row>
    <row r="23" spans="1:17">
      <c r="A23" s="14">
        <v>19</v>
      </c>
      <c r="B23" s="15" t="s">
        <v>44</v>
      </c>
      <c r="C23" s="16">
        <f>'Медикаменты Апрель'!L23</f>
        <v>0</v>
      </c>
      <c r="D23" s="17"/>
      <c r="E23" s="14"/>
      <c r="F23" s="18"/>
      <c r="G23" s="19"/>
      <c r="H23" s="20"/>
      <c r="I23" s="21"/>
      <c r="J23" s="14"/>
      <c r="K23" s="14">
        <f t="shared" si="0"/>
        <v>0</v>
      </c>
      <c r="L23" s="16">
        <f t="shared" si="1"/>
        <v>0</v>
      </c>
      <c r="M23" s="22">
        <v>44621</v>
      </c>
      <c r="N23" s="44"/>
      <c r="O23" s="23" t="s">
        <v>26</v>
      </c>
      <c r="P23" s="24"/>
      <c r="Q23" s="23" t="s">
        <v>46</v>
      </c>
    </row>
    <row r="24" spans="1:17">
      <c r="A24" s="14">
        <v>20</v>
      </c>
      <c r="B24" s="15" t="s">
        <v>47</v>
      </c>
      <c r="C24" s="16">
        <f>'Медикаменты Апрель'!L24</f>
        <v>170</v>
      </c>
      <c r="D24" s="17"/>
      <c r="E24" s="14"/>
      <c r="F24" s="18">
        <f>80</f>
        <v>80</v>
      </c>
      <c r="G24" s="19"/>
      <c r="H24" s="20">
        <f>10</f>
        <v>10</v>
      </c>
      <c r="I24" s="21"/>
      <c r="J24" s="14">
        <f>1</f>
        <v>1</v>
      </c>
      <c r="K24" s="14">
        <f t="shared" si="0"/>
        <v>91</v>
      </c>
      <c r="L24" s="16">
        <f t="shared" si="1"/>
        <v>79</v>
      </c>
      <c r="M24" s="22">
        <v>44348</v>
      </c>
      <c r="N24" s="44" t="s">
        <v>45</v>
      </c>
      <c r="O24" s="23" t="s">
        <v>16</v>
      </c>
      <c r="P24" s="24" t="s">
        <v>45</v>
      </c>
      <c r="Q24" s="23" t="s">
        <v>48</v>
      </c>
    </row>
    <row r="25" spans="1:17">
      <c r="A25" s="14">
        <v>21</v>
      </c>
      <c r="B25" s="15" t="s">
        <v>49</v>
      </c>
      <c r="C25" s="16">
        <f>'Медикаменты Апрель'!L25</f>
        <v>0</v>
      </c>
      <c r="D25" s="17"/>
      <c r="E25" s="14"/>
      <c r="F25" s="18"/>
      <c r="G25" s="19"/>
      <c r="H25" s="20"/>
      <c r="I25" s="21"/>
      <c r="J25" s="14"/>
      <c r="K25" s="14">
        <f t="shared" si="0"/>
        <v>0</v>
      </c>
      <c r="L25" s="16">
        <f t="shared" si="1"/>
        <v>0</v>
      </c>
      <c r="M25" s="22">
        <v>44652</v>
      </c>
      <c r="N25" s="44"/>
      <c r="O25" s="23" t="s">
        <v>16</v>
      </c>
      <c r="P25" s="24"/>
      <c r="Q25" s="23" t="s">
        <v>50</v>
      </c>
    </row>
    <row r="26" spans="1:17">
      <c r="A26" s="14">
        <v>22</v>
      </c>
      <c r="B26" s="15" t="s">
        <v>51</v>
      </c>
      <c r="C26" s="16">
        <f>'Медикаменты Апрель'!L26</f>
        <v>0</v>
      </c>
      <c r="D26" s="17"/>
      <c r="E26" s="14"/>
      <c r="F26" s="18"/>
      <c r="G26" s="19"/>
      <c r="H26" s="20"/>
      <c r="I26" s="21"/>
      <c r="J26" s="14"/>
      <c r="K26" s="14">
        <f t="shared" si="0"/>
        <v>0</v>
      </c>
      <c r="L26" s="16">
        <f t="shared" si="1"/>
        <v>0</v>
      </c>
      <c r="M26" s="22">
        <v>44317</v>
      </c>
      <c r="N26" s="44"/>
      <c r="O26" s="23" t="s">
        <v>16</v>
      </c>
      <c r="P26" s="24" t="s">
        <v>17</v>
      </c>
      <c r="Q26" s="23" t="s">
        <v>52</v>
      </c>
    </row>
    <row r="27" spans="1:17">
      <c r="A27" s="14">
        <v>23</v>
      </c>
      <c r="B27" s="15" t="s">
        <v>53</v>
      </c>
      <c r="C27" s="16">
        <f>'Медикаменты Апрель'!L27</f>
        <v>0</v>
      </c>
      <c r="D27" s="17"/>
      <c r="E27" s="14"/>
      <c r="F27" s="18"/>
      <c r="G27" s="19"/>
      <c r="H27" s="20"/>
      <c r="I27" s="21"/>
      <c r="J27" s="14"/>
      <c r="K27" s="14">
        <f t="shared" si="0"/>
        <v>0</v>
      </c>
      <c r="L27" s="16">
        <f t="shared" si="1"/>
        <v>0</v>
      </c>
      <c r="M27" s="22"/>
      <c r="N27" s="44"/>
      <c r="O27" s="23" t="s">
        <v>16</v>
      </c>
      <c r="P27" s="24"/>
      <c r="Q27" s="25"/>
    </row>
    <row r="28" spans="1:17">
      <c r="A28" s="14">
        <v>24</v>
      </c>
      <c r="B28" s="15" t="s">
        <v>54</v>
      </c>
      <c r="C28" s="16">
        <f>'Медикаменты Апрель'!L28</f>
        <v>0</v>
      </c>
      <c r="D28" s="17"/>
      <c r="E28" s="14"/>
      <c r="F28" s="18"/>
      <c r="G28" s="19"/>
      <c r="H28" s="20"/>
      <c r="I28" s="21"/>
      <c r="J28" s="14"/>
      <c r="K28" s="14">
        <f t="shared" si="0"/>
        <v>0</v>
      </c>
      <c r="L28" s="16">
        <f t="shared" si="1"/>
        <v>0</v>
      </c>
      <c r="M28" s="22"/>
      <c r="N28" s="44"/>
      <c r="O28" s="23" t="s">
        <v>16</v>
      </c>
      <c r="P28" s="24"/>
      <c r="Q28" s="25"/>
    </row>
    <row r="29" spans="1:17">
      <c r="A29" s="14">
        <v>25</v>
      </c>
      <c r="B29" s="15" t="s">
        <v>55</v>
      </c>
      <c r="C29" s="16">
        <f>'Медикаменты Апрель'!L29</f>
        <v>0</v>
      </c>
      <c r="D29" s="17"/>
      <c r="E29" s="14"/>
      <c r="F29" s="18"/>
      <c r="G29" s="19"/>
      <c r="H29" s="20"/>
      <c r="I29" s="21"/>
      <c r="J29" s="14"/>
      <c r="K29" s="14">
        <f t="shared" si="0"/>
        <v>0</v>
      </c>
      <c r="L29" s="16">
        <f t="shared" si="1"/>
        <v>0</v>
      </c>
      <c r="M29" s="22"/>
      <c r="N29" s="44"/>
      <c r="O29" s="23" t="s">
        <v>16</v>
      </c>
      <c r="P29" s="24"/>
      <c r="Q29" s="25"/>
    </row>
    <row r="30" spans="1:17">
      <c r="A30" s="14">
        <v>26</v>
      </c>
      <c r="B30" s="15" t="s">
        <v>56</v>
      </c>
      <c r="C30" s="16">
        <f>'Медикаменты Апрель'!L30</f>
        <v>0</v>
      </c>
      <c r="D30" s="17"/>
      <c r="E30" s="14"/>
      <c r="F30" s="18"/>
      <c r="G30" s="19"/>
      <c r="H30" s="20"/>
      <c r="I30" s="21"/>
      <c r="J30" s="14"/>
      <c r="K30" s="14">
        <f t="shared" si="0"/>
        <v>0</v>
      </c>
      <c r="L30" s="16">
        <f t="shared" si="1"/>
        <v>0</v>
      </c>
      <c r="M30" s="22">
        <v>44743</v>
      </c>
      <c r="N30" s="44"/>
      <c r="O30" s="23" t="s">
        <v>16</v>
      </c>
      <c r="P30" s="24"/>
      <c r="Q30" s="25"/>
    </row>
    <row r="31" spans="1:17">
      <c r="A31" s="14">
        <v>27</v>
      </c>
      <c r="B31" s="15" t="s">
        <v>57</v>
      </c>
      <c r="C31" s="16">
        <f>'Медикаменты Апрель'!L31</f>
        <v>0</v>
      </c>
      <c r="D31" s="17"/>
      <c r="E31" s="14"/>
      <c r="F31" s="18"/>
      <c r="G31" s="19"/>
      <c r="H31" s="20"/>
      <c r="I31" s="21"/>
      <c r="J31" s="14"/>
      <c r="K31" s="14">
        <f t="shared" si="0"/>
        <v>0</v>
      </c>
      <c r="L31" s="16">
        <f t="shared" si="1"/>
        <v>0</v>
      </c>
      <c r="M31" s="22">
        <v>44958</v>
      </c>
      <c r="N31" s="44"/>
      <c r="O31" s="23" t="s">
        <v>16</v>
      </c>
      <c r="P31" s="24"/>
      <c r="Q31" s="23" t="s">
        <v>58</v>
      </c>
    </row>
    <row r="32" spans="1:17" ht="25.5">
      <c r="A32" s="14">
        <v>28</v>
      </c>
      <c r="B32" s="15" t="s">
        <v>59</v>
      </c>
      <c r="C32" s="16">
        <f>'Медикаменты Апрель'!L32</f>
        <v>0</v>
      </c>
      <c r="D32" s="17"/>
      <c r="E32" s="14"/>
      <c r="F32" s="18"/>
      <c r="G32" s="19"/>
      <c r="H32" s="20"/>
      <c r="I32" s="21"/>
      <c r="J32" s="14"/>
      <c r="K32" s="14">
        <f t="shared" si="0"/>
        <v>0</v>
      </c>
      <c r="L32" s="16">
        <f t="shared" si="1"/>
        <v>0</v>
      </c>
      <c r="M32" s="22">
        <v>44044</v>
      </c>
      <c r="N32" s="44"/>
      <c r="O32" s="23" t="s">
        <v>16</v>
      </c>
      <c r="P32" s="24"/>
      <c r="Q32" s="23" t="s">
        <v>60</v>
      </c>
    </row>
    <row r="33" spans="1:17">
      <c r="A33" s="14">
        <v>29</v>
      </c>
      <c r="B33" s="15" t="s">
        <v>61</v>
      </c>
      <c r="C33" s="16">
        <f>'Медикаменты Апрель'!L33</f>
        <v>0</v>
      </c>
      <c r="D33" s="17"/>
      <c r="E33" s="14"/>
      <c r="F33" s="18"/>
      <c r="G33" s="19"/>
      <c r="H33" s="20"/>
      <c r="I33" s="21"/>
      <c r="J33" s="14"/>
      <c r="K33" s="14">
        <f t="shared" si="0"/>
        <v>0</v>
      </c>
      <c r="L33" s="16">
        <f t="shared" si="1"/>
        <v>0</v>
      </c>
      <c r="M33" s="22">
        <v>44713</v>
      </c>
      <c r="N33" s="44"/>
      <c r="O33" s="23" t="s">
        <v>16</v>
      </c>
      <c r="P33" s="24"/>
      <c r="Q33" s="23" t="s">
        <v>62</v>
      </c>
    </row>
    <row r="34" spans="1:17">
      <c r="A34" s="14">
        <v>30</v>
      </c>
      <c r="B34" s="15" t="s">
        <v>63</v>
      </c>
      <c r="C34" s="16">
        <f>'Медикаменты Апрель'!L34</f>
        <v>0</v>
      </c>
      <c r="D34" s="17"/>
      <c r="E34" s="14"/>
      <c r="F34" s="18"/>
      <c r="G34" s="19"/>
      <c r="H34" s="20"/>
      <c r="I34" s="21"/>
      <c r="J34" s="14"/>
      <c r="K34" s="14">
        <f t="shared" si="0"/>
        <v>0</v>
      </c>
      <c r="L34" s="16">
        <f t="shared" si="1"/>
        <v>0</v>
      </c>
      <c r="M34" s="22"/>
      <c r="N34" s="44"/>
      <c r="O34" s="23" t="s">
        <v>16</v>
      </c>
      <c r="P34" s="24"/>
      <c r="Q34" s="25"/>
    </row>
    <row r="35" spans="1:17">
      <c r="A35" s="14">
        <v>31</v>
      </c>
      <c r="B35" s="15" t="s">
        <v>64</v>
      </c>
      <c r="C35" s="16">
        <f>'Медикаменты Апрель'!L35</f>
        <v>0</v>
      </c>
      <c r="D35" s="17"/>
      <c r="E35" s="14"/>
      <c r="F35" s="18"/>
      <c r="G35" s="19"/>
      <c r="H35" s="20"/>
      <c r="I35" s="21"/>
      <c r="J35" s="14"/>
      <c r="K35" s="14">
        <f t="shared" si="0"/>
        <v>0</v>
      </c>
      <c r="L35" s="16">
        <f t="shared" si="1"/>
        <v>0</v>
      </c>
      <c r="M35" s="22"/>
      <c r="N35" s="44"/>
      <c r="O35" s="23" t="s">
        <v>16</v>
      </c>
      <c r="P35" s="24"/>
      <c r="Q35" s="25"/>
    </row>
    <row r="36" spans="1:17">
      <c r="A36" s="14">
        <v>32</v>
      </c>
      <c r="B36" s="15" t="s">
        <v>65</v>
      </c>
      <c r="C36" s="16">
        <f>'Медикаменты Апрель'!L36</f>
        <v>86</v>
      </c>
      <c r="D36" s="17"/>
      <c r="E36" s="14"/>
      <c r="F36" s="18"/>
      <c r="G36" s="19"/>
      <c r="H36" s="20"/>
      <c r="I36" s="21"/>
      <c r="J36" s="14"/>
      <c r="K36" s="14">
        <f t="shared" si="0"/>
        <v>0</v>
      </c>
      <c r="L36" s="16">
        <f t="shared" si="1"/>
        <v>86</v>
      </c>
      <c r="M36" s="22">
        <v>45261</v>
      </c>
      <c r="N36" s="44" t="s">
        <v>45</v>
      </c>
      <c r="O36" s="23" t="s">
        <v>16</v>
      </c>
      <c r="P36" s="24" t="s">
        <v>17</v>
      </c>
      <c r="Q36" s="23" t="s">
        <v>66</v>
      </c>
    </row>
    <row r="37" spans="1:17">
      <c r="A37" s="14">
        <v>33</v>
      </c>
      <c r="B37" s="15" t="s">
        <v>67</v>
      </c>
      <c r="C37" s="16">
        <f>'Медикаменты Апрель'!L37</f>
        <v>0</v>
      </c>
      <c r="D37" s="17"/>
      <c r="E37" s="14"/>
      <c r="F37" s="18"/>
      <c r="G37" s="19"/>
      <c r="H37" s="20"/>
      <c r="I37" s="21"/>
      <c r="J37" s="14"/>
      <c r="K37" s="14">
        <f t="shared" si="0"/>
        <v>0</v>
      </c>
      <c r="L37" s="16">
        <f t="shared" si="1"/>
        <v>0</v>
      </c>
      <c r="M37" s="22">
        <v>44013</v>
      </c>
      <c r="N37" s="44"/>
      <c r="O37" s="23" t="s">
        <v>16</v>
      </c>
      <c r="P37" s="24"/>
      <c r="Q37" s="27" t="s">
        <v>68</v>
      </c>
    </row>
    <row r="38" spans="1:17">
      <c r="A38" s="14">
        <v>34</v>
      </c>
      <c r="B38" s="15" t="s">
        <v>69</v>
      </c>
      <c r="C38" s="16">
        <f>'Медикаменты Апрель'!L38</f>
        <v>9</v>
      </c>
      <c r="D38" s="17"/>
      <c r="E38" s="14"/>
      <c r="F38" s="18"/>
      <c r="G38" s="19"/>
      <c r="H38" s="20"/>
      <c r="I38" s="21"/>
      <c r="J38" s="14"/>
      <c r="K38" s="14">
        <f t="shared" si="0"/>
        <v>0</v>
      </c>
      <c r="L38" s="16">
        <f t="shared" si="1"/>
        <v>9</v>
      </c>
      <c r="M38" s="22">
        <v>45383</v>
      </c>
      <c r="N38" s="44" t="s">
        <v>45</v>
      </c>
      <c r="O38" s="23" t="s">
        <v>16</v>
      </c>
      <c r="P38" s="24" t="s">
        <v>17</v>
      </c>
      <c r="Q38" s="23" t="s">
        <v>70</v>
      </c>
    </row>
    <row r="39" spans="1:17">
      <c r="A39" s="14">
        <v>35</v>
      </c>
      <c r="B39" s="15" t="s">
        <v>71</v>
      </c>
      <c r="C39" s="16">
        <f>'Медикаменты Апрель'!L39</f>
        <v>0</v>
      </c>
      <c r="D39" s="17"/>
      <c r="E39" s="14"/>
      <c r="F39" s="18"/>
      <c r="G39" s="19"/>
      <c r="H39" s="20"/>
      <c r="I39" s="21"/>
      <c r="J39" s="14"/>
      <c r="K39" s="14">
        <f t="shared" si="0"/>
        <v>0</v>
      </c>
      <c r="L39" s="16">
        <f t="shared" si="1"/>
        <v>0</v>
      </c>
      <c r="M39" s="22"/>
      <c r="N39" s="44"/>
      <c r="O39" s="23" t="s">
        <v>16</v>
      </c>
      <c r="P39" s="24"/>
      <c r="Q39" s="25"/>
    </row>
    <row r="40" spans="1:17">
      <c r="A40" s="14">
        <v>36</v>
      </c>
      <c r="B40" s="15" t="s">
        <v>72</v>
      </c>
      <c r="C40" s="16">
        <f>'Медикаменты Апрель'!L40</f>
        <v>15</v>
      </c>
      <c r="D40" s="17"/>
      <c r="E40" s="14"/>
      <c r="F40" s="18"/>
      <c r="G40" s="19"/>
      <c r="H40" s="20"/>
      <c r="I40" s="21"/>
      <c r="J40" s="14"/>
      <c r="K40" s="14">
        <f t="shared" si="0"/>
        <v>0</v>
      </c>
      <c r="L40" s="16">
        <f t="shared" si="1"/>
        <v>15</v>
      </c>
      <c r="M40" s="22">
        <v>44652</v>
      </c>
      <c r="N40" s="44" t="s">
        <v>45</v>
      </c>
      <c r="O40" s="23" t="s">
        <v>16</v>
      </c>
      <c r="P40" s="24" t="s">
        <v>17</v>
      </c>
      <c r="Q40" s="23" t="s">
        <v>73</v>
      </c>
    </row>
    <row r="41" spans="1:17">
      <c r="A41" s="14">
        <v>37</v>
      </c>
      <c r="B41" s="15" t="s">
        <v>74</v>
      </c>
      <c r="C41" s="16">
        <f>'Медикаменты Апрель'!L41</f>
        <v>0</v>
      </c>
      <c r="D41" s="17"/>
      <c r="E41" s="14"/>
      <c r="F41" s="18"/>
      <c r="G41" s="19"/>
      <c r="H41" s="20"/>
      <c r="I41" s="21"/>
      <c r="J41" s="14"/>
      <c r="K41" s="14">
        <f t="shared" si="0"/>
        <v>0</v>
      </c>
      <c r="L41" s="16">
        <f t="shared" si="1"/>
        <v>0</v>
      </c>
      <c r="M41" s="22">
        <v>45108</v>
      </c>
      <c r="N41" s="44" t="s">
        <v>45</v>
      </c>
      <c r="O41" s="23" t="s">
        <v>16</v>
      </c>
      <c r="P41" s="24" t="s">
        <v>17</v>
      </c>
      <c r="Q41" s="23" t="s">
        <v>75</v>
      </c>
    </row>
    <row r="42" spans="1:17">
      <c r="A42" s="14">
        <v>38</v>
      </c>
      <c r="B42" s="15" t="s">
        <v>76</v>
      </c>
      <c r="C42" s="16">
        <f>'Медикаменты Апрель'!L42</f>
        <v>0</v>
      </c>
      <c r="D42" s="17"/>
      <c r="E42" s="14"/>
      <c r="F42" s="18"/>
      <c r="G42" s="19"/>
      <c r="H42" s="20"/>
      <c r="I42" s="21"/>
      <c r="J42" s="14"/>
      <c r="K42" s="14">
        <f t="shared" si="0"/>
        <v>0</v>
      </c>
      <c r="L42" s="16">
        <f t="shared" si="1"/>
        <v>0</v>
      </c>
      <c r="M42" s="22"/>
      <c r="N42" s="44"/>
      <c r="O42" s="23" t="s">
        <v>16</v>
      </c>
      <c r="P42" s="24"/>
      <c r="Q42" s="25"/>
    </row>
    <row r="43" spans="1:17">
      <c r="A43" s="14">
        <v>39</v>
      </c>
      <c r="B43" s="15" t="s">
        <v>77</v>
      </c>
      <c r="C43" s="16">
        <f>'Медикаменты Апрель'!L43</f>
        <v>0</v>
      </c>
      <c r="D43" s="17"/>
      <c r="E43" s="14"/>
      <c r="F43" s="18"/>
      <c r="G43" s="19"/>
      <c r="H43" s="20"/>
      <c r="I43" s="21"/>
      <c r="J43" s="14"/>
      <c r="K43" s="14">
        <f t="shared" si="0"/>
        <v>0</v>
      </c>
      <c r="L43" s="16">
        <f t="shared" si="1"/>
        <v>0</v>
      </c>
      <c r="M43" s="22"/>
      <c r="N43" s="44"/>
      <c r="O43" s="23" t="s">
        <v>16</v>
      </c>
      <c r="P43" s="24"/>
      <c r="Q43" s="25"/>
    </row>
    <row r="44" spans="1:17">
      <c r="A44" s="14">
        <v>40</v>
      </c>
      <c r="B44" s="15" t="s">
        <v>78</v>
      </c>
      <c r="C44" s="16">
        <f>'Медикаменты Апрель'!L44</f>
        <v>0</v>
      </c>
      <c r="D44" s="17"/>
      <c r="E44" s="14"/>
      <c r="F44" s="18"/>
      <c r="G44" s="19"/>
      <c r="H44" s="20"/>
      <c r="I44" s="21"/>
      <c r="J44" s="14"/>
      <c r="K44" s="14">
        <f t="shared" si="0"/>
        <v>0</v>
      </c>
      <c r="L44" s="16">
        <f t="shared" si="1"/>
        <v>0</v>
      </c>
      <c r="M44" s="22">
        <v>44136</v>
      </c>
      <c r="N44" s="44"/>
      <c r="O44" s="23" t="s">
        <v>16</v>
      </c>
      <c r="P44" s="24"/>
      <c r="Q44" s="23" t="s">
        <v>79</v>
      </c>
    </row>
    <row r="45" spans="1:17">
      <c r="A45" s="14">
        <v>41</v>
      </c>
      <c r="B45" s="15" t="s">
        <v>80</v>
      </c>
      <c r="C45" s="16">
        <f>'Медикаменты Апрель'!L45</f>
        <v>0</v>
      </c>
      <c r="D45" s="17"/>
      <c r="E45" s="14"/>
      <c r="F45" s="18"/>
      <c r="G45" s="19"/>
      <c r="H45" s="20"/>
      <c r="I45" s="21"/>
      <c r="J45" s="14"/>
      <c r="K45" s="14">
        <f t="shared" si="0"/>
        <v>0</v>
      </c>
      <c r="L45" s="16">
        <f t="shared" si="1"/>
        <v>0</v>
      </c>
      <c r="M45" s="22">
        <v>44317</v>
      </c>
      <c r="N45" s="44"/>
      <c r="O45" s="23" t="s">
        <v>16</v>
      </c>
      <c r="P45" s="24" t="s">
        <v>17</v>
      </c>
      <c r="Q45" s="23" t="s">
        <v>81</v>
      </c>
    </row>
    <row r="46" spans="1:17">
      <c r="A46" s="14">
        <v>42</v>
      </c>
      <c r="B46" s="15" t="s">
        <v>82</v>
      </c>
      <c r="C46" s="16">
        <f>'Медикаменты Апрель'!L46</f>
        <v>0</v>
      </c>
      <c r="D46" s="17"/>
      <c r="E46" s="14"/>
      <c r="F46" s="18"/>
      <c r="G46" s="19"/>
      <c r="H46" s="20"/>
      <c r="I46" s="21"/>
      <c r="J46" s="14"/>
      <c r="K46" s="14">
        <f t="shared" si="0"/>
        <v>0</v>
      </c>
      <c r="L46" s="16">
        <f t="shared" si="1"/>
        <v>0</v>
      </c>
      <c r="M46" s="22"/>
      <c r="N46" s="44"/>
      <c r="O46" s="23" t="s">
        <v>16</v>
      </c>
      <c r="P46" s="24"/>
      <c r="Q46" s="25"/>
    </row>
    <row r="47" spans="1:17">
      <c r="A47" s="14">
        <v>43</v>
      </c>
      <c r="B47" s="15" t="s">
        <v>83</v>
      </c>
      <c r="C47" s="16">
        <f>'Медикаменты Апрель'!L47</f>
        <v>0</v>
      </c>
      <c r="D47" s="17"/>
      <c r="E47" s="14"/>
      <c r="F47" s="18"/>
      <c r="G47" s="19"/>
      <c r="H47" s="20"/>
      <c r="I47" s="21"/>
      <c r="J47" s="14"/>
      <c r="K47" s="14">
        <f t="shared" si="0"/>
        <v>0</v>
      </c>
      <c r="L47" s="16">
        <f t="shared" si="1"/>
        <v>0</v>
      </c>
      <c r="M47" s="22">
        <v>44317</v>
      </c>
      <c r="N47" s="44" t="s">
        <v>45</v>
      </c>
      <c r="O47" s="23" t="s">
        <v>16</v>
      </c>
      <c r="P47" s="24" t="s">
        <v>17</v>
      </c>
      <c r="Q47" s="23" t="s">
        <v>84</v>
      </c>
    </row>
    <row r="48" spans="1:17">
      <c r="A48" s="14">
        <v>44</v>
      </c>
      <c r="B48" s="15" t="s">
        <v>85</v>
      </c>
      <c r="C48" s="16">
        <f>'Медикаменты Апрель'!L48</f>
        <v>69</v>
      </c>
      <c r="D48" s="17"/>
      <c r="E48" s="14"/>
      <c r="F48" s="18">
        <f>20</f>
        <v>20</v>
      </c>
      <c r="G48" s="19"/>
      <c r="H48" s="20"/>
      <c r="I48" s="21"/>
      <c r="J48" s="14"/>
      <c r="K48" s="14">
        <f t="shared" si="0"/>
        <v>20</v>
      </c>
      <c r="L48" s="16">
        <f t="shared" si="1"/>
        <v>49</v>
      </c>
      <c r="M48" s="22">
        <v>44409</v>
      </c>
      <c r="N48" s="44" t="s">
        <v>45</v>
      </c>
      <c r="O48" s="23" t="s">
        <v>16</v>
      </c>
      <c r="P48" s="24" t="s">
        <v>17</v>
      </c>
      <c r="Q48" s="23" t="s">
        <v>86</v>
      </c>
    </row>
    <row r="49" spans="1:17">
      <c r="A49" s="14">
        <v>45</v>
      </c>
      <c r="B49" s="15" t="s">
        <v>87</v>
      </c>
      <c r="C49" s="16">
        <f>'Медикаменты Апрель'!L49</f>
        <v>0</v>
      </c>
      <c r="D49" s="17"/>
      <c r="E49" s="14"/>
      <c r="F49" s="18"/>
      <c r="G49" s="19"/>
      <c r="H49" s="20"/>
      <c r="I49" s="21"/>
      <c r="J49" s="14"/>
      <c r="K49" s="14">
        <f t="shared" si="0"/>
        <v>0</v>
      </c>
      <c r="L49" s="16">
        <f t="shared" si="1"/>
        <v>0</v>
      </c>
      <c r="M49" s="22">
        <v>44136</v>
      </c>
      <c r="N49" s="44"/>
      <c r="O49" s="23" t="s">
        <v>16</v>
      </c>
      <c r="P49" s="24"/>
      <c r="Q49" s="23" t="s">
        <v>88</v>
      </c>
    </row>
    <row r="50" spans="1:17">
      <c r="A50" s="14">
        <v>46</v>
      </c>
      <c r="B50" s="15" t="s">
        <v>89</v>
      </c>
      <c r="C50" s="16">
        <f>'Медикаменты Апрель'!L50</f>
        <v>0</v>
      </c>
      <c r="D50" s="17"/>
      <c r="E50" s="14"/>
      <c r="F50" s="18"/>
      <c r="G50" s="19"/>
      <c r="H50" s="20"/>
      <c r="I50" s="21"/>
      <c r="J50" s="14"/>
      <c r="K50" s="14">
        <f t="shared" si="0"/>
        <v>0</v>
      </c>
      <c r="L50" s="16">
        <f t="shared" si="1"/>
        <v>0</v>
      </c>
      <c r="M50" s="22">
        <v>44256</v>
      </c>
      <c r="N50" s="44"/>
      <c r="O50" s="23" t="s">
        <v>16</v>
      </c>
      <c r="P50" s="24" t="s">
        <v>17</v>
      </c>
      <c r="Q50" s="23" t="s">
        <v>90</v>
      </c>
    </row>
    <row r="51" spans="1:17">
      <c r="A51" s="14">
        <v>47</v>
      </c>
      <c r="B51" s="15" t="s">
        <v>91</v>
      </c>
      <c r="C51" s="16">
        <f>'Медикаменты Апрель'!L51</f>
        <v>39</v>
      </c>
      <c r="D51" s="17"/>
      <c r="E51" s="14"/>
      <c r="F51" s="18">
        <f>39</f>
        <v>39</v>
      </c>
      <c r="G51" s="19"/>
      <c r="H51" s="20"/>
      <c r="I51" s="21"/>
      <c r="J51" s="14"/>
      <c r="K51" s="14">
        <f t="shared" si="0"/>
        <v>39</v>
      </c>
      <c r="L51" s="16">
        <f t="shared" si="1"/>
        <v>0</v>
      </c>
      <c r="M51" s="22">
        <v>44317</v>
      </c>
      <c r="N51" s="44" t="s">
        <v>45</v>
      </c>
      <c r="O51" s="23" t="s">
        <v>16</v>
      </c>
      <c r="P51" s="24" t="s">
        <v>17</v>
      </c>
      <c r="Q51" s="23" t="s">
        <v>92</v>
      </c>
    </row>
    <row r="52" spans="1:17">
      <c r="A52" s="14">
        <v>48</v>
      </c>
      <c r="B52" s="15" t="s">
        <v>93</v>
      </c>
      <c r="C52" s="16">
        <f>'Медикаменты Апрель'!L52</f>
        <v>0</v>
      </c>
      <c r="D52" s="17"/>
      <c r="E52" s="14"/>
      <c r="F52" s="18"/>
      <c r="G52" s="19"/>
      <c r="H52" s="20"/>
      <c r="I52" s="21"/>
      <c r="J52" s="14"/>
      <c r="K52" s="14">
        <f t="shared" si="0"/>
        <v>0</v>
      </c>
      <c r="L52" s="16">
        <f t="shared" si="1"/>
        <v>0</v>
      </c>
      <c r="M52" s="22">
        <v>44013</v>
      </c>
      <c r="N52" s="44"/>
      <c r="O52" s="23" t="s">
        <v>16</v>
      </c>
      <c r="P52" s="24"/>
      <c r="Q52" s="23" t="s">
        <v>94</v>
      </c>
    </row>
    <row r="53" spans="1:17">
      <c r="A53" s="14">
        <v>49</v>
      </c>
      <c r="B53" s="15" t="s">
        <v>95</v>
      </c>
      <c r="C53" s="16">
        <f>'Медикаменты Апрель'!L53</f>
        <v>34</v>
      </c>
      <c r="D53" s="17"/>
      <c r="E53" s="14"/>
      <c r="F53" s="18">
        <f>5</f>
        <v>5</v>
      </c>
      <c r="G53" s="19"/>
      <c r="H53" s="20"/>
      <c r="I53" s="21"/>
      <c r="J53" s="14"/>
      <c r="K53" s="14">
        <f t="shared" si="0"/>
        <v>5</v>
      </c>
      <c r="L53" s="16">
        <f t="shared" si="1"/>
        <v>29</v>
      </c>
      <c r="M53" s="22">
        <v>44986</v>
      </c>
      <c r="N53" s="44" t="s">
        <v>45</v>
      </c>
      <c r="O53" s="23" t="s">
        <v>16</v>
      </c>
      <c r="P53" s="24" t="s">
        <v>45</v>
      </c>
      <c r="Q53" s="23" t="s">
        <v>96</v>
      </c>
    </row>
    <row r="54" spans="1:17">
      <c r="A54" s="14">
        <v>50</v>
      </c>
      <c r="B54" s="15" t="s">
        <v>97</v>
      </c>
      <c r="C54" s="16">
        <f>'Медикаменты Апрель'!L54</f>
        <v>0</v>
      </c>
      <c r="D54" s="17"/>
      <c r="E54" s="14"/>
      <c r="F54" s="18"/>
      <c r="G54" s="19"/>
      <c r="H54" s="20"/>
      <c r="I54" s="21"/>
      <c r="J54" s="14"/>
      <c r="K54" s="14">
        <f t="shared" si="0"/>
        <v>0</v>
      </c>
      <c r="L54" s="16">
        <f t="shared" si="1"/>
        <v>0</v>
      </c>
      <c r="M54" s="22">
        <v>44866</v>
      </c>
      <c r="N54" s="44"/>
      <c r="O54" s="23" t="s">
        <v>16</v>
      </c>
      <c r="P54" s="24"/>
      <c r="Q54" s="23" t="s">
        <v>98</v>
      </c>
    </row>
    <row r="55" spans="1:17">
      <c r="A55" s="14">
        <v>51</v>
      </c>
      <c r="B55" s="15" t="s">
        <v>99</v>
      </c>
      <c r="C55" s="16">
        <f>'Медикаменты Апрель'!L55</f>
        <v>0</v>
      </c>
      <c r="D55" s="17"/>
      <c r="E55" s="14"/>
      <c r="F55" s="18"/>
      <c r="G55" s="19"/>
      <c r="H55" s="20"/>
      <c r="I55" s="21"/>
      <c r="J55" s="14"/>
      <c r="K55" s="14">
        <f t="shared" si="0"/>
        <v>0</v>
      </c>
      <c r="L55" s="16">
        <f t="shared" si="1"/>
        <v>0</v>
      </c>
      <c r="M55" s="22"/>
      <c r="N55" s="44"/>
      <c r="O55" s="23" t="s">
        <v>16</v>
      </c>
      <c r="P55" s="24"/>
      <c r="Q55" s="25"/>
    </row>
    <row r="56" spans="1:17">
      <c r="A56" s="14">
        <v>52</v>
      </c>
      <c r="B56" s="15" t="s">
        <v>100</v>
      </c>
      <c r="C56" s="16">
        <f>'Медикаменты Апрель'!L56</f>
        <v>0</v>
      </c>
      <c r="D56" s="17"/>
      <c r="E56" s="14"/>
      <c r="F56" s="18"/>
      <c r="G56" s="19"/>
      <c r="H56" s="20"/>
      <c r="I56" s="21"/>
      <c r="J56" s="14"/>
      <c r="K56" s="14">
        <f t="shared" si="0"/>
        <v>0</v>
      </c>
      <c r="L56" s="16">
        <f t="shared" si="1"/>
        <v>0</v>
      </c>
      <c r="M56" s="22"/>
      <c r="N56" s="44"/>
      <c r="O56" s="23" t="s">
        <v>26</v>
      </c>
      <c r="P56" s="24" t="s">
        <v>17</v>
      </c>
      <c r="Q56" s="23" t="s">
        <v>101</v>
      </c>
    </row>
    <row r="57" spans="1:17">
      <c r="A57" s="14">
        <v>53</v>
      </c>
      <c r="B57" s="15" t="s">
        <v>102</v>
      </c>
      <c r="C57" s="16">
        <f>'Медикаменты Апрель'!L57</f>
        <v>32</v>
      </c>
      <c r="D57" s="17"/>
      <c r="E57" s="14"/>
      <c r="F57" s="18">
        <f>5</f>
        <v>5</v>
      </c>
      <c r="G57" s="19"/>
      <c r="H57" s="20"/>
      <c r="I57" s="21"/>
      <c r="J57" s="14"/>
      <c r="K57" s="14">
        <f t="shared" si="0"/>
        <v>5</v>
      </c>
      <c r="L57" s="16">
        <f t="shared" si="1"/>
        <v>27</v>
      </c>
      <c r="M57" s="22">
        <v>44866</v>
      </c>
      <c r="N57" s="44" t="s">
        <v>45</v>
      </c>
      <c r="O57" s="23" t="s">
        <v>16</v>
      </c>
      <c r="P57" s="24" t="s">
        <v>45</v>
      </c>
      <c r="Q57" s="23" t="s">
        <v>103</v>
      </c>
    </row>
    <row r="58" spans="1:17">
      <c r="A58" s="14">
        <v>54</v>
      </c>
      <c r="B58" s="15" t="s">
        <v>102</v>
      </c>
      <c r="C58" s="16">
        <f>'Медикаменты Апрель'!L58</f>
        <v>0</v>
      </c>
      <c r="D58" s="17"/>
      <c r="E58" s="14"/>
      <c r="F58" s="18"/>
      <c r="G58" s="19"/>
      <c r="H58" s="20"/>
      <c r="I58" s="21"/>
      <c r="J58" s="14"/>
      <c r="K58" s="14">
        <f t="shared" si="0"/>
        <v>0</v>
      </c>
      <c r="L58" s="16">
        <f t="shared" si="1"/>
        <v>0</v>
      </c>
      <c r="M58" s="22">
        <v>44866</v>
      </c>
      <c r="N58" s="44"/>
      <c r="O58" s="23" t="s">
        <v>26</v>
      </c>
      <c r="P58" s="24"/>
      <c r="Q58" s="23" t="s">
        <v>103</v>
      </c>
    </row>
    <row r="59" spans="1:17">
      <c r="A59" s="14">
        <v>55</v>
      </c>
      <c r="B59" s="15" t="s">
        <v>104</v>
      </c>
      <c r="C59" s="16">
        <f>'Медикаменты Апрель'!L59</f>
        <v>0</v>
      </c>
      <c r="D59" s="17"/>
      <c r="E59" s="14"/>
      <c r="F59" s="18"/>
      <c r="G59" s="19"/>
      <c r="H59" s="20"/>
      <c r="I59" s="21"/>
      <c r="J59" s="14"/>
      <c r="K59" s="14">
        <f t="shared" si="0"/>
        <v>0</v>
      </c>
      <c r="L59" s="16">
        <f t="shared" si="1"/>
        <v>0</v>
      </c>
      <c r="M59" s="22"/>
      <c r="N59" s="44"/>
      <c r="O59" s="23" t="s">
        <v>16</v>
      </c>
      <c r="P59" s="24"/>
      <c r="Q59" s="25"/>
    </row>
    <row r="60" spans="1:17">
      <c r="A60" s="14">
        <v>56</v>
      </c>
      <c r="B60" s="15" t="s">
        <v>104</v>
      </c>
      <c r="C60" s="16">
        <f>'Медикаменты Апрель'!L60</f>
        <v>0</v>
      </c>
      <c r="D60" s="17"/>
      <c r="E60" s="14"/>
      <c r="F60" s="18"/>
      <c r="G60" s="19"/>
      <c r="H60" s="20"/>
      <c r="I60" s="21"/>
      <c r="J60" s="14"/>
      <c r="K60" s="14">
        <f t="shared" si="0"/>
        <v>0</v>
      </c>
      <c r="L60" s="16">
        <f t="shared" si="1"/>
        <v>0</v>
      </c>
      <c r="M60" s="22"/>
      <c r="N60" s="44"/>
      <c r="O60" s="23" t="s">
        <v>26</v>
      </c>
      <c r="P60" s="24"/>
      <c r="Q60" s="25"/>
    </row>
    <row r="61" spans="1:17">
      <c r="A61" s="14">
        <v>57</v>
      </c>
      <c r="B61" s="15" t="s">
        <v>105</v>
      </c>
      <c r="C61" s="16">
        <f>'Медикаменты Апрель'!L61</f>
        <v>0</v>
      </c>
      <c r="D61" s="17"/>
      <c r="E61" s="14"/>
      <c r="F61" s="18"/>
      <c r="G61" s="19"/>
      <c r="H61" s="20"/>
      <c r="I61" s="21"/>
      <c r="J61" s="14"/>
      <c r="K61" s="14">
        <f t="shared" si="0"/>
        <v>0</v>
      </c>
      <c r="L61" s="16">
        <f t="shared" si="1"/>
        <v>0</v>
      </c>
      <c r="M61" s="22"/>
      <c r="N61" s="44"/>
      <c r="O61" s="23" t="s">
        <v>16</v>
      </c>
      <c r="P61" s="24"/>
      <c r="Q61" s="23" t="s">
        <v>106</v>
      </c>
    </row>
    <row r="62" spans="1:17">
      <c r="A62" s="14">
        <v>58</v>
      </c>
      <c r="B62" s="15" t="s">
        <v>105</v>
      </c>
      <c r="C62" s="16">
        <f>'Медикаменты Апрель'!L62</f>
        <v>20</v>
      </c>
      <c r="D62" s="17"/>
      <c r="E62" s="14"/>
      <c r="F62" s="18">
        <f>5+5</f>
        <v>10</v>
      </c>
      <c r="G62" s="19"/>
      <c r="H62" s="20"/>
      <c r="I62" s="21"/>
      <c r="J62" s="14"/>
      <c r="K62" s="14">
        <f t="shared" si="0"/>
        <v>10</v>
      </c>
      <c r="L62" s="16">
        <f t="shared" si="1"/>
        <v>10</v>
      </c>
      <c r="M62" s="22">
        <v>44531</v>
      </c>
      <c r="N62" s="44" t="s">
        <v>45</v>
      </c>
      <c r="O62" s="23" t="s">
        <v>16</v>
      </c>
      <c r="P62" s="24" t="s">
        <v>17</v>
      </c>
      <c r="Q62" s="23" t="s">
        <v>106</v>
      </c>
    </row>
    <row r="63" spans="1:17">
      <c r="A63" s="14">
        <v>59</v>
      </c>
      <c r="B63" s="15" t="s">
        <v>107</v>
      </c>
      <c r="C63" s="16">
        <f>'Медикаменты Апрель'!L63</f>
        <v>0</v>
      </c>
      <c r="D63" s="17"/>
      <c r="E63" s="14"/>
      <c r="F63" s="18"/>
      <c r="G63" s="19"/>
      <c r="H63" s="20"/>
      <c r="I63" s="21"/>
      <c r="J63" s="14"/>
      <c r="K63" s="14">
        <f t="shared" si="0"/>
        <v>0</v>
      </c>
      <c r="L63" s="16">
        <f t="shared" si="1"/>
        <v>0</v>
      </c>
      <c r="M63" s="22">
        <v>44501</v>
      </c>
      <c r="N63" s="44" t="s">
        <v>45</v>
      </c>
      <c r="O63" s="23" t="s">
        <v>16</v>
      </c>
      <c r="P63" s="24" t="s">
        <v>17</v>
      </c>
      <c r="Q63" s="23" t="s">
        <v>108</v>
      </c>
    </row>
    <row r="64" spans="1:17">
      <c r="A64" s="14">
        <v>60</v>
      </c>
      <c r="B64" s="15" t="s">
        <v>109</v>
      </c>
      <c r="C64" s="16">
        <f>'Медикаменты Апрель'!L64</f>
        <v>0</v>
      </c>
      <c r="D64" s="17"/>
      <c r="E64" s="14"/>
      <c r="F64" s="18"/>
      <c r="G64" s="19"/>
      <c r="H64" s="20"/>
      <c r="I64" s="21"/>
      <c r="J64" s="14"/>
      <c r="K64" s="14">
        <f t="shared" si="0"/>
        <v>0</v>
      </c>
      <c r="L64" s="16">
        <f t="shared" si="1"/>
        <v>0</v>
      </c>
      <c r="M64" s="22"/>
      <c r="N64" s="44"/>
      <c r="O64" s="23" t="s">
        <v>16</v>
      </c>
      <c r="P64" s="24"/>
      <c r="Q64" s="25"/>
    </row>
    <row r="65" spans="1:17">
      <c r="A65" s="14">
        <v>61</v>
      </c>
      <c r="B65" s="15" t="s">
        <v>110</v>
      </c>
      <c r="C65" s="16">
        <f>'Медикаменты Апрель'!L65</f>
        <v>0</v>
      </c>
      <c r="D65" s="17"/>
      <c r="E65" s="14"/>
      <c r="F65" s="18"/>
      <c r="G65" s="19"/>
      <c r="H65" s="20"/>
      <c r="I65" s="21"/>
      <c r="J65" s="14"/>
      <c r="K65" s="14">
        <f t="shared" si="0"/>
        <v>0</v>
      </c>
      <c r="L65" s="16">
        <f t="shared" si="1"/>
        <v>0</v>
      </c>
      <c r="M65" s="22">
        <v>44682</v>
      </c>
      <c r="N65" s="44"/>
      <c r="O65" s="23" t="s">
        <v>16</v>
      </c>
      <c r="P65" s="24"/>
      <c r="Q65" s="25"/>
    </row>
    <row r="66" spans="1:17">
      <c r="A66" s="14">
        <v>62</v>
      </c>
      <c r="B66" s="15" t="s">
        <v>111</v>
      </c>
      <c r="C66" s="16">
        <f>'Медикаменты Апрель'!L66</f>
        <v>140</v>
      </c>
      <c r="D66" s="17"/>
      <c r="E66" s="14"/>
      <c r="F66" s="18">
        <f>5+5</f>
        <v>10</v>
      </c>
      <c r="G66" s="19"/>
      <c r="H66" s="20">
        <f>10+10</f>
        <v>20</v>
      </c>
      <c r="I66" s="21"/>
      <c r="J66" s="14"/>
      <c r="K66" s="14">
        <f t="shared" si="0"/>
        <v>30</v>
      </c>
      <c r="L66" s="16">
        <f t="shared" si="1"/>
        <v>110</v>
      </c>
      <c r="M66" s="22">
        <v>44958</v>
      </c>
      <c r="N66" s="44" t="s">
        <v>45</v>
      </c>
      <c r="O66" s="23" t="s">
        <v>16</v>
      </c>
      <c r="P66" s="24" t="s">
        <v>17</v>
      </c>
      <c r="Q66" s="23" t="s">
        <v>112</v>
      </c>
    </row>
    <row r="67" spans="1:17">
      <c r="A67" s="14">
        <v>63</v>
      </c>
      <c r="B67" s="15" t="s">
        <v>111</v>
      </c>
      <c r="C67" s="16">
        <f>'Медикаменты Апрель'!L67</f>
        <v>0</v>
      </c>
      <c r="D67" s="17"/>
      <c r="E67" s="14"/>
      <c r="F67" s="18"/>
      <c r="G67" s="19"/>
      <c r="H67" s="20"/>
      <c r="I67" s="21"/>
      <c r="J67" s="14"/>
      <c r="K67" s="14">
        <f t="shared" si="0"/>
        <v>0</v>
      </c>
      <c r="L67" s="16">
        <f t="shared" si="1"/>
        <v>0</v>
      </c>
      <c r="M67" s="22">
        <v>44958</v>
      </c>
      <c r="N67" s="44"/>
      <c r="O67" s="23" t="s">
        <v>26</v>
      </c>
      <c r="P67" s="24"/>
      <c r="Q67" s="25"/>
    </row>
    <row r="68" spans="1:17">
      <c r="A68" s="14">
        <v>64</v>
      </c>
      <c r="B68" s="15" t="s">
        <v>113</v>
      </c>
      <c r="C68" s="16">
        <f>'Медикаменты Апрель'!L68</f>
        <v>85</v>
      </c>
      <c r="D68" s="17"/>
      <c r="E68" s="14"/>
      <c r="F68" s="18"/>
      <c r="G68" s="19"/>
      <c r="H68" s="20"/>
      <c r="I68" s="21"/>
      <c r="J68" s="14"/>
      <c r="K68" s="14">
        <f t="shared" si="0"/>
        <v>0</v>
      </c>
      <c r="L68" s="16">
        <f t="shared" si="1"/>
        <v>85</v>
      </c>
      <c r="M68" s="22">
        <v>44986</v>
      </c>
      <c r="N68" s="44" t="s">
        <v>45</v>
      </c>
      <c r="O68" s="23" t="s">
        <v>16</v>
      </c>
      <c r="P68" s="24" t="s">
        <v>17</v>
      </c>
      <c r="Q68" s="23" t="s">
        <v>114</v>
      </c>
    </row>
    <row r="69" spans="1:17">
      <c r="A69" s="14">
        <v>65</v>
      </c>
      <c r="B69" s="15" t="s">
        <v>113</v>
      </c>
      <c r="C69" s="16">
        <f>'Медикаменты Апрель'!L69</f>
        <v>0</v>
      </c>
      <c r="D69" s="17"/>
      <c r="E69" s="14"/>
      <c r="F69" s="18"/>
      <c r="G69" s="19"/>
      <c r="H69" s="20"/>
      <c r="I69" s="21"/>
      <c r="J69" s="14"/>
      <c r="K69" s="14">
        <f t="shared" ref="K69:K132" si="2">SUM(F69:J69)</f>
        <v>0</v>
      </c>
      <c r="L69" s="16">
        <f t="shared" ref="L69:L132" si="3">(C69+E69)-K69</f>
        <v>0</v>
      </c>
      <c r="M69" s="22">
        <v>44986</v>
      </c>
      <c r="N69" s="44"/>
      <c r="O69" s="23" t="s">
        <v>26</v>
      </c>
      <c r="P69" s="24"/>
      <c r="Q69" s="23" t="s">
        <v>114</v>
      </c>
    </row>
    <row r="70" spans="1:17" ht="26.25">
      <c r="A70" s="14">
        <v>66</v>
      </c>
      <c r="B70" s="15" t="s">
        <v>115</v>
      </c>
      <c r="C70" s="16">
        <f>'Медикаменты Апрель'!L70</f>
        <v>17</v>
      </c>
      <c r="D70" s="17"/>
      <c r="E70" s="14"/>
      <c r="F70" s="18"/>
      <c r="G70" s="19"/>
      <c r="H70" s="20">
        <f>15</f>
        <v>15</v>
      </c>
      <c r="I70" s="21"/>
      <c r="J70" s="14"/>
      <c r="K70" s="14">
        <f t="shared" si="2"/>
        <v>15</v>
      </c>
      <c r="L70" s="16">
        <f t="shared" si="3"/>
        <v>2</v>
      </c>
      <c r="M70" s="22">
        <v>44835</v>
      </c>
      <c r="N70" s="44" t="s">
        <v>45</v>
      </c>
      <c r="O70" s="23" t="s">
        <v>16</v>
      </c>
      <c r="P70" s="24" t="s">
        <v>17</v>
      </c>
      <c r="Q70" s="28" t="s">
        <v>116</v>
      </c>
    </row>
    <row r="71" spans="1:17">
      <c r="A71" s="14">
        <v>67</v>
      </c>
      <c r="B71" s="15" t="s">
        <v>117</v>
      </c>
      <c r="C71" s="16">
        <f>'Медикаменты Апрель'!L71</f>
        <v>0</v>
      </c>
      <c r="D71" s="17"/>
      <c r="E71" s="14"/>
      <c r="F71" s="18"/>
      <c r="G71" s="19"/>
      <c r="H71" s="20"/>
      <c r="I71" s="21"/>
      <c r="J71" s="14"/>
      <c r="K71" s="14">
        <f t="shared" si="2"/>
        <v>0</v>
      </c>
      <c r="L71" s="16">
        <f t="shared" si="3"/>
        <v>0</v>
      </c>
      <c r="M71" s="22">
        <v>44440</v>
      </c>
      <c r="N71" s="44"/>
      <c r="O71" s="23" t="s">
        <v>16</v>
      </c>
      <c r="P71" s="24"/>
      <c r="Q71" s="28" t="s">
        <v>118</v>
      </c>
    </row>
    <row r="72" spans="1:17">
      <c r="A72" s="14">
        <v>68</v>
      </c>
      <c r="B72" s="15" t="s">
        <v>117</v>
      </c>
      <c r="C72" s="16">
        <f>'Медикаменты Апрель'!L72</f>
        <v>105</v>
      </c>
      <c r="D72" s="17"/>
      <c r="E72" s="14"/>
      <c r="F72" s="18">
        <f>10</f>
        <v>10</v>
      </c>
      <c r="G72" s="19"/>
      <c r="H72" s="20">
        <f>10</f>
        <v>10</v>
      </c>
      <c r="I72" s="21"/>
      <c r="J72" s="14"/>
      <c r="K72" s="14">
        <f t="shared" si="2"/>
        <v>20</v>
      </c>
      <c r="L72" s="16">
        <f t="shared" si="3"/>
        <v>85</v>
      </c>
      <c r="M72" s="22">
        <v>44682</v>
      </c>
      <c r="N72" s="44" t="s">
        <v>45</v>
      </c>
      <c r="O72" s="23" t="s">
        <v>16</v>
      </c>
      <c r="P72" s="24" t="s">
        <v>17</v>
      </c>
      <c r="Q72" s="28" t="s">
        <v>118</v>
      </c>
    </row>
    <row r="73" spans="1:17">
      <c r="A73" s="14">
        <v>69</v>
      </c>
      <c r="B73" s="15" t="s">
        <v>117</v>
      </c>
      <c r="C73" s="16">
        <f>'Медикаменты Апрель'!L73</f>
        <v>0</v>
      </c>
      <c r="D73" s="17"/>
      <c r="E73" s="14"/>
      <c r="F73" s="18"/>
      <c r="G73" s="19"/>
      <c r="H73" s="20"/>
      <c r="I73" s="21"/>
      <c r="J73" s="14"/>
      <c r="K73" s="14">
        <f t="shared" si="2"/>
        <v>0</v>
      </c>
      <c r="L73" s="16">
        <f t="shared" si="3"/>
        <v>0</v>
      </c>
      <c r="M73" s="22">
        <v>44682</v>
      </c>
      <c r="N73" s="44"/>
      <c r="O73" s="23" t="s">
        <v>26</v>
      </c>
      <c r="P73" s="24"/>
      <c r="Q73" s="28" t="s">
        <v>118</v>
      </c>
    </row>
    <row r="74" spans="1:17">
      <c r="A74" s="14">
        <v>70</v>
      </c>
      <c r="B74" s="15" t="s">
        <v>119</v>
      </c>
      <c r="C74" s="16">
        <f>'Медикаменты Апрель'!L74</f>
        <v>0</v>
      </c>
      <c r="D74" s="17"/>
      <c r="E74" s="14"/>
      <c r="F74" s="18"/>
      <c r="G74" s="19"/>
      <c r="H74" s="20"/>
      <c r="I74" s="21"/>
      <c r="J74" s="14"/>
      <c r="K74" s="14">
        <f t="shared" si="2"/>
        <v>0</v>
      </c>
      <c r="L74" s="16">
        <f t="shared" si="3"/>
        <v>0</v>
      </c>
      <c r="M74" s="22"/>
      <c r="N74" s="44"/>
      <c r="O74" s="23" t="s">
        <v>16</v>
      </c>
      <c r="P74" s="24"/>
      <c r="Q74" s="25"/>
    </row>
    <row r="75" spans="1:17">
      <c r="A75" s="14">
        <v>71</v>
      </c>
      <c r="B75" s="15" t="s">
        <v>120</v>
      </c>
      <c r="C75" s="16">
        <f>'Медикаменты Апрель'!L75</f>
        <v>0</v>
      </c>
      <c r="D75" s="17"/>
      <c r="E75" s="14"/>
      <c r="F75" s="18"/>
      <c r="G75" s="19"/>
      <c r="H75" s="20"/>
      <c r="I75" s="21"/>
      <c r="J75" s="14"/>
      <c r="K75" s="14">
        <f t="shared" si="2"/>
        <v>0</v>
      </c>
      <c r="L75" s="16">
        <f t="shared" si="3"/>
        <v>0</v>
      </c>
      <c r="M75" s="22">
        <v>45444</v>
      </c>
      <c r="N75" s="44"/>
      <c r="O75" s="23" t="s">
        <v>26</v>
      </c>
      <c r="P75" s="24"/>
      <c r="Q75" s="28" t="s">
        <v>121</v>
      </c>
    </row>
    <row r="76" spans="1:17">
      <c r="A76" s="14">
        <v>72</v>
      </c>
      <c r="B76" s="29" t="s">
        <v>122</v>
      </c>
      <c r="C76" s="16">
        <f>'Медикаменты Апрель'!L76</f>
        <v>62</v>
      </c>
      <c r="D76" s="17"/>
      <c r="E76" s="14"/>
      <c r="F76" s="18">
        <f>5+5</f>
        <v>10</v>
      </c>
      <c r="G76" s="19"/>
      <c r="H76" s="20"/>
      <c r="I76" s="21"/>
      <c r="J76" s="14"/>
      <c r="K76" s="14">
        <f t="shared" si="2"/>
        <v>10</v>
      </c>
      <c r="L76" s="16">
        <f t="shared" si="3"/>
        <v>52</v>
      </c>
      <c r="M76" s="22">
        <v>44986</v>
      </c>
      <c r="N76" s="44" t="s">
        <v>45</v>
      </c>
      <c r="O76" s="23" t="s">
        <v>16</v>
      </c>
      <c r="P76" s="24" t="s">
        <v>17</v>
      </c>
      <c r="Q76" s="23" t="s">
        <v>123</v>
      </c>
    </row>
    <row r="77" spans="1:17">
      <c r="A77" s="14">
        <v>73</v>
      </c>
      <c r="B77" s="15" t="s">
        <v>124</v>
      </c>
      <c r="C77" s="16">
        <f>'Медикаменты Апрель'!L77</f>
        <v>0</v>
      </c>
      <c r="D77" s="17"/>
      <c r="E77" s="14"/>
      <c r="F77" s="18"/>
      <c r="G77" s="19"/>
      <c r="H77" s="20"/>
      <c r="I77" s="21"/>
      <c r="J77" s="14"/>
      <c r="K77" s="14">
        <f t="shared" si="2"/>
        <v>0</v>
      </c>
      <c r="L77" s="16">
        <f t="shared" si="3"/>
        <v>0</v>
      </c>
      <c r="M77" s="22"/>
      <c r="N77" s="44"/>
      <c r="O77" s="23" t="s">
        <v>16</v>
      </c>
      <c r="P77" s="24"/>
      <c r="Q77" s="25"/>
    </row>
    <row r="78" spans="1:17">
      <c r="A78" s="14">
        <v>74</v>
      </c>
      <c r="B78" s="15" t="s">
        <v>125</v>
      </c>
      <c r="C78" s="16">
        <f>'Медикаменты Апрель'!L78</f>
        <v>5</v>
      </c>
      <c r="D78" s="17"/>
      <c r="E78" s="14"/>
      <c r="F78" s="18"/>
      <c r="G78" s="19"/>
      <c r="H78" s="20"/>
      <c r="I78" s="21"/>
      <c r="J78" s="14"/>
      <c r="K78" s="14">
        <f t="shared" si="2"/>
        <v>0</v>
      </c>
      <c r="L78" s="16">
        <f t="shared" si="3"/>
        <v>5</v>
      </c>
      <c r="M78" s="22">
        <v>44531</v>
      </c>
      <c r="N78" s="44" t="s">
        <v>45</v>
      </c>
      <c r="O78" s="23" t="s">
        <v>16</v>
      </c>
      <c r="P78" s="24" t="s">
        <v>17</v>
      </c>
      <c r="Q78" s="28" t="s">
        <v>126</v>
      </c>
    </row>
    <row r="79" spans="1:17">
      <c r="A79" s="14">
        <v>75</v>
      </c>
      <c r="B79" s="15" t="s">
        <v>127</v>
      </c>
      <c r="C79" s="16">
        <f>'Медикаменты Апрель'!L79</f>
        <v>10</v>
      </c>
      <c r="D79" s="17"/>
      <c r="E79" s="14"/>
      <c r="F79" s="18">
        <f>3</f>
        <v>3</v>
      </c>
      <c r="G79" s="19"/>
      <c r="H79" s="20"/>
      <c r="I79" s="21"/>
      <c r="J79" s="14"/>
      <c r="K79" s="14">
        <f t="shared" si="2"/>
        <v>3</v>
      </c>
      <c r="L79" s="16">
        <f t="shared" si="3"/>
        <v>7</v>
      </c>
      <c r="M79" s="22">
        <v>44501</v>
      </c>
      <c r="N79" s="44" t="s">
        <v>45</v>
      </c>
      <c r="O79" s="23" t="s">
        <v>16</v>
      </c>
      <c r="P79" s="24" t="s">
        <v>45</v>
      </c>
      <c r="Q79" s="23" t="s">
        <v>128</v>
      </c>
    </row>
    <row r="80" spans="1:17" ht="25.5">
      <c r="A80" s="14">
        <v>76</v>
      </c>
      <c r="B80" s="15" t="s">
        <v>129</v>
      </c>
      <c r="C80" s="16">
        <f>'Медикаменты Апрель'!L80</f>
        <v>12</v>
      </c>
      <c r="D80" s="17"/>
      <c r="E80" s="14"/>
      <c r="F80" s="18"/>
      <c r="G80" s="19"/>
      <c r="H80" s="20"/>
      <c r="I80" s="21"/>
      <c r="J80" s="14"/>
      <c r="K80" s="14">
        <f t="shared" si="2"/>
        <v>0</v>
      </c>
      <c r="L80" s="16">
        <f t="shared" si="3"/>
        <v>12</v>
      </c>
      <c r="M80" s="22">
        <v>44713</v>
      </c>
      <c r="N80" s="44" t="s">
        <v>45</v>
      </c>
      <c r="O80" s="23" t="s">
        <v>16</v>
      </c>
      <c r="P80" s="24" t="s">
        <v>17</v>
      </c>
      <c r="Q80" s="28" t="s">
        <v>130</v>
      </c>
    </row>
    <row r="81" spans="1:17" ht="25.5">
      <c r="A81" s="14">
        <v>77</v>
      </c>
      <c r="B81" s="15" t="s">
        <v>129</v>
      </c>
      <c r="C81" s="16">
        <f>'Медикаменты Апрель'!L81</f>
        <v>0</v>
      </c>
      <c r="D81" s="17"/>
      <c r="E81" s="14"/>
      <c r="F81" s="18"/>
      <c r="G81" s="19"/>
      <c r="H81" s="20"/>
      <c r="I81" s="21"/>
      <c r="J81" s="14"/>
      <c r="K81" s="14">
        <f t="shared" si="2"/>
        <v>0</v>
      </c>
      <c r="L81" s="16">
        <f t="shared" si="3"/>
        <v>0</v>
      </c>
      <c r="M81" s="22">
        <v>44713</v>
      </c>
      <c r="N81" s="44"/>
      <c r="O81" s="23" t="s">
        <v>26</v>
      </c>
      <c r="P81" s="24"/>
      <c r="Q81" s="28" t="s">
        <v>130</v>
      </c>
    </row>
    <row r="82" spans="1:17" ht="25.5">
      <c r="A82" s="14">
        <v>78</v>
      </c>
      <c r="B82" s="15" t="s">
        <v>131</v>
      </c>
      <c r="C82" s="16">
        <f>'Медикаменты Апрель'!L82</f>
        <v>0</v>
      </c>
      <c r="D82" s="17"/>
      <c r="E82" s="14"/>
      <c r="F82" s="18"/>
      <c r="G82" s="19"/>
      <c r="H82" s="20"/>
      <c r="I82" s="21"/>
      <c r="J82" s="14"/>
      <c r="K82" s="14">
        <f t="shared" si="2"/>
        <v>0</v>
      </c>
      <c r="L82" s="16">
        <f t="shared" si="3"/>
        <v>0</v>
      </c>
      <c r="M82" s="22"/>
      <c r="N82" s="44"/>
      <c r="O82" s="23" t="s">
        <v>16</v>
      </c>
      <c r="P82" s="24"/>
      <c r="Q82" s="25"/>
    </row>
    <row r="83" spans="1:17">
      <c r="A83" s="14">
        <v>79</v>
      </c>
      <c r="B83" s="15" t="s">
        <v>132</v>
      </c>
      <c r="C83" s="16">
        <f>'Медикаменты Апрель'!L83</f>
        <v>55</v>
      </c>
      <c r="D83" s="17"/>
      <c r="E83" s="14"/>
      <c r="F83" s="18">
        <f>15+13+5</f>
        <v>33</v>
      </c>
      <c r="G83" s="19"/>
      <c r="H83" s="20"/>
      <c r="I83" s="21"/>
      <c r="J83" s="14"/>
      <c r="K83" s="14">
        <f t="shared" si="2"/>
        <v>33</v>
      </c>
      <c r="L83" s="16">
        <f t="shared" si="3"/>
        <v>22</v>
      </c>
      <c r="M83" s="22">
        <v>44713</v>
      </c>
      <c r="N83" s="44" t="s">
        <v>45</v>
      </c>
      <c r="O83" s="23" t="s">
        <v>16</v>
      </c>
      <c r="P83" s="24" t="s">
        <v>17</v>
      </c>
      <c r="Q83" s="23" t="s">
        <v>133</v>
      </c>
    </row>
    <row r="84" spans="1:17">
      <c r="A84" s="14">
        <v>80</v>
      </c>
      <c r="B84" s="15" t="s">
        <v>132</v>
      </c>
      <c r="C84" s="16">
        <f>'Медикаменты Апрель'!L84</f>
        <v>0</v>
      </c>
      <c r="D84" s="17"/>
      <c r="E84" s="14"/>
      <c r="F84" s="18"/>
      <c r="G84" s="19"/>
      <c r="H84" s="20"/>
      <c r="I84" s="21"/>
      <c r="J84" s="14"/>
      <c r="K84" s="14">
        <f t="shared" si="2"/>
        <v>0</v>
      </c>
      <c r="L84" s="16">
        <f t="shared" si="3"/>
        <v>0</v>
      </c>
      <c r="M84" s="22">
        <v>44409</v>
      </c>
      <c r="N84" s="44"/>
      <c r="O84" s="23" t="s">
        <v>16</v>
      </c>
      <c r="P84" s="24" t="s">
        <v>17</v>
      </c>
      <c r="Q84" s="23" t="s">
        <v>133</v>
      </c>
    </row>
    <row r="85" spans="1:17">
      <c r="A85" s="14">
        <v>81</v>
      </c>
      <c r="B85" s="15" t="s">
        <v>134</v>
      </c>
      <c r="C85" s="16">
        <f>'Медикаменты Апрель'!L85</f>
        <v>0</v>
      </c>
      <c r="D85" s="17"/>
      <c r="E85" s="14"/>
      <c r="F85" s="18"/>
      <c r="G85" s="19"/>
      <c r="H85" s="20"/>
      <c r="I85" s="21"/>
      <c r="J85" s="14"/>
      <c r="K85" s="14">
        <f t="shared" si="2"/>
        <v>0</v>
      </c>
      <c r="L85" s="16">
        <f t="shared" si="3"/>
        <v>0</v>
      </c>
      <c r="M85" s="22">
        <v>44228</v>
      </c>
      <c r="N85" s="44"/>
      <c r="O85" s="23" t="s">
        <v>16</v>
      </c>
      <c r="P85" s="24" t="s">
        <v>17</v>
      </c>
      <c r="Q85" s="23" t="s">
        <v>135</v>
      </c>
    </row>
    <row r="86" spans="1:17">
      <c r="A86" s="14">
        <v>82</v>
      </c>
      <c r="B86" s="15" t="s">
        <v>136</v>
      </c>
      <c r="C86" s="16">
        <f>'Медикаменты Апрель'!L86</f>
        <v>49</v>
      </c>
      <c r="D86" s="17"/>
      <c r="E86" s="14"/>
      <c r="F86" s="18">
        <f>10+10</f>
        <v>20</v>
      </c>
      <c r="G86" s="19"/>
      <c r="H86" s="20"/>
      <c r="I86" s="21"/>
      <c r="J86" s="14"/>
      <c r="K86" s="14">
        <f t="shared" si="2"/>
        <v>20</v>
      </c>
      <c r="L86" s="16">
        <f t="shared" si="3"/>
        <v>29</v>
      </c>
      <c r="M86" s="22">
        <v>45778</v>
      </c>
      <c r="N86" s="44" t="s">
        <v>45</v>
      </c>
      <c r="O86" s="23" t="s">
        <v>16</v>
      </c>
      <c r="P86" s="24" t="s">
        <v>17</v>
      </c>
      <c r="Q86" s="28" t="s">
        <v>137</v>
      </c>
    </row>
    <row r="87" spans="1:17">
      <c r="A87" s="14">
        <v>83</v>
      </c>
      <c r="B87" s="15" t="s">
        <v>138</v>
      </c>
      <c r="C87" s="16">
        <f>'Медикаменты Апрель'!L87</f>
        <v>0</v>
      </c>
      <c r="D87" s="30"/>
      <c r="E87" s="14">
        <f>90</f>
        <v>90</v>
      </c>
      <c r="F87" s="18"/>
      <c r="G87" s="19"/>
      <c r="H87" s="20"/>
      <c r="I87" s="21"/>
      <c r="J87" s="14"/>
      <c r="K87" s="14">
        <f t="shared" si="2"/>
        <v>0</v>
      </c>
      <c r="L87" s="16">
        <f t="shared" si="3"/>
        <v>90</v>
      </c>
      <c r="M87" s="22">
        <v>44927</v>
      </c>
      <c r="N87" s="44" t="s">
        <v>551</v>
      </c>
      <c r="O87" s="23" t="s">
        <v>16</v>
      </c>
      <c r="P87" s="24" t="s">
        <v>17</v>
      </c>
      <c r="Q87" s="28" t="s">
        <v>568</v>
      </c>
    </row>
    <row r="88" spans="1:17">
      <c r="A88" s="14">
        <v>84</v>
      </c>
      <c r="B88" s="15" t="s">
        <v>138</v>
      </c>
      <c r="C88" s="16"/>
      <c r="D88" s="30"/>
      <c r="E88" s="14">
        <f>10</f>
        <v>10</v>
      </c>
      <c r="F88" s="18"/>
      <c r="G88" s="19"/>
      <c r="H88" s="20"/>
      <c r="I88" s="21"/>
      <c r="J88" s="14"/>
      <c r="K88" s="14">
        <f t="shared" si="2"/>
        <v>0</v>
      </c>
      <c r="L88" s="16">
        <f t="shared" si="3"/>
        <v>10</v>
      </c>
      <c r="M88" s="22">
        <v>44927</v>
      </c>
      <c r="N88" s="44" t="s">
        <v>551</v>
      </c>
      <c r="O88" s="23" t="s">
        <v>26</v>
      </c>
      <c r="P88" s="24" t="s">
        <v>17</v>
      </c>
      <c r="Q88" s="28" t="s">
        <v>568</v>
      </c>
    </row>
    <row r="89" spans="1:17">
      <c r="A89" s="14">
        <v>85</v>
      </c>
      <c r="B89" s="15" t="s">
        <v>569</v>
      </c>
      <c r="C89" s="16">
        <f>'Медикаменты Апрель'!L88</f>
        <v>0</v>
      </c>
      <c r="D89" s="17"/>
      <c r="E89" s="14">
        <f>3</f>
        <v>3</v>
      </c>
      <c r="F89" s="18"/>
      <c r="G89" s="19"/>
      <c r="H89" s="20"/>
      <c r="I89" s="21"/>
      <c r="J89" s="14"/>
      <c r="K89" s="14">
        <f t="shared" si="2"/>
        <v>0</v>
      </c>
      <c r="L89" s="16">
        <f t="shared" si="3"/>
        <v>3</v>
      </c>
      <c r="M89" s="22">
        <v>45108</v>
      </c>
      <c r="N89" s="44" t="s">
        <v>551</v>
      </c>
      <c r="O89" s="23" t="s">
        <v>16</v>
      </c>
      <c r="P89" s="24" t="s">
        <v>17</v>
      </c>
      <c r="Q89" s="23" t="s">
        <v>570</v>
      </c>
    </row>
    <row r="90" spans="1:17">
      <c r="A90" s="14">
        <v>86</v>
      </c>
      <c r="B90" s="15" t="s">
        <v>569</v>
      </c>
      <c r="C90" s="16"/>
      <c r="D90" s="17"/>
      <c r="E90" s="14">
        <f>12</f>
        <v>12</v>
      </c>
      <c r="F90" s="18"/>
      <c r="G90" s="19"/>
      <c r="H90" s="20"/>
      <c r="I90" s="21"/>
      <c r="J90" s="14"/>
      <c r="K90" s="14">
        <f t="shared" si="2"/>
        <v>0</v>
      </c>
      <c r="L90" s="16">
        <f t="shared" si="3"/>
        <v>12</v>
      </c>
      <c r="M90" s="22">
        <v>45108</v>
      </c>
      <c r="N90" s="44" t="s">
        <v>551</v>
      </c>
      <c r="O90" s="23" t="s">
        <v>26</v>
      </c>
      <c r="P90" s="24" t="s">
        <v>17</v>
      </c>
      <c r="Q90" s="23" t="s">
        <v>570</v>
      </c>
    </row>
    <row r="91" spans="1:17">
      <c r="A91" s="14">
        <v>87</v>
      </c>
      <c r="B91" s="15" t="s">
        <v>140</v>
      </c>
      <c r="C91" s="16">
        <f>'Медикаменты Апрель'!L89</f>
        <v>18</v>
      </c>
      <c r="D91" s="17"/>
      <c r="E91" s="14"/>
      <c r="F91" s="18">
        <f>5+8</f>
        <v>13</v>
      </c>
      <c r="G91" s="19"/>
      <c r="H91" s="20"/>
      <c r="I91" s="21"/>
      <c r="J91" s="14"/>
      <c r="K91" s="14">
        <f t="shared" si="2"/>
        <v>13</v>
      </c>
      <c r="L91" s="16">
        <f t="shared" si="3"/>
        <v>5</v>
      </c>
      <c r="M91" s="22">
        <v>44682</v>
      </c>
      <c r="N91" s="44" t="s">
        <v>45</v>
      </c>
      <c r="O91" s="23" t="s">
        <v>16</v>
      </c>
      <c r="P91" s="24" t="s">
        <v>45</v>
      </c>
      <c r="Q91" s="23" t="s">
        <v>141</v>
      </c>
    </row>
    <row r="92" spans="1:17">
      <c r="A92" s="14">
        <v>88</v>
      </c>
      <c r="B92" s="15" t="s">
        <v>142</v>
      </c>
      <c r="C92" s="16">
        <f>'Медикаменты Апрель'!L90</f>
        <v>0</v>
      </c>
      <c r="D92" s="17"/>
      <c r="E92" s="14"/>
      <c r="F92" s="18"/>
      <c r="G92" s="19"/>
      <c r="H92" s="20"/>
      <c r="I92" s="21"/>
      <c r="J92" s="14"/>
      <c r="K92" s="14">
        <f t="shared" si="2"/>
        <v>0</v>
      </c>
      <c r="L92" s="16">
        <f t="shared" si="3"/>
        <v>0</v>
      </c>
      <c r="M92" s="22">
        <v>45352</v>
      </c>
      <c r="N92" s="44"/>
      <c r="O92" s="23" t="s">
        <v>16</v>
      </c>
      <c r="P92" s="24"/>
      <c r="Q92" s="23" t="s">
        <v>143</v>
      </c>
    </row>
    <row r="93" spans="1:17">
      <c r="A93" s="14">
        <v>89</v>
      </c>
      <c r="B93" s="15" t="s">
        <v>144</v>
      </c>
      <c r="C93" s="16">
        <f>'Медикаменты Апрель'!L91</f>
        <v>0</v>
      </c>
      <c r="D93" s="17"/>
      <c r="E93" s="14"/>
      <c r="F93" s="18"/>
      <c r="G93" s="19"/>
      <c r="H93" s="20"/>
      <c r="I93" s="21"/>
      <c r="J93" s="14"/>
      <c r="K93" s="14">
        <f t="shared" si="2"/>
        <v>0</v>
      </c>
      <c r="L93" s="16">
        <f t="shared" si="3"/>
        <v>0</v>
      </c>
      <c r="M93" s="22">
        <v>44228</v>
      </c>
      <c r="N93" s="44"/>
      <c r="O93" s="23" t="s">
        <v>16</v>
      </c>
      <c r="P93" s="24"/>
      <c r="Q93" s="28" t="s">
        <v>145</v>
      </c>
    </row>
    <row r="94" spans="1:17">
      <c r="A94" s="14">
        <v>90</v>
      </c>
      <c r="B94" s="15" t="s">
        <v>146</v>
      </c>
      <c r="C94" s="16">
        <f>'Медикаменты Апрель'!L92</f>
        <v>0</v>
      </c>
      <c r="D94" s="17"/>
      <c r="E94" s="14"/>
      <c r="F94" s="18"/>
      <c r="G94" s="19"/>
      <c r="H94" s="20"/>
      <c r="I94" s="21"/>
      <c r="J94" s="14"/>
      <c r="K94" s="14">
        <f t="shared" si="2"/>
        <v>0</v>
      </c>
      <c r="L94" s="16">
        <f t="shared" si="3"/>
        <v>0</v>
      </c>
      <c r="M94" s="22">
        <v>45474</v>
      </c>
      <c r="N94" s="44"/>
      <c r="O94" s="23" t="s">
        <v>16</v>
      </c>
      <c r="P94" s="24" t="s">
        <v>45</v>
      </c>
      <c r="Q94" s="23" t="s">
        <v>147</v>
      </c>
    </row>
    <row r="95" spans="1:17">
      <c r="A95" s="14">
        <v>91</v>
      </c>
      <c r="B95" s="15" t="s">
        <v>148</v>
      </c>
      <c r="C95" s="16">
        <f>'Медикаменты Апрель'!L93</f>
        <v>0</v>
      </c>
      <c r="D95" s="17"/>
      <c r="E95" s="14"/>
      <c r="F95" s="18"/>
      <c r="G95" s="19"/>
      <c r="H95" s="20"/>
      <c r="I95" s="21"/>
      <c r="J95" s="14"/>
      <c r="K95" s="14">
        <f t="shared" si="2"/>
        <v>0</v>
      </c>
      <c r="L95" s="16">
        <f t="shared" si="3"/>
        <v>0</v>
      </c>
      <c r="M95" s="22"/>
      <c r="N95" s="44"/>
      <c r="O95" s="23" t="s">
        <v>16</v>
      </c>
      <c r="P95" s="24"/>
      <c r="Q95" s="25"/>
    </row>
    <row r="96" spans="1:17">
      <c r="A96" s="14">
        <v>92</v>
      </c>
      <c r="B96" s="15" t="s">
        <v>149</v>
      </c>
      <c r="C96" s="16">
        <f>'Медикаменты Апрель'!L94</f>
        <v>0</v>
      </c>
      <c r="D96" s="17"/>
      <c r="E96" s="14"/>
      <c r="F96" s="18"/>
      <c r="G96" s="19"/>
      <c r="H96" s="20"/>
      <c r="I96" s="21"/>
      <c r="J96" s="14"/>
      <c r="K96" s="14">
        <f t="shared" si="2"/>
        <v>0</v>
      </c>
      <c r="L96" s="16">
        <f t="shared" si="3"/>
        <v>0</v>
      </c>
      <c r="M96" s="22">
        <v>44348</v>
      </c>
      <c r="N96" s="44"/>
      <c r="O96" s="23" t="s">
        <v>16</v>
      </c>
      <c r="P96" s="24"/>
      <c r="Q96" s="23" t="s">
        <v>150</v>
      </c>
    </row>
    <row r="97" spans="1:17">
      <c r="A97" s="14">
        <v>93</v>
      </c>
      <c r="B97" s="15" t="s">
        <v>151</v>
      </c>
      <c r="C97" s="16">
        <f>'Медикаменты Апрель'!L95</f>
        <v>2</v>
      </c>
      <c r="D97" s="17"/>
      <c r="E97" s="14"/>
      <c r="F97" s="18">
        <f>2</f>
        <v>2</v>
      </c>
      <c r="G97" s="19"/>
      <c r="H97" s="20"/>
      <c r="I97" s="21"/>
      <c r="J97" s="14"/>
      <c r="K97" s="14">
        <f t="shared" si="2"/>
        <v>2</v>
      </c>
      <c r="L97" s="16">
        <f t="shared" si="3"/>
        <v>0</v>
      </c>
      <c r="M97" s="22">
        <v>44743</v>
      </c>
      <c r="N97" s="44" t="s">
        <v>45</v>
      </c>
      <c r="O97" s="23" t="s">
        <v>16</v>
      </c>
      <c r="P97" s="24" t="s">
        <v>45</v>
      </c>
      <c r="Q97" s="28" t="s">
        <v>152</v>
      </c>
    </row>
    <row r="98" spans="1:17">
      <c r="A98" s="14">
        <v>94</v>
      </c>
      <c r="B98" s="15" t="s">
        <v>153</v>
      </c>
      <c r="C98" s="16">
        <f>'Медикаменты Апрель'!L96</f>
        <v>0</v>
      </c>
      <c r="D98" s="17"/>
      <c r="E98" s="14"/>
      <c r="F98" s="18"/>
      <c r="G98" s="19"/>
      <c r="H98" s="20"/>
      <c r="I98" s="21"/>
      <c r="J98" s="14"/>
      <c r="K98" s="14">
        <f t="shared" si="2"/>
        <v>0</v>
      </c>
      <c r="L98" s="16">
        <f t="shared" si="3"/>
        <v>0</v>
      </c>
      <c r="M98" s="22">
        <v>44256</v>
      </c>
      <c r="N98" s="44"/>
      <c r="O98" s="23" t="s">
        <v>16</v>
      </c>
      <c r="P98" s="24"/>
      <c r="Q98" s="23" t="s">
        <v>154</v>
      </c>
    </row>
    <row r="99" spans="1:17">
      <c r="A99" s="14">
        <v>95</v>
      </c>
      <c r="B99" s="15" t="s">
        <v>155</v>
      </c>
      <c r="C99" s="16">
        <f>'Медикаменты Апрель'!L97</f>
        <v>0</v>
      </c>
      <c r="D99" s="17"/>
      <c r="E99" s="14"/>
      <c r="F99" s="18"/>
      <c r="G99" s="19"/>
      <c r="H99" s="20"/>
      <c r="I99" s="21"/>
      <c r="J99" s="14"/>
      <c r="K99" s="14">
        <f t="shared" si="2"/>
        <v>0</v>
      </c>
      <c r="L99" s="16">
        <f t="shared" si="3"/>
        <v>0</v>
      </c>
      <c r="M99" s="22"/>
      <c r="N99" s="44"/>
      <c r="O99" s="23" t="s">
        <v>16</v>
      </c>
      <c r="P99" s="24"/>
      <c r="Q99" s="25"/>
    </row>
    <row r="100" spans="1:17">
      <c r="A100" s="14">
        <v>96</v>
      </c>
      <c r="B100" s="15" t="s">
        <v>156</v>
      </c>
      <c r="C100" s="16">
        <f>'Медикаменты Апрель'!L98</f>
        <v>0</v>
      </c>
      <c r="D100" s="17"/>
      <c r="E100" s="14"/>
      <c r="F100" s="18"/>
      <c r="G100" s="19"/>
      <c r="H100" s="20"/>
      <c r="I100" s="21"/>
      <c r="J100" s="14"/>
      <c r="K100" s="14">
        <f t="shared" si="2"/>
        <v>0</v>
      </c>
      <c r="L100" s="16">
        <f t="shared" si="3"/>
        <v>0</v>
      </c>
      <c r="M100" s="22">
        <v>44197</v>
      </c>
      <c r="N100" s="44"/>
      <c r="O100" s="23" t="s">
        <v>16</v>
      </c>
      <c r="P100" s="24"/>
      <c r="Q100" s="23" t="s">
        <v>157</v>
      </c>
    </row>
    <row r="101" spans="1:17">
      <c r="A101" s="14">
        <v>97</v>
      </c>
      <c r="B101" s="15" t="s">
        <v>158</v>
      </c>
      <c r="C101" s="16">
        <f>'Медикаменты Апрель'!L99</f>
        <v>5</v>
      </c>
      <c r="D101" s="17"/>
      <c r="E101" s="14"/>
      <c r="F101" s="18"/>
      <c r="G101" s="19"/>
      <c r="H101" s="20"/>
      <c r="I101" s="21"/>
      <c r="J101" s="14"/>
      <c r="K101" s="14">
        <f t="shared" si="2"/>
        <v>0</v>
      </c>
      <c r="L101" s="16">
        <f t="shared" si="3"/>
        <v>5</v>
      </c>
      <c r="M101" s="22">
        <v>44774</v>
      </c>
      <c r="N101" s="44" t="s">
        <v>45</v>
      </c>
      <c r="O101" s="23" t="s">
        <v>16</v>
      </c>
      <c r="P101" s="24" t="s">
        <v>17</v>
      </c>
      <c r="Q101" s="23" t="s">
        <v>159</v>
      </c>
    </row>
    <row r="102" spans="1:17">
      <c r="A102" s="14">
        <v>98</v>
      </c>
      <c r="B102" s="15" t="s">
        <v>160</v>
      </c>
      <c r="C102" s="16">
        <f>'Медикаменты Апрель'!L100</f>
        <v>98</v>
      </c>
      <c r="D102" s="17"/>
      <c r="E102" s="14"/>
      <c r="F102" s="18">
        <f>15</f>
        <v>15</v>
      </c>
      <c r="G102" s="19"/>
      <c r="H102" s="20"/>
      <c r="I102" s="21"/>
      <c r="J102" s="14"/>
      <c r="K102" s="14">
        <f t="shared" si="2"/>
        <v>15</v>
      </c>
      <c r="L102" s="16">
        <f t="shared" si="3"/>
        <v>83</v>
      </c>
      <c r="M102" s="22">
        <v>44805</v>
      </c>
      <c r="N102" s="44" t="s">
        <v>45</v>
      </c>
      <c r="O102" s="23" t="s">
        <v>16</v>
      </c>
      <c r="P102" s="24" t="s">
        <v>17</v>
      </c>
      <c r="Q102" s="28" t="s">
        <v>161</v>
      </c>
    </row>
    <row r="103" spans="1:17">
      <c r="A103" s="14">
        <v>99</v>
      </c>
      <c r="B103" s="15" t="s">
        <v>162</v>
      </c>
      <c r="C103" s="16">
        <f>'Медикаменты Апрель'!L101</f>
        <v>95</v>
      </c>
      <c r="D103" s="17"/>
      <c r="E103" s="14"/>
      <c r="F103" s="18"/>
      <c r="G103" s="19"/>
      <c r="H103" s="20"/>
      <c r="I103" s="21"/>
      <c r="J103" s="14">
        <f>1</f>
        <v>1</v>
      </c>
      <c r="K103" s="14">
        <f t="shared" si="2"/>
        <v>1</v>
      </c>
      <c r="L103" s="16">
        <f t="shared" si="3"/>
        <v>94</v>
      </c>
      <c r="M103" s="22">
        <v>44742</v>
      </c>
      <c r="N103" s="44" t="s">
        <v>45</v>
      </c>
      <c r="O103" s="23" t="s">
        <v>16</v>
      </c>
      <c r="P103" s="24" t="s">
        <v>17</v>
      </c>
      <c r="Q103" s="28" t="s">
        <v>163</v>
      </c>
    </row>
    <row r="104" spans="1:17">
      <c r="A104" s="14">
        <v>100</v>
      </c>
      <c r="B104" s="15" t="s">
        <v>164</v>
      </c>
      <c r="C104" s="16">
        <f>'Медикаменты Апрель'!L102</f>
        <v>0</v>
      </c>
      <c r="D104" s="17"/>
      <c r="E104" s="14"/>
      <c r="F104" s="18"/>
      <c r="G104" s="19"/>
      <c r="H104" s="20"/>
      <c r="I104" s="21"/>
      <c r="J104" s="14"/>
      <c r="K104" s="14">
        <f t="shared" si="2"/>
        <v>0</v>
      </c>
      <c r="L104" s="16">
        <f t="shared" si="3"/>
        <v>0</v>
      </c>
      <c r="M104" s="22">
        <v>44927</v>
      </c>
      <c r="N104" s="44"/>
      <c r="O104" s="23" t="s">
        <v>26</v>
      </c>
      <c r="P104" s="24" t="s">
        <v>17</v>
      </c>
      <c r="Q104" s="28" t="s">
        <v>165</v>
      </c>
    </row>
    <row r="105" spans="1:17">
      <c r="A105" s="14">
        <v>101</v>
      </c>
      <c r="B105" s="15" t="s">
        <v>166</v>
      </c>
      <c r="C105" s="16">
        <f>'Медикаменты Апрель'!L103</f>
        <v>0</v>
      </c>
      <c r="D105" s="17"/>
      <c r="E105" s="14"/>
      <c r="F105" s="18"/>
      <c r="G105" s="19"/>
      <c r="H105" s="20"/>
      <c r="I105" s="21"/>
      <c r="J105" s="14"/>
      <c r="K105" s="14">
        <f t="shared" si="2"/>
        <v>0</v>
      </c>
      <c r="L105" s="16">
        <f t="shared" si="3"/>
        <v>0</v>
      </c>
      <c r="M105" s="22">
        <v>44440</v>
      </c>
      <c r="N105" s="44"/>
      <c r="O105" s="23" t="s">
        <v>16</v>
      </c>
      <c r="P105" s="24"/>
      <c r="Q105" s="28" t="s">
        <v>165</v>
      </c>
    </row>
    <row r="106" spans="1:17">
      <c r="A106" s="14">
        <v>102</v>
      </c>
      <c r="B106" s="15" t="s">
        <v>167</v>
      </c>
      <c r="C106" s="16">
        <f>'Медикаменты Апрель'!L104</f>
        <v>0</v>
      </c>
      <c r="D106" s="17"/>
      <c r="E106" s="14"/>
      <c r="F106" s="18"/>
      <c r="G106" s="19"/>
      <c r="H106" s="20"/>
      <c r="I106" s="21"/>
      <c r="J106" s="14"/>
      <c r="K106" s="14">
        <f t="shared" si="2"/>
        <v>0</v>
      </c>
      <c r="L106" s="16">
        <f t="shared" si="3"/>
        <v>0</v>
      </c>
      <c r="M106" s="22">
        <v>44256</v>
      </c>
      <c r="N106" s="44"/>
      <c r="O106" s="23" t="s">
        <v>16</v>
      </c>
      <c r="P106" s="24" t="s">
        <v>17</v>
      </c>
      <c r="Q106" s="23" t="s">
        <v>168</v>
      </c>
    </row>
    <row r="107" spans="1:17">
      <c r="A107" s="14">
        <v>103</v>
      </c>
      <c r="B107" s="15" t="s">
        <v>169</v>
      </c>
      <c r="C107" s="16">
        <f>'Медикаменты Апрель'!L105</f>
        <v>0</v>
      </c>
      <c r="D107" s="17"/>
      <c r="E107" s="14"/>
      <c r="F107" s="18"/>
      <c r="G107" s="19"/>
      <c r="H107" s="20"/>
      <c r="I107" s="21"/>
      <c r="J107" s="14"/>
      <c r="K107" s="14">
        <f t="shared" si="2"/>
        <v>0</v>
      </c>
      <c r="L107" s="16">
        <f t="shared" si="3"/>
        <v>0</v>
      </c>
      <c r="M107" s="22">
        <v>44197</v>
      </c>
      <c r="N107" s="44"/>
      <c r="O107" s="23" t="s">
        <v>16</v>
      </c>
      <c r="P107" s="24"/>
      <c r="Q107" s="23" t="s">
        <v>170</v>
      </c>
    </row>
    <row r="108" spans="1:17">
      <c r="A108" s="14">
        <v>104</v>
      </c>
      <c r="B108" s="15" t="s">
        <v>171</v>
      </c>
      <c r="C108" s="16">
        <f>'Медикаменты Апрель'!L106</f>
        <v>0</v>
      </c>
      <c r="D108" s="17"/>
      <c r="E108" s="14"/>
      <c r="F108" s="18"/>
      <c r="G108" s="19"/>
      <c r="H108" s="20"/>
      <c r="I108" s="21"/>
      <c r="J108" s="14"/>
      <c r="K108" s="14">
        <f t="shared" si="2"/>
        <v>0</v>
      </c>
      <c r="L108" s="16">
        <f t="shared" si="3"/>
        <v>0</v>
      </c>
      <c r="M108" s="22"/>
      <c r="N108" s="44"/>
      <c r="O108" s="23" t="s">
        <v>16</v>
      </c>
      <c r="P108" s="24"/>
      <c r="Q108" s="25"/>
    </row>
    <row r="109" spans="1:17">
      <c r="A109" s="14">
        <v>105</v>
      </c>
      <c r="B109" s="15" t="s">
        <v>172</v>
      </c>
      <c r="C109" s="16">
        <f>'Медикаменты Апрель'!L107</f>
        <v>0</v>
      </c>
      <c r="D109" s="17"/>
      <c r="E109" s="14"/>
      <c r="F109" s="18"/>
      <c r="G109" s="19"/>
      <c r="H109" s="20"/>
      <c r="I109" s="21"/>
      <c r="J109" s="14"/>
      <c r="K109" s="14">
        <f t="shared" si="2"/>
        <v>0</v>
      </c>
      <c r="L109" s="16">
        <f t="shared" si="3"/>
        <v>0</v>
      </c>
      <c r="M109" s="22">
        <v>44287</v>
      </c>
      <c r="N109" s="44"/>
      <c r="O109" s="23" t="s">
        <v>26</v>
      </c>
      <c r="P109" s="24" t="s">
        <v>17</v>
      </c>
      <c r="Q109" s="23" t="s">
        <v>173</v>
      </c>
    </row>
    <row r="110" spans="1:17">
      <c r="A110" s="14">
        <v>106</v>
      </c>
      <c r="B110" s="15" t="s">
        <v>172</v>
      </c>
      <c r="C110" s="16">
        <f>'Медикаменты Апрель'!L108</f>
        <v>62</v>
      </c>
      <c r="D110" s="17"/>
      <c r="E110" s="14"/>
      <c r="F110" s="18"/>
      <c r="G110" s="19"/>
      <c r="H110" s="20"/>
      <c r="I110" s="21"/>
      <c r="J110" s="14"/>
      <c r="K110" s="14">
        <f t="shared" si="2"/>
        <v>0</v>
      </c>
      <c r="L110" s="16">
        <f t="shared" si="3"/>
        <v>62</v>
      </c>
      <c r="M110" s="22">
        <v>44805</v>
      </c>
      <c r="N110" s="44" t="s">
        <v>45</v>
      </c>
      <c r="O110" s="23" t="s">
        <v>26</v>
      </c>
      <c r="P110" s="24" t="s">
        <v>17</v>
      </c>
      <c r="Q110" s="23" t="s">
        <v>173</v>
      </c>
    </row>
    <row r="111" spans="1:17">
      <c r="A111" s="14">
        <v>107</v>
      </c>
      <c r="B111" s="15" t="s">
        <v>174</v>
      </c>
      <c r="C111" s="16">
        <f>'Медикаменты Апрель'!L109</f>
        <v>0</v>
      </c>
      <c r="D111" s="17"/>
      <c r="E111" s="14"/>
      <c r="F111" s="18"/>
      <c r="G111" s="19"/>
      <c r="H111" s="20"/>
      <c r="I111" s="21"/>
      <c r="J111" s="14"/>
      <c r="K111" s="14">
        <f t="shared" si="2"/>
        <v>0</v>
      </c>
      <c r="L111" s="16">
        <f t="shared" si="3"/>
        <v>0</v>
      </c>
      <c r="M111" s="22"/>
      <c r="N111" s="44"/>
      <c r="O111" s="23" t="s">
        <v>16</v>
      </c>
      <c r="P111" s="24"/>
      <c r="Q111" s="23" t="s">
        <v>571</v>
      </c>
    </row>
    <row r="112" spans="1:17">
      <c r="A112" s="14">
        <v>108</v>
      </c>
      <c r="B112" s="15" t="s">
        <v>547</v>
      </c>
      <c r="C112" s="16">
        <f>'Медикаменты Апрель'!L110</f>
        <v>0</v>
      </c>
      <c r="D112" s="17"/>
      <c r="E112" s="14"/>
      <c r="F112" s="18"/>
      <c r="G112" s="19"/>
      <c r="H112" s="20"/>
      <c r="I112" s="21"/>
      <c r="J112" s="14"/>
      <c r="K112" s="14">
        <f t="shared" si="2"/>
        <v>0</v>
      </c>
      <c r="L112" s="16">
        <f t="shared" si="3"/>
        <v>0</v>
      </c>
      <c r="M112" s="22">
        <v>44317</v>
      </c>
      <c r="N112" s="44" t="s">
        <v>45</v>
      </c>
      <c r="O112" s="23" t="s">
        <v>16</v>
      </c>
      <c r="P112" s="24" t="s">
        <v>17</v>
      </c>
      <c r="Q112" s="23" t="s">
        <v>176</v>
      </c>
    </row>
    <row r="113" spans="1:17">
      <c r="A113" s="14">
        <v>109</v>
      </c>
      <c r="B113" s="15" t="s">
        <v>177</v>
      </c>
      <c r="C113" s="16">
        <f>'Медикаменты Апрель'!L111</f>
        <v>0</v>
      </c>
      <c r="D113" s="17"/>
      <c r="E113" s="14"/>
      <c r="F113" s="18"/>
      <c r="G113" s="19"/>
      <c r="H113" s="20"/>
      <c r="I113" s="21"/>
      <c r="J113" s="14"/>
      <c r="K113" s="14">
        <f t="shared" si="2"/>
        <v>0</v>
      </c>
      <c r="L113" s="16">
        <f t="shared" si="3"/>
        <v>0</v>
      </c>
      <c r="M113" s="22"/>
      <c r="N113" s="44"/>
      <c r="O113" s="23" t="s">
        <v>16</v>
      </c>
      <c r="P113" s="24"/>
      <c r="Q113" s="25"/>
    </row>
    <row r="114" spans="1:17">
      <c r="A114" s="14">
        <v>110</v>
      </c>
      <c r="B114" s="15" t="s">
        <v>178</v>
      </c>
      <c r="C114" s="16">
        <f>'Медикаменты Апрель'!L112</f>
        <v>0</v>
      </c>
      <c r="D114" s="17"/>
      <c r="E114" s="14"/>
      <c r="F114" s="18"/>
      <c r="G114" s="19"/>
      <c r="H114" s="20"/>
      <c r="I114" s="21"/>
      <c r="J114" s="14"/>
      <c r="K114" s="14">
        <f t="shared" si="2"/>
        <v>0</v>
      </c>
      <c r="L114" s="16">
        <f t="shared" si="3"/>
        <v>0</v>
      </c>
      <c r="M114" s="22">
        <v>44378</v>
      </c>
      <c r="N114" s="44" t="s">
        <v>45</v>
      </c>
      <c r="O114" s="23" t="s">
        <v>16</v>
      </c>
      <c r="P114" s="24" t="s">
        <v>17</v>
      </c>
      <c r="Q114" s="23" t="s">
        <v>179</v>
      </c>
    </row>
    <row r="115" spans="1:17">
      <c r="A115" s="14">
        <v>111</v>
      </c>
      <c r="B115" s="15" t="s">
        <v>572</v>
      </c>
      <c r="C115" s="16">
        <f>'Медикаменты Апрель'!L113</f>
        <v>49</v>
      </c>
      <c r="D115" s="17"/>
      <c r="E115" s="14"/>
      <c r="F115" s="18">
        <f>10+15</f>
        <v>25</v>
      </c>
      <c r="G115" s="19"/>
      <c r="H115" s="20"/>
      <c r="I115" s="21"/>
      <c r="J115" s="14"/>
      <c r="K115" s="14">
        <f t="shared" si="2"/>
        <v>25</v>
      </c>
      <c r="L115" s="16">
        <f t="shared" si="3"/>
        <v>24</v>
      </c>
      <c r="M115" s="22">
        <v>45200</v>
      </c>
      <c r="N115" s="44" t="s">
        <v>551</v>
      </c>
      <c r="O115" s="23" t="s">
        <v>16</v>
      </c>
      <c r="P115" s="24" t="s">
        <v>17</v>
      </c>
      <c r="Q115" s="23" t="s">
        <v>181</v>
      </c>
    </row>
    <row r="116" spans="1:17">
      <c r="A116" s="14">
        <v>112</v>
      </c>
      <c r="B116" s="15" t="s">
        <v>182</v>
      </c>
      <c r="C116" s="16">
        <f>'Медикаменты Апрель'!L114</f>
        <v>0</v>
      </c>
      <c r="D116" s="17"/>
      <c r="E116" s="14"/>
      <c r="F116" s="18"/>
      <c r="G116" s="19"/>
      <c r="H116" s="20"/>
      <c r="I116" s="21"/>
      <c r="J116" s="14"/>
      <c r="K116" s="14">
        <f t="shared" si="2"/>
        <v>0</v>
      </c>
      <c r="L116" s="16">
        <f t="shared" si="3"/>
        <v>0</v>
      </c>
      <c r="M116" s="22">
        <v>44409</v>
      </c>
      <c r="N116" s="44"/>
      <c r="O116" s="23" t="s">
        <v>16</v>
      </c>
      <c r="P116" s="24"/>
      <c r="Q116" s="23" t="s">
        <v>183</v>
      </c>
    </row>
    <row r="117" spans="1:17">
      <c r="A117" s="14">
        <v>113</v>
      </c>
      <c r="B117" s="15" t="s">
        <v>184</v>
      </c>
      <c r="C117" s="16">
        <f>'Медикаменты Апрель'!L115</f>
        <v>0</v>
      </c>
      <c r="D117" s="17"/>
      <c r="E117" s="14"/>
      <c r="F117" s="18"/>
      <c r="G117" s="19"/>
      <c r="H117" s="20"/>
      <c r="I117" s="21"/>
      <c r="J117" s="14"/>
      <c r="K117" s="14">
        <f t="shared" si="2"/>
        <v>0</v>
      </c>
      <c r="L117" s="16">
        <f t="shared" si="3"/>
        <v>0</v>
      </c>
      <c r="M117" s="22">
        <v>44986</v>
      </c>
      <c r="N117" s="44"/>
      <c r="O117" s="23" t="s">
        <v>16</v>
      </c>
      <c r="P117" s="24" t="s">
        <v>17</v>
      </c>
      <c r="Q117" s="23" t="s">
        <v>185</v>
      </c>
    </row>
    <row r="118" spans="1:17">
      <c r="A118" s="14">
        <v>114</v>
      </c>
      <c r="B118" s="15" t="s">
        <v>186</v>
      </c>
      <c r="C118" s="16">
        <f>'Медикаменты Апрель'!L116</f>
        <v>4</v>
      </c>
      <c r="D118" s="17"/>
      <c r="E118" s="14"/>
      <c r="F118" s="18">
        <f>4</f>
        <v>4</v>
      </c>
      <c r="G118" s="19"/>
      <c r="H118" s="20"/>
      <c r="I118" s="21"/>
      <c r="J118" s="14"/>
      <c r="K118" s="14">
        <f t="shared" si="2"/>
        <v>4</v>
      </c>
      <c r="L118" s="16">
        <f t="shared" si="3"/>
        <v>0</v>
      </c>
      <c r="M118" s="22">
        <v>44743</v>
      </c>
      <c r="N118" s="44" t="s">
        <v>45</v>
      </c>
      <c r="O118" s="23" t="s">
        <v>16</v>
      </c>
      <c r="P118" s="24" t="s">
        <v>17</v>
      </c>
      <c r="Q118" s="23" t="s">
        <v>187</v>
      </c>
    </row>
    <row r="119" spans="1:17">
      <c r="A119" s="14">
        <v>115</v>
      </c>
      <c r="B119" s="15" t="s">
        <v>188</v>
      </c>
      <c r="C119" s="16">
        <f>'Медикаменты Апрель'!L117</f>
        <v>0</v>
      </c>
      <c r="D119" s="17"/>
      <c r="E119" s="14"/>
      <c r="F119" s="18"/>
      <c r="G119" s="19"/>
      <c r="H119" s="20"/>
      <c r="I119" s="21"/>
      <c r="J119" s="14"/>
      <c r="K119" s="14">
        <f t="shared" si="2"/>
        <v>0</v>
      </c>
      <c r="L119" s="16">
        <f t="shared" si="3"/>
        <v>0</v>
      </c>
      <c r="M119" s="22"/>
      <c r="N119" s="44"/>
      <c r="O119" s="23" t="s">
        <v>16</v>
      </c>
      <c r="P119" s="24"/>
      <c r="Q119" s="25"/>
    </row>
    <row r="120" spans="1:17">
      <c r="A120" s="14">
        <v>116</v>
      </c>
      <c r="B120" s="15" t="s">
        <v>189</v>
      </c>
      <c r="C120" s="16">
        <f>'Медикаменты Апрель'!L118</f>
        <v>0</v>
      </c>
      <c r="D120" s="17"/>
      <c r="E120" s="14"/>
      <c r="F120" s="18"/>
      <c r="G120" s="19"/>
      <c r="H120" s="20"/>
      <c r="I120" s="21"/>
      <c r="J120" s="14"/>
      <c r="K120" s="14">
        <f t="shared" si="2"/>
        <v>0</v>
      </c>
      <c r="L120" s="16">
        <f t="shared" si="3"/>
        <v>0</v>
      </c>
      <c r="M120" s="22">
        <v>44348</v>
      </c>
      <c r="N120" s="44"/>
      <c r="O120" s="23" t="s">
        <v>16</v>
      </c>
      <c r="P120" s="24" t="s">
        <v>45</v>
      </c>
      <c r="Q120" s="28" t="s">
        <v>190</v>
      </c>
    </row>
    <row r="121" spans="1:17">
      <c r="A121" s="14">
        <v>117</v>
      </c>
      <c r="B121" s="15" t="s">
        <v>191</v>
      </c>
      <c r="C121" s="16">
        <f>'Медикаменты Апрель'!L119</f>
        <v>0</v>
      </c>
      <c r="D121" s="17"/>
      <c r="E121" s="14"/>
      <c r="F121" s="18"/>
      <c r="G121" s="19"/>
      <c r="H121" s="20"/>
      <c r="I121" s="21"/>
      <c r="J121" s="14"/>
      <c r="K121" s="14">
        <f t="shared" si="2"/>
        <v>0</v>
      </c>
      <c r="L121" s="16">
        <f t="shared" si="3"/>
        <v>0</v>
      </c>
      <c r="M121" s="22"/>
      <c r="N121" s="44"/>
      <c r="O121" s="23" t="s">
        <v>16</v>
      </c>
      <c r="P121" s="24"/>
      <c r="Q121" s="25"/>
    </row>
    <row r="122" spans="1:17">
      <c r="A122" s="14">
        <v>118</v>
      </c>
      <c r="B122" s="15" t="s">
        <v>192</v>
      </c>
      <c r="C122" s="16">
        <f>'Медикаменты Апрель'!L120</f>
        <v>130</v>
      </c>
      <c r="D122" s="17"/>
      <c r="E122" s="14"/>
      <c r="F122" s="18">
        <f>5</f>
        <v>5</v>
      </c>
      <c r="G122" s="19"/>
      <c r="H122" s="20"/>
      <c r="I122" s="21"/>
      <c r="J122" s="14"/>
      <c r="K122" s="14">
        <f t="shared" si="2"/>
        <v>5</v>
      </c>
      <c r="L122" s="16">
        <f t="shared" si="3"/>
        <v>125</v>
      </c>
      <c r="M122" s="22">
        <v>45047</v>
      </c>
      <c r="N122" s="44" t="s">
        <v>45</v>
      </c>
      <c r="O122" s="23" t="s">
        <v>16</v>
      </c>
      <c r="P122" s="24" t="s">
        <v>17</v>
      </c>
      <c r="Q122" s="28" t="s">
        <v>193</v>
      </c>
    </row>
    <row r="123" spans="1:17">
      <c r="A123" s="14">
        <v>119</v>
      </c>
      <c r="B123" s="15" t="s">
        <v>192</v>
      </c>
      <c r="C123" s="16">
        <f>'Медикаменты Апрель'!L121</f>
        <v>0</v>
      </c>
      <c r="D123" s="17"/>
      <c r="E123" s="14"/>
      <c r="F123" s="18"/>
      <c r="G123" s="19"/>
      <c r="H123" s="20"/>
      <c r="I123" s="21"/>
      <c r="J123" s="14"/>
      <c r="K123" s="14">
        <f t="shared" si="2"/>
        <v>0</v>
      </c>
      <c r="L123" s="16">
        <f t="shared" si="3"/>
        <v>0</v>
      </c>
      <c r="M123" s="22">
        <v>45047</v>
      </c>
      <c r="N123" s="44"/>
      <c r="O123" s="23" t="s">
        <v>26</v>
      </c>
      <c r="P123" s="24"/>
      <c r="Q123" s="28" t="s">
        <v>193</v>
      </c>
    </row>
    <row r="124" spans="1:17">
      <c r="A124" s="14">
        <v>120</v>
      </c>
      <c r="B124" s="15" t="s">
        <v>194</v>
      </c>
      <c r="C124" s="16">
        <f>'Медикаменты Апрель'!L122</f>
        <v>10</v>
      </c>
      <c r="D124" s="17"/>
      <c r="E124" s="14"/>
      <c r="F124" s="18"/>
      <c r="G124" s="19"/>
      <c r="H124" s="20"/>
      <c r="I124" s="21"/>
      <c r="J124" s="14"/>
      <c r="K124" s="14">
        <f t="shared" si="2"/>
        <v>0</v>
      </c>
      <c r="L124" s="16">
        <f t="shared" si="3"/>
        <v>10</v>
      </c>
      <c r="M124" s="22">
        <v>45658</v>
      </c>
      <c r="N124" s="44" t="s">
        <v>45</v>
      </c>
      <c r="O124" s="23" t="s">
        <v>16</v>
      </c>
      <c r="P124" s="24" t="s">
        <v>45</v>
      </c>
      <c r="Q124" s="28" t="s">
        <v>195</v>
      </c>
    </row>
    <row r="125" spans="1:17">
      <c r="A125" s="14">
        <v>121</v>
      </c>
      <c r="B125" s="15" t="s">
        <v>196</v>
      </c>
      <c r="C125" s="16">
        <f>'Медикаменты Апрель'!L123</f>
        <v>56</v>
      </c>
      <c r="D125" s="17"/>
      <c r="E125" s="14"/>
      <c r="F125" s="18"/>
      <c r="G125" s="19"/>
      <c r="H125" s="20"/>
      <c r="I125" s="21"/>
      <c r="J125" s="14"/>
      <c r="K125" s="14">
        <f t="shared" si="2"/>
        <v>0</v>
      </c>
      <c r="L125" s="16">
        <f t="shared" si="3"/>
        <v>56</v>
      </c>
      <c r="M125" s="22">
        <v>44593</v>
      </c>
      <c r="N125" s="44" t="s">
        <v>45</v>
      </c>
      <c r="O125" s="23" t="s">
        <v>16</v>
      </c>
      <c r="P125" s="24" t="s">
        <v>17</v>
      </c>
      <c r="Q125" s="28" t="s">
        <v>197</v>
      </c>
    </row>
    <row r="126" spans="1:17">
      <c r="A126" s="14">
        <v>122</v>
      </c>
      <c r="B126" s="15" t="s">
        <v>198</v>
      </c>
      <c r="C126" s="16">
        <f>'Медикаменты Апрель'!L124</f>
        <v>0</v>
      </c>
      <c r="D126" s="17"/>
      <c r="E126" s="14"/>
      <c r="F126" s="18"/>
      <c r="G126" s="19"/>
      <c r="H126" s="20"/>
      <c r="I126" s="21"/>
      <c r="J126" s="14"/>
      <c r="K126" s="14">
        <f t="shared" si="2"/>
        <v>0</v>
      </c>
      <c r="L126" s="16">
        <f t="shared" si="3"/>
        <v>0</v>
      </c>
      <c r="M126" s="22"/>
      <c r="N126" s="44"/>
      <c r="O126" s="23" t="s">
        <v>16</v>
      </c>
      <c r="P126" s="24"/>
      <c r="Q126" s="25"/>
    </row>
    <row r="127" spans="1:17">
      <c r="A127" s="14">
        <v>123</v>
      </c>
      <c r="B127" s="15" t="s">
        <v>199</v>
      </c>
      <c r="C127" s="16">
        <f>'Медикаменты Апрель'!L125</f>
        <v>0</v>
      </c>
      <c r="D127" s="17"/>
      <c r="E127" s="14"/>
      <c r="F127" s="18"/>
      <c r="G127" s="19"/>
      <c r="H127" s="20"/>
      <c r="I127" s="21"/>
      <c r="J127" s="14"/>
      <c r="K127" s="14">
        <f t="shared" si="2"/>
        <v>0</v>
      </c>
      <c r="L127" s="16">
        <f t="shared" si="3"/>
        <v>0</v>
      </c>
      <c r="M127" s="22"/>
      <c r="N127" s="44"/>
      <c r="O127" s="23" t="s">
        <v>16</v>
      </c>
      <c r="P127" s="24"/>
      <c r="Q127" s="25"/>
    </row>
    <row r="128" spans="1:17">
      <c r="A128" s="14">
        <v>124</v>
      </c>
      <c r="B128" s="15" t="s">
        <v>548</v>
      </c>
      <c r="C128" s="16">
        <f>'Медикаменты Апрель'!L126</f>
        <v>173</v>
      </c>
      <c r="D128" s="17"/>
      <c r="E128" s="14"/>
      <c r="F128" s="18">
        <f>20+5</f>
        <v>25</v>
      </c>
      <c r="G128" s="19"/>
      <c r="H128" s="20">
        <f>10</f>
        <v>10</v>
      </c>
      <c r="I128" s="21"/>
      <c r="J128" s="14"/>
      <c r="K128" s="14">
        <f t="shared" si="2"/>
        <v>35</v>
      </c>
      <c r="L128" s="16">
        <f t="shared" si="3"/>
        <v>138</v>
      </c>
      <c r="M128" s="22">
        <v>45658</v>
      </c>
      <c r="N128" s="44" t="s">
        <v>45</v>
      </c>
      <c r="O128" s="23" t="s">
        <v>26</v>
      </c>
      <c r="P128" s="24" t="s">
        <v>17</v>
      </c>
      <c r="Q128" s="23" t="s">
        <v>201</v>
      </c>
    </row>
    <row r="129" spans="1:17">
      <c r="A129" s="14">
        <v>125</v>
      </c>
      <c r="B129" s="15" t="s">
        <v>202</v>
      </c>
      <c r="C129" s="16">
        <f>'Медикаменты Апрель'!L127</f>
        <v>0</v>
      </c>
      <c r="D129" s="17"/>
      <c r="E129" s="14"/>
      <c r="F129" s="18"/>
      <c r="G129" s="19"/>
      <c r="H129" s="20"/>
      <c r="I129" s="21"/>
      <c r="J129" s="14"/>
      <c r="K129" s="14">
        <f t="shared" si="2"/>
        <v>0</v>
      </c>
      <c r="L129" s="16">
        <f t="shared" si="3"/>
        <v>0</v>
      </c>
      <c r="M129" s="22"/>
      <c r="N129" s="44"/>
      <c r="O129" s="23" t="s">
        <v>16</v>
      </c>
      <c r="P129" s="24"/>
      <c r="Q129" s="25"/>
    </row>
    <row r="130" spans="1:17">
      <c r="A130" s="14">
        <v>126</v>
      </c>
      <c r="B130" s="15" t="s">
        <v>203</v>
      </c>
      <c r="C130" s="16">
        <f>'Медикаменты Апрель'!L128</f>
        <v>0</v>
      </c>
      <c r="D130" s="17"/>
      <c r="E130" s="14"/>
      <c r="F130" s="18"/>
      <c r="G130" s="19"/>
      <c r="H130" s="20"/>
      <c r="I130" s="21"/>
      <c r="J130" s="14"/>
      <c r="K130" s="14">
        <f t="shared" si="2"/>
        <v>0</v>
      </c>
      <c r="L130" s="16">
        <f t="shared" si="3"/>
        <v>0</v>
      </c>
      <c r="M130" s="22">
        <v>44287</v>
      </c>
      <c r="N130" s="44"/>
      <c r="O130" s="23" t="s">
        <v>16</v>
      </c>
      <c r="P130" s="24"/>
      <c r="Q130" s="23" t="s">
        <v>204</v>
      </c>
    </row>
    <row r="131" spans="1:17">
      <c r="A131" s="14">
        <v>127</v>
      </c>
      <c r="B131" s="15" t="s">
        <v>205</v>
      </c>
      <c r="C131" s="16">
        <f>'Медикаменты Апрель'!L129</f>
        <v>0</v>
      </c>
      <c r="D131" s="17"/>
      <c r="E131" s="14"/>
      <c r="F131" s="18"/>
      <c r="G131" s="19"/>
      <c r="H131" s="20"/>
      <c r="I131" s="21"/>
      <c r="J131" s="14"/>
      <c r="K131" s="14">
        <f t="shared" si="2"/>
        <v>0</v>
      </c>
      <c r="L131" s="16">
        <f t="shared" si="3"/>
        <v>0</v>
      </c>
      <c r="M131" s="22"/>
      <c r="N131" s="44"/>
      <c r="O131" s="23" t="s">
        <v>16</v>
      </c>
      <c r="P131" s="24"/>
      <c r="Q131" s="25"/>
    </row>
    <row r="132" spans="1:17">
      <c r="A132" s="14">
        <v>128</v>
      </c>
      <c r="B132" s="15" t="s">
        <v>206</v>
      </c>
      <c r="C132" s="16">
        <f>'Медикаменты Апрель'!L130</f>
        <v>0</v>
      </c>
      <c r="D132" s="17"/>
      <c r="E132" s="14"/>
      <c r="F132" s="18"/>
      <c r="G132" s="19"/>
      <c r="H132" s="20"/>
      <c r="I132" s="21"/>
      <c r="J132" s="14"/>
      <c r="K132" s="14">
        <f t="shared" si="2"/>
        <v>0</v>
      </c>
      <c r="L132" s="16">
        <f t="shared" si="3"/>
        <v>0</v>
      </c>
      <c r="M132" s="22"/>
      <c r="N132" s="44"/>
      <c r="O132" s="23" t="s">
        <v>16</v>
      </c>
      <c r="P132" s="24"/>
      <c r="Q132" s="25"/>
    </row>
    <row r="133" spans="1:17">
      <c r="A133" s="14">
        <v>129</v>
      </c>
      <c r="B133" s="15" t="s">
        <v>207</v>
      </c>
      <c r="C133" s="16">
        <f>'Медикаменты Апрель'!L131</f>
        <v>0</v>
      </c>
      <c r="D133" s="17"/>
      <c r="E133" s="14"/>
      <c r="F133" s="18"/>
      <c r="G133" s="19"/>
      <c r="H133" s="20"/>
      <c r="I133" s="21"/>
      <c r="J133" s="14"/>
      <c r="K133" s="14">
        <f t="shared" ref="K133:K196" si="4">SUM(F133:J133)</f>
        <v>0</v>
      </c>
      <c r="L133" s="16">
        <f t="shared" ref="L133:L196" si="5">(C133+E133)-K133</f>
        <v>0</v>
      </c>
      <c r="M133" s="22"/>
      <c r="N133" s="44"/>
      <c r="O133" s="23" t="s">
        <v>16</v>
      </c>
      <c r="P133" s="24"/>
      <c r="Q133" s="25"/>
    </row>
    <row r="134" spans="1:17">
      <c r="A134" s="14">
        <v>130</v>
      </c>
      <c r="B134" s="15" t="s">
        <v>208</v>
      </c>
      <c r="C134" s="16">
        <f>'Медикаменты Апрель'!L132</f>
        <v>0</v>
      </c>
      <c r="D134" s="17"/>
      <c r="E134" s="14">
        <f>64</f>
        <v>64</v>
      </c>
      <c r="F134" s="18"/>
      <c r="G134" s="19"/>
      <c r="H134" s="20"/>
      <c r="I134" s="21"/>
      <c r="J134" s="14"/>
      <c r="K134" s="14">
        <f t="shared" si="4"/>
        <v>0</v>
      </c>
      <c r="L134" s="16">
        <f t="shared" si="5"/>
        <v>64</v>
      </c>
      <c r="M134" s="22">
        <v>44986</v>
      </c>
      <c r="N134" s="44" t="s">
        <v>45</v>
      </c>
      <c r="O134" s="23" t="s">
        <v>16</v>
      </c>
      <c r="P134" s="24" t="s">
        <v>17</v>
      </c>
      <c r="Q134" s="23" t="s">
        <v>209</v>
      </c>
    </row>
    <row r="135" spans="1:17">
      <c r="A135" s="14">
        <v>131</v>
      </c>
      <c r="B135" s="15" t="s">
        <v>210</v>
      </c>
      <c r="C135" s="16">
        <f>'Медикаменты Апрель'!L133</f>
        <v>32</v>
      </c>
      <c r="D135" s="17"/>
      <c r="E135" s="14"/>
      <c r="F135" s="18">
        <f>8+8</f>
        <v>16</v>
      </c>
      <c r="G135" s="19"/>
      <c r="H135" s="20"/>
      <c r="I135" s="21"/>
      <c r="J135" s="14"/>
      <c r="K135" s="14">
        <f t="shared" si="4"/>
        <v>16</v>
      </c>
      <c r="L135" s="16">
        <f t="shared" si="5"/>
        <v>16</v>
      </c>
      <c r="M135" s="22">
        <v>45413</v>
      </c>
      <c r="N135" s="44" t="s">
        <v>45</v>
      </c>
      <c r="O135" s="23" t="s">
        <v>16</v>
      </c>
      <c r="P135" s="24" t="s">
        <v>17</v>
      </c>
      <c r="Q135" s="23" t="s">
        <v>211</v>
      </c>
    </row>
    <row r="136" spans="1:17">
      <c r="A136" s="14">
        <v>132</v>
      </c>
      <c r="B136" s="15" t="s">
        <v>210</v>
      </c>
      <c r="C136" s="16">
        <f>'Медикаменты Апрель'!L134</f>
        <v>7</v>
      </c>
      <c r="D136" s="17"/>
      <c r="E136" s="14"/>
      <c r="F136" s="18"/>
      <c r="G136" s="19"/>
      <c r="H136" s="20"/>
      <c r="I136" s="21"/>
      <c r="J136" s="14"/>
      <c r="K136" s="14">
        <f t="shared" si="4"/>
        <v>0</v>
      </c>
      <c r="L136" s="16">
        <f t="shared" si="5"/>
        <v>7</v>
      </c>
      <c r="M136" s="22">
        <v>45413</v>
      </c>
      <c r="N136" s="44" t="s">
        <v>45</v>
      </c>
      <c r="O136" s="23" t="s">
        <v>26</v>
      </c>
      <c r="P136" s="24" t="s">
        <v>17</v>
      </c>
      <c r="Q136" s="23" t="s">
        <v>211</v>
      </c>
    </row>
    <row r="137" spans="1:17">
      <c r="A137" s="14">
        <v>133</v>
      </c>
      <c r="B137" s="15" t="s">
        <v>212</v>
      </c>
      <c r="C137" s="16">
        <f>'Медикаменты Апрель'!L135</f>
        <v>0</v>
      </c>
      <c r="D137" s="17"/>
      <c r="E137" s="14"/>
      <c r="F137" s="18"/>
      <c r="G137" s="19"/>
      <c r="H137" s="20"/>
      <c r="I137" s="21"/>
      <c r="J137" s="14"/>
      <c r="K137" s="14">
        <f t="shared" si="4"/>
        <v>0</v>
      </c>
      <c r="L137" s="16">
        <f t="shared" si="5"/>
        <v>0</v>
      </c>
      <c r="M137" s="22"/>
      <c r="N137" s="44"/>
      <c r="O137" s="23" t="s">
        <v>16</v>
      </c>
      <c r="P137" s="24"/>
      <c r="Q137" s="25"/>
    </row>
    <row r="138" spans="1:17" ht="26.25">
      <c r="A138" s="14">
        <v>134</v>
      </c>
      <c r="B138" s="15" t="s">
        <v>213</v>
      </c>
      <c r="C138" s="16">
        <f>'Медикаменты Апрель'!L136</f>
        <v>23</v>
      </c>
      <c r="D138" s="17"/>
      <c r="E138" s="14"/>
      <c r="F138" s="18"/>
      <c r="G138" s="19"/>
      <c r="H138" s="20">
        <f>5</f>
        <v>5</v>
      </c>
      <c r="I138" s="21"/>
      <c r="J138" s="14"/>
      <c r="K138" s="14">
        <f t="shared" si="4"/>
        <v>5</v>
      </c>
      <c r="L138" s="16">
        <f t="shared" si="5"/>
        <v>18</v>
      </c>
      <c r="M138" s="22">
        <v>44409</v>
      </c>
      <c r="N138" s="44" t="s">
        <v>551</v>
      </c>
      <c r="O138" s="23" t="s">
        <v>16</v>
      </c>
      <c r="P138" s="24" t="s">
        <v>17</v>
      </c>
      <c r="Q138" s="28" t="s">
        <v>214</v>
      </c>
    </row>
    <row r="139" spans="1:17">
      <c r="A139" s="14">
        <v>135</v>
      </c>
      <c r="B139" s="15" t="s">
        <v>215</v>
      </c>
      <c r="C139" s="16">
        <f>'Медикаменты Апрель'!L137</f>
        <v>0</v>
      </c>
      <c r="D139" s="17"/>
      <c r="E139" s="14"/>
      <c r="F139" s="18"/>
      <c r="G139" s="19"/>
      <c r="H139" s="20"/>
      <c r="I139" s="21"/>
      <c r="J139" s="14"/>
      <c r="K139" s="14">
        <f t="shared" si="4"/>
        <v>0</v>
      </c>
      <c r="L139" s="16">
        <f t="shared" si="5"/>
        <v>0</v>
      </c>
      <c r="M139" s="22"/>
      <c r="N139" s="44"/>
      <c r="O139" s="23" t="s">
        <v>26</v>
      </c>
      <c r="P139" s="24"/>
      <c r="Q139" s="25"/>
    </row>
    <row r="140" spans="1:17" ht="26.25">
      <c r="A140" s="14">
        <v>136</v>
      </c>
      <c r="B140" s="15" t="s">
        <v>216</v>
      </c>
      <c r="C140" s="16">
        <f>'Медикаменты Апрель'!L138</f>
        <v>21</v>
      </c>
      <c r="D140" s="17"/>
      <c r="E140" s="14"/>
      <c r="F140" s="18"/>
      <c r="G140" s="19"/>
      <c r="H140" s="20"/>
      <c r="I140" s="21"/>
      <c r="J140" s="14"/>
      <c r="K140" s="14">
        <f t="shared" si="4"/>
        <v>0</v>
      </c>
      <c r="L140" s="16">
        <f t="shared" si="5"/>
        <v>21</v>
      </c>
      <c r="M140" s="22">
        <v>44805</v>
      </c>
      <c r="N140" s="44" t="s">
        <v>45</v>
      </c>
      <c r="O140" s="23" t="s">
        <v>16</v>
      </c>
      <c r="P140" s="24" t="s">
        <v>17</v>
      </c>
      <c r="Q140" s="28" t="s">
        <v>217</v>
      </c>
    </row>
    <row r="141" spans="1:17">
      <c r="A141" s="14">
        <v>137</v>
      </c>
      <c r="B141" s="15" t="s">
        <v>216</v>
      </c>
      <c r="C141" s="16">
        <f>'Медикаменты Апрель'!L139</f>
        <v>0</v>
      </c>
      <c r="D141" s="17"/>
      <c r="E141" s="14"/>
      <c r="F141" s="18"/>
      <c r="G141" s="19"/>
      <c r="H141" s="20"/>
      <c r="I141" s="21"/>
      <c r="J141" s="14"/>
      <c r="K141" s="14">
        <f t="shared" si="4"/>
        <v>0</v>
      </c>
      <c r="L141" s="16">
        <f t="shared" si="5"/>
        <v>0</v>
      </c>
      <c r="M141" s="22"/>
      <c r="N141" s="44"/>
      <c r="O141" s="23" t="s">
        <v>26</v>
      </c>
      <c r="P141" s="24"/>
      <c r="Q141" s="25"/>
    </row>
    <row r="142" spans="1:17">
      <c r="A142" s="14">
        <v>138</v>
      </c>
      <c r="B142" s="15" t="s">
        <v>218</v>
      </c>
      <c r="C142" s="16">
        <f>'Медикаменты Апрель'!L140</f>
        <v>0</v>
      </c>
      <c r="D142" s="17"/>
      <c r="E142" s="14"/>
      <c r="F142" s="18"/>
      <c r="G142" s="19"/>
      <c r="H142" s="20"/>
      <c r="I142" s="21"/>
      <c r="J142" s="14"/>
      <c r="K142" s="14">
        <f t="shared" si="4"/>
        <v>0</v>
      </c>
      <c r="L142" s="16">
        <f t="shared" si="5"/>
        <v>0</v>
      </c>
      <c r="M142" s="22"/>
      <c r="N142" s="44"/>
      <c r="O142" s="23" t="s">
        <v>16</v>
      </c>
      <c r="P142" s="24"/>
      <c r="Q142" s="25"/>
    </row>
    <row r="143" spans="1:17">
      <c r="A143" s="14">
        <v>139</v>
      </c>
      <c r="B143" s="15" t="s">
        <v>219</v>
      </c>
      <c r="C143" s="16">
        <f>'Медикаменты Апрель'!L141</f>
        <v>0</v>
      </c>
      <c r="D143" s="17"/>
      <c r="E143" s="14"/>
      <c r="F143" s="18"/>
      <c r="G143" s="19"/>
      <c r="H143" s="20"/>
      <c r="I143" s="21"/>
      <c r="J143" s="14"/>
      <c r="K143" s="14">
        <f t="shared" si="4"/>
        <v>0</v>
      </c>
      <c r="L143" s="16">
        <f t="shared" si="5"/>
        <v>0</v>
      </c>
      <c r="M143" s="22"/>
      <c r="N143" s="44"/>
      <c r="O143" s="23" t="s">
        <v>16</v>
      </c>
      <c r="P143" s="24"/>
      <c r="Q143" s="25"/>
    </row>
    <row r="144" spans="1:17">
      <c r="A144" s="14">
        <v>140</v>
      </c>
      <c r="B144" s="15" t="s">
        <v>220</v>
      </c>
      <c r="C144" s="16">
        <f>'Медикаменты Апрель'!L142</f>
        <v>0</v>
      </c>
      <c r="D144" s="17"/>
      <c r="E144" s="14"/>
      <c r="F144" s="18"/>
      <c r="G144" s="19"/>
      <c r="H144" s="20"/>
      <c r="I144" s="21"/>
      <c r="J144" s="14"/>
      <c r="K144" s="14">
        <f t="shared" si="4"/>
        <v>0</v>
      </c>
      <c r="L144" s="16">
        <f t="shared" si="5"/>
        <v>0</v>
      </c>
      <c r="M144" s="22">
        <v>44256</v>
      </c>
      <c r="N144" s="44"/>
      <c r="O144" s="23" t="s">
        <v>16</v>
      </c>
      <c r="P144" s="24"/>
      <c r="Q144" s="23" t="s">
        <v>221</v>
      </c>
    </row>
    <row r="145" spans="1:17">
      <c r="A145" s="14">
        <v>141</v>
      </c>
      <c r="B145" s="15" t="s">
        <v>222</v>
      </c>
      <c r="C145" s="16">
        <f>'Медикаменты Апрель'!L143</f>
        <v>0</v>
      </c>
      <c r="D145" s="17"/>
      <c r="E145" s="14"/>
      <c r="F145" s="18"/>
      <c r="G145" s="19"/>
      <c r="H145" s="20"/>
      <c r="I145" s="21"/>
      <c r="J145" s="14"/>
      <c r="K145" s="14">
        <f t="shared" si="4"/>
        <v>0</v>
      </c>
      <c r="L145" s="16">
        <f t="shared" si="5"/>
        <v>0</v>
      </c>
      <c r="M145" s="22">
        <v>44317</v>
      </c>
      <c r="N145" s="44" t="s">
        <v>45</v>
      </c>
      <c r="O145" s="23" t="s">
        <v>16</v>
      </c>
      <c r="P145" s="24" t="s">
        <v>17</v>
      </c>
      <c r="Q145" s="23" t="s">
        <v>223</v>
      </c>
    </row>
    <row r="146" spans="1:17">
      <c r="A146" s="14">
        <v>142</v>
      </c>
      <c r="B146" s="15" t="s">
        <v>224</v>
      </c>
      <c r="C146" s="16">
        <f>'Медикаменты Апрель'!L144</f>
        <v>0</v>
      </c>
      <c r="D146" s="17"/>
      <c r="E146" s="14"/>
      <c r="F146" s="18"/>
      <c r="G146" s="19"/>
      <c r="H146" s="20"/>
      <c r="I146" s="21"/>
      <c r="J146" s="14"/>
      <c r="K146" s="14">
        <f t="shared" si="4"/>
        <v>0</v>
      </c>
      <c r="L146" s="16">
        <f t="shared" si="5"/>
        <v>0</v>
      </c>
      <c r="M146" s="22">
        <v>45261</v>
      </c>
      <c r="N146" s="44"/>
      <c r="O146" s="23" t="s">
        <v>16</v>
      </c>
      <c r="P146" s="24"/>
      <c r="Q146" s="28" t="s">
        <v>225</v>
      </c>
    </row>
    <row r="147" spans="1:17">
      <c r="A147" s="14">
        <v>143</v>
      </c>
      <c r="B147" s="15" t="s">
        <v>226</v>
      </c>
      <c r="C147" s="16">
        <f>'Медикаменты Апрель'!L145</f>
        <v>0</v>
      </c>
      <c r="D147" s="17"/>
      <c r="E147" s="14"/>
      <c r="F147" s="18"/>
      <c r="G147" s="19"/>
      <c r="H147" s="20"/>
      <c r="I147" s="21"/>
      <c r="J147" s="14"/>
      <c r="K147" s="14">
        <f t="shared" si="4"/>
        <v>0</v>
      </c>
      <c r="L147" s="16">
        <f t="shared" si="5"/>
        <v>0</v>
      </c>
      <c r="M147" s="22"/>
      <c r="N147" s="44"/>
      <c r="O147" s="23" t="s">
        <v>16</v>
      </c>
      <c r="P147" s="24"/>
      <c r="Q147" s="25"/>
    </row>
    <row r="148" spans="1:17">
      <c r="A148" s="14">
        <v>144</v>
      </c>
      <c r="B148" s="15" t="s">
        <v>227</v>
      </c>
      <c r="C148" s="16">
        <f>'Медикаменты Апрель'!L146</f>
        <v>0</v>
      </c>
      <c r="D148" s="17"/>
      <c r="E148" s="14"/>
      <c r="F148" s="18"/>
      <c r="G148" s="19"/>
      <c r="H148" s="20"/>
      <c r="I148" s="21"/>
      <c r="J148" s="14"/>
      <c r="K148" s="14">
        <f t="shared" si="4"/>
        <v>0</v>
      </c>
      <c r="L148" s="16">
        <f t="shared" si="5"/>
        <v>0</v>
      </c>
      <c r="M148" s="22">
        <v>44562</v>
      </c>
      <c r="N148" s="44"/>
      <c r="O148" s="23" t="s">
        <v>16</v>
      </c>
      <c r="P148" s="24"/>
      <c r="Q148" s="23" t="s">
        <v>228</v>
      </c>
    </row>
    <row r="149" spans="1:17">
      <c r="A149" s="14">
        <v>145</v>
      </c>
      <c r="B149" s="15" t="s">
        <v>229</v>
      </c>
      <c r="C149" s="16">
        <f>'Медикаменты Апрель'!L147</f>
        <v>36</v>
      </c>
      <c r="D149" s="17"/>
      <c r="E149" s="14"/>
      <c r="F149" s="18">
        <f>5+5</f>
        <v>10</v>
      </c>
      <c r="G149" s="19"/>
      <c r="H149" s="20"/>
      <c r="I149" s="21"/>
      <c r="J149" s="14"/>
      <c r="K149" s="14">
        <f t="shared" si="4"/>
        <v>10</v>
      </c>
      <c r="L149" s="16">
        <f t="shared" si="5"/>
        <v>26</v>
      </c>
      <c r="M149" s="22">
        <v>44986</v>
      </c>
      <c r="N149" s="44" t="s">
        <v>45</v>
      </c>
      <c r="O149" s="23" t="s">
        <v>16</v>
      </c>
      <c r="P149" s="24" t="s">
        <v>17</v>
      </c>
      <c r="Q149" s="23" t="s">
        <v>230</v>
      </c>
    </row>
    <row r="150" spans="1:17">
      <c r="A150" s="14">
        <v>146</v>
      </c>
      <c r="B150" s="15" t="s">
        <v>231</v>
      </c>
      <c r="C150" s="16">
        <f>'Медикаменты Апрель'!L148</f>
        <v>0</v>
      </c>
      <c r="D150" s="17"/>
      <c r="E150" s="14"/>
      <c r="F150" s="18"/>
      <c r="G150" s="19"/>
      <c r="H150" s="20"/>
      <c r="I150" s="21"/>
      <c r="J150" s="14"/>
      <c r="K150" s="14">
        <f t="shared" si="4"/>
        <v>0</v>
      </c>
      <c r="L150" s="16">
        <f t="shared" si="5"/>
        <v>0</v>
      </c>
      <c r="M150" s="22"/>
      <c r="N150" s="44"/>
      <c r="O150" s="23" t="s">
        <v>16</v>
      </c>
      <c r="P150" s="24"/>
      <c r="Q150" s="25"/>
    </row>
    <row r="151" spans="1:17">
      <c r="A151" s="14">
        <v>147</v>
      </c>
      <c r="B151" s="15" t="s">
        <v>232</v>
      </c>
      <c r="C151" s="16">
        <f>'Медикаменты Апрель'!L149</f>
        <v>0</v>
      </c>
      <c r="D151" s="17"/>
      <c r="E151" s="14"/>
      <c r="F151" s="18"/>
      <c r="G151" s="19"/>
      <c r="H151" s="20"/>
      <c r="I151" s="21"/>
      <c r="J151" s="14"/>
      <c r="K151" s="14">
        <f t="shared" si="4"/>
        <v>0</v>
      </c>
      <c r="L151" s="16">
        <f t="shared" si="5"/>
        <v>0</v>
      </c>
      <c r="M151" s="22"/>
      <c r="N151" s="44"/>
      <c r="O151" s="23" t="s">
        <v>16</v>
      </c>
      <c r="P151" s="24"/>
      <c r="Q151" s="25"/>
    </row>
    <row r="152" spans="1:17">
      <c r="A152" s="14">
        <v>148</v>
      </c>
      <c r="B152" s="15" t="s">
        <v>233</v>
      </c>
      <c r="C152" s="16">
        <f>'Медикаменты Апрель'!L150</f>
        <v>0</v>
      </c>
      <c r="D152" s="17"/>
      <c r="E152" s="14"/>
      <c r="F152" s="18"/>
      <c r="G152" s="19"/>
      <c r="H152" s="20"/>
      <c r="I152" s="21"/>
      <c r="J152" s="14"/>
      <c r="K152" s="14">
        <f t="shared" si="4"/>
        <v>0</v>
      </c>
      <c r="L152" s="16">
        <f t="shared" si="5"/>
        <v>0</v>
      </c>
      <c r="M152" s="22">
        <v>44287</v>
      </c>
      <c r="N152" s="44"/>
      <c r="O152" s="23" t="s">
        <v>16</v>
      </c>
      <c r="P152" s="24" t="s">
        <v>45</v>
      </c>
      <c r="Q152" s="23" t="s">
        <v>234</v>
      </c>
    </row>
    <row r="153" spans="1:17">
      <c r="A153" s="14">
        <v>149</v>
      </c>
      <c r="B153" s="15" t="s">
        <v>235</v>
      </c>
      <c r="C153" s="16">
        <f>'Медикаменты Апрель'!L151</f>
        <v>0</v>
      </c>
      <c r="D153" s="17"/>
      <c r="E153" s="14"/>
      <c r="F153" s="18"/>
      <c r="G153" s="19"/>
      <c r="H153" s="20"/>
      <c r="I153" s="21"/>
      <c r="J153" s="14"/>
      <c r="K153" s="14">
        <f t="shared" si="4"/>
        <v>0</v>
      </c>
      <c r="L153" s="16">
        <f t="shared" si="5"/>
        <v>0</v>
      </c>
      <c r="M153" s="22"/>
      <c r="N153" s="44"/>
      <c r="O153" s="23" t="s">
        <v>16</v>
      </c>
      <c r="P153" s="24"/>
      <c r="Q153" s="25"/>
    </row>
    <row r="154" spans="1:17">
      <c r="A154" s="14">
        <v>150</v>
      </c>
      <c r="B154" s="15" t="s">
        <v>236</v>
      </c>
      <c r="C154" s="16">
        <f>'Медикаменты Апрель'!L152</f>
        <v>76</v>
      </c>
      <c r="D154" s="17"/>
      <c r="E154" s="14"/>
      <c r="F154" s="18"/>
      <c r="G154" s="19"/>
      <c r="H154" s="20"/>
      <c r="I154" s="21"/>
      <c r="J154" s="14">
        <f>1</f>
        <v>1</v>
      </c>
      <c r="K154" s="14">
        <f t="shared" si="4"/>
        <v>1</v>
      </c>
      <c r="L154" s="16">
        <f t="shared" si="5"/>
        <v>75</v>
      </c>
      <c r="M154" s="22">
        <v>44593</v>
      </c>
      <c r="N154" s="44" t="s">
        <v>45</v>
      </c>
      <c r="O154" s="23" t="s">
        <v>16</v>
      </c>
      <c r="P154" s="24" t="s">
        <v>45</v>
      </c>
      <c r="Q154" s="28" t="s">
        <v>237</v>
      </c>
    </row>
    <row r="155" spans="1:17">
      <c r="A155" s="14">
        <v>151</v>
      </c>
      <c r="B155" s="15" t="s">
        <v>238</v>
      </c>
      <c r="C155" s="16">
        <f>'Медикаменты Апрель'!L153</f>
        <v>0</v>
      </c>
      <c r="D155" s="17"/>
      <c r="E155" s="14"/>
      <c r="F155" s="18"/>
      <c r="G155" s="19"/>
      <c r="H155" s="20"/>
      <c r="I155" s="21"/>
      <c r="J155" s="14"/>
      <c r="K155" s="14">
        <f t="shared" si="4"/>
        <v>0</v>
      </c>
      <c r="L155" s="16">
        <f t="shared" si="5"/>
        <v>0</v>
      </c>
      <c r="M155" s="22"/>
      <c r="N155" s="44"/>
      <c r="O155" s="23" t="s">
        <v>16</v>
      </c>
      <c r="P155" s="24"/>
      <c r="Q155" s="25"/>
    </row>
    <row r="156" spans="1:17">
      <c r="A156" s="14">
        <v>152</v>
      </c>
      <c r="B156" s="15" t="s">
        <v>239</v>
      </c>
      <c r="C156" s="16">
        <f>'Медикаменты Апрель'!L154</f>
        <v>0</v>
      </c>
      <c r="D156" s="17"/>
      <c r="E156" s="14"/>
      <c r="F156" s="18"/>
      <c r="G156" s="19"/>
      <c r="H156" s="20"/>
      <c r="I156" s="21"/>
      <c r="J156" s="14"/>
      <c r="K156" s="14">
        <f t="shared" si="4"/>
        <v>0</v>
      </c>
      <c r="L156" s="16">
        <f t="shared" si="5"/>
        <v>0</v>
      </c>
      <c r="M156" s="22"/>
      <c r="N156" s="44"/>
      <c r="O156" s="23" t="s">
        <v>16</v>
      </c>
      <c r="P156" s="24"/>
      <c r="Q156" s="25"/>
    </row>
    <row r="157" spans="1:17">
      <c r="A157" s="14">
        <v>153</v>
      </c>
      <c r="B157" s="15" t="s">
        <v>240</v>
      </c>
      <c r="C157" s="16">
        <f>'Медикаменты Апрель'!L155</f>
        <v>103</v>
      </c>
      <c r="D157" s="17"/>
      <c r="E157" s="14"/>
      <c r="F157" s="18">
        <f>5</f>
        <v>5</v>
      </c>
      <c r="G157" s="19"/>
      <c r="H157" s="20"/>
      <c r="I157" s="21"/>
      <c r="J157" s="14"/>
      <c r="K157" s="14">
        <f t="shared" si="4"/>
        <v>5</v>
      </c>
      <c r="L157" s="16">
        <f t="shared" si="5"/>
        <v>98</v>
      </c>
      <c r="M157" s="22">
        <v>44652</v>
      </c>
      <c r="N157" s="44" t="s">
        <v>45</v>
      </c>
      <c r="O157" s="23" t="s">
        <v>16</v>
      </c>
      <c r="P157" s="24" t="s">
        <v>17</v>
      </c>
      <c r="Q157" s="28" t="s">
        <v>241</v>
      </c>
    </row>
    <row r="158" spans="1:17">
      <c r="A158" s="14">
        <v>154</v>
      </c>
      <c r="B158" s="15" t="s">
        <v>242</v>
      </c>
      <c r="C158" s="16">
        <f>'Медикаменты Апрель'!L156</f>
        <v>0</v>
      </c>
      <c r="D158" s="17"/>
      <c r="E158" s="14"/>
      <c r="F158" s="18"/>
      <c r="G158" s="19"/>
      <c r="H158" s="20"/>
      <c r="I158" s="21"/>
      <c r="J158" s="14"/>
      <c r="K158" s="14">
        <f t="shared" si="4"/>
        <v>0</v>
      </c>
      <c r="L158" s="16">
        <f t="shared" si="5"/>
        <v>0</v>
      </c>
      <c r="M158" s="22"/>
      <c r="N158" s="44"/>
      <c r="O158" s="23" t="s">
        <v>16</v>
      </c>
      <c r="P158" s="24"/>
      <c r="Q158" s="25"/>
    </row>
    <row r="159" spans="1:17" ht="26.25">
      <c r="A159" s="14">
        <v>155</v>
      </c>
      <c r="B159" s="15" t="s">
        <v>243</v>
      </c>
      <c r="C159" s="16">
        <f>'Медикаменты Апрель'!L157</f>
        <v>150</v>
      </c>
      <c r="D159" s="17"/>
      <c r="E159" s="14"/>
      <c r="F159" s="18"/>
      <c r="G159" s="19"/>
      <c r="H159" s="20"/>
      <c r="I159" s="21"/>
      <c r="J159" s="14">
        <f>1</f>
        <v>1</v>
      </c>
      <c r="K159" s="14">
        <f t="shared" si="4"/>
        <v>1</v>
      </c>
      <c r="L159" s="16">
        <f t="shared" si="5"/>
        <v>149</v>
      </c>
      <c r="M159" s="22">
        <v>44501</v>
      </c>
      <c r="N159" s="44" t="s">
        <v>45</v>
      </c>
      <c r="O159" s="23" t="s">
        <v>16</v>
      </c>
      <c r="P159" s="24" t="s">
        <v>17</v>
      </c>
      <c r="Q159" s="28" t="s">
        <v>244</v>
      </c>
    </row>
    <row r="160" spans="1:17">
      <c r="A160" s="14">
        <v>156</v>
      </c>
      <c r="B160" s="15" t="s">
        <v>245</v>
      </c>
      <c r="C160" s="16">
        <f>'Медикаменты Апрель'!L158</f>
        <v>0</v>
      </c>
      <c r="D160" s="17"/>
      <c r="E160" s="14"/>
      <c r="F160" s="18"/>
      <c r="G160" s="19"/>
      <c r="H160" s="20"/>
      <c r="I160" s="21"/>
      <c r="J160" s="14"/>
      <c r="K160" s="14">
        <f t="shared" si="4"/>
        <v>0</v>
      </c>
      <c r="L160" s="16">
        <f t="shared" si="5"/>
        <v>0</v>
      </c>
      <c r="M160" s="22"/>
      <c r="N160" s="44"/>
      <c r="O160" s="23" t="s">
        <v>16</v>
      </c>
      <c r="P160" s="24"/>
      <c r="Q160" s="25"/>
    </row>
    <row r="161" spans="1:17">
      <c r="A161" s="14">
        <v>157</v>
      </c>
      <c r="B161" s="15" t="s">
        <v>246</v>
      </c>
      <c r="C161" s="16">
        <f>'Медикаменты Апрель'!L159</f>
        <v>0</v>
      </c>
      <c r="D161" s="17"/>
      <c r="E161" s="14"/>
      <c r="F161" s="18"/>
      <c r="G161" s="19"/>
      <c r="H161" s="20"/>
      <c r="I161" s="21"/>
      <c r="J161" s="14"/>
      <c r="K161" s="14">
        <f t="shared" si="4"/>
        <v>0</v>
      </c>
      <c r="L161" s="16">
        <f t="shared" si="5"/>
        <v>0</v>
      </c>
      <c r="M161" s="22"/>
      <c r="N161" s="44"/>
      <c r="O161" s="23" t="s">
        <v>16</v>
      </c>
      <c r="P161" s="24"/>
      <c r="Q161" s="25"/>
    </row>
    <row r="162" spans="1:17">
      <c r="A162" s="14">
        <v>158</v>
      </c>
      <c r="B162" s="15" t="s">
        <v>247</v>
      </c>
      <c r="C162" s="16">
        <f>'Медикаменты Апрель'!L160</f>
        <v>0</v>
      </c>
      <c r="D162" s="17"/>
      <c r="E162" s="14"/>
      <c r="F162" s="18"/>
      <c r="G162" s="19"/>
      <c r="H162" s="20"/>
      <c r="I162" s="21"/>
      <c r="J162" s="14"/>
      <c r="K162" s="14">
        <f t="shared" si="4"/>
        <v>0</v>
      </c>
      <c r="L162" s="16">
        <f t="shared" si="5"/>
        <v>0</v>
      </c>
      <c r="M162" s="22"/>
      <c r="N162" s="44"/>
      <c r="O162" s="23" t="s">
        <v>16</v>
      </c>
      <c r="P162" s="24"/>
      <c r="Q162" s="25"/>
    </row>
    <row r="163" spans="1:17">
      <c r="A163" s="14">
        <v>159</v>
      </c>
      <c r="B163" s="15" t="s">
        <v>248</v>
      </c>
      <c r="C163" s="16">
        <f>'Медикаменты Апрель'!L161</f>
        <v>0</v>
      </c>
      <c r="D163" s="17"/>
      <c r="E163" s="14"/>
      <c r="F163" s="18"/>
      <c r="G163" s="19"/>
      <c r="H163" s="20"/>
      <c r="I163" s="21"/>
      <c r="J163" s="14"/>
      <c r="K163" s="14">
        <f t="shared" si="4"/>
        <v>0</v>
      </c>
      <c r="L163" s="16">
        <f t="shared" si="5"/>
        <v>0</v>
      </c>
      <c r="M163" s="22"/>
      <c r="N163" s="44"/>
      <c r="O163" s="23" t="s">
        <v>16</v>
      </c>
      <c r="P163" s="24"/>
      <c r="Q163" s="25"/>
    </row>
    <row r="164" spans="1:17">
      <c r="A164" s="14">
        <v>160</v>
      </c>
      <c r="B164" s="15" t="s">
        <v>249</v>
      </c>
      <c r="C164" s="16">
        <f>'Медикаменты Апрель'!L162</f>
        <v>0</v>
      </c>
      <c r="D164" s="17"/>
      <c r="E164" s="14"/>
      <c r="F164" s="18"/>
      <c r="G164" s="19"/>
      <c r="H164" s="20"/>
      <c r="I164" s="21"/>
      <c r="J164" s="14"/>
      <c r="K164" s="14">
        <f t="shared" si="4"/>
        <v>0</v>
      </c>
      <c r="L164" s="16">
        <f t="shared" si="5"/>
        <v>0</v>
      </c>
      <c r="M164" s="22"/>
      <c r="N164" s="44"/>
      <c r="O164" s="23" t="s">
        <v>16</v>
      </c>
      <c r="P164" s="24"/>
      <c r="Q164" s="25"/>
    </row>
    <row r="165" spans="1:17">
      <c r="A165" s="14">
        <v>161</v>
      </c>
      <c r="B165" s="15" t="s">
        <v>250</v>
      </c>
      <c r="C165" s="16">
        <f>'Медикаменты Апрель'!L163</f>
        <v>0</v>
      </c>
      <c r="D165" s="17"/>
      <c r="E165" s="14"/>
      <c r="F165" s="18"/>
      <c r="G165" s="19"/>
      <c r="H165" s="20"/>
      <c r="I165" s="21"/>
      <c r="J165" s="14"/>
      <c r="K165" s="14">
        <f t="shared" si="4"/>
        <v>0</v>
      </c>
      <c r="L165" s="16">
        <f t="shared" si="5"/>
        <v>0</v>
      </c>
      <c r="M165" s="22"/>
      <c r="N165" s="44"/>
      <c r="O165" s="23" t="s">
        <v>16</v>
      </c>
      <c r="P165" s="24"/>
      <c r="Q165" s="25"/>
    </row>
    <row r="166" spans="1:17">
      <c r="A166" s="14">
        <v>162</v>
      </c>
      <c r="B166" s="15" t="s">
        <v>251</v>
      </c>
      <c r="C166" s="16">
        <f>'Медикаменты Апрель'!L164</f>
        <v>2</v>
      </c>
      <c r="D166" s="17"/>
      <c r="E166" s="14"/>
      <c r="F166" s="18">
        <f>2</f>
        <v>2</v>
      </c>
      <c r="G166" s="19"/>
      <c r="H166" s="20"/>
      <c r="I166" s="21"/>
      <c r="J166" s="14"/>
      <c r="K166" s="14">
        <f t="shared" si="4"/>
        <v>2</v>
      </c>
      <c r="L166" s="16">
        <f t="shared" si="5"/>
        <v>0</v>
      </c>
      <c r="M166" s="22">
        <v>44682</v>
      </c>
      <c r="N166" s="44" t="s">
        <v>45</v>
      </c>
      <c r="O166" s="23" t="s">
        <v>16</v>
      </c>
      <c r="P166" s="24" t="s">
        <v>45</v>
      </c>
      <c r="Q166" s="23" t="s">
        <v>252</v>
      </c>
    </row>
    <row r="167" spans="1:17">
      <c r="A167" s="14">
        <v>163</v>
      </c>
      <c r="B167" s="15" t="s">
        <v>253</v>
      </c>
      <c r="C167" s="16">
        <f>'Медикаменты Апрель'!L165</f>
        <v>100</v>
      </c>
      <c r="D167" s="17"/>
      <c r="E167" s="14"/>
      <c r="F167" s="18"/>
      <c r="G167" s="19"/>
      <c r="H167" s="20"/>
      <c r="I167" s="21"/>
      <c r="J167" s="14"/>
      <c r="K167" s="14">
        <f t="shared" si="4"/>
        <v>0</v>
      </c>
      <c r="L167" s="16">
        <f t="shared" si="5"/>
        <v>100</v>
      </c>
      <c r="M167" s="22">
        <v>45047</v>
      </c>
      <c r="N167" s="44" t="s">
        <v>45</v>
      </c>
      <c r="O167" s="23" t="s">
        <v>16</v>
      </c>
      <c r="P167" s="24" t="s">
        <v>17</v>
      </c>
      <c r="Q167" s="23" t="s">
        <v>254</v>
      </c>
    </row>
    <row r="168" spans="1:17">
      <c r="A168" s="14">
        <v>164</v>
      </c>
      <c r="B168" s="15" t="s">
        <v>255</v>
      </c>
      <c r="C168" s="16">
        <f>'Медикаменты Апрель'!L166</f>
        <v>0</v>
      </c>
      <c r="D168" s="17"/>
      <c r="E168" s="14"/>
      <c r="F168" s="18"/>
      <c r="G168" s="19"/>
      <c r="H168" s="20"/>
      <c r="I168" s="21"/>
      <c r="J168" s="14"/>
      <c r="K168" s="14">
        <f t="shared" si="4"/>
        <v>0</v>
      </c>
      <c r="L168" s="16">
        <f t="shared" si="5"/>
        <v>0</v>
      </c>
      <c r="M168" s="22">
        <v>44562</v>
      </c>
      <c r="N168" s="44"/>
      <c r="O168" s="23" t="s">
        <v>26</v>
      </c>
      <c r="P168" s="24"/>
      <c r="Q168" s="23"/>
    </row>
    <row r="169" spans="1:17">
      <c r="A169" s="14">
        <v>165</v>
      </c>
      <c r="B169" s="15" t="s">
        <v>256</v>
      </c>
      <c r="C169" s="16">
        <f>'Медикаменты Апрель'!L167</f>
        <v>0</v>
      </c>
      <c r="D169" s="17"/>
      <c r="E169" s="14"/>
      <c r="F169" s="18"/>
      <c r="G169" s="19"/>
      <c r="H169" s="20"/>
      <c r="I169" s="21"/>
      <c r="J169" s="14"/>
      <c r="K169" s="14">
        <f t="shared" si="4"/>
        <v>0</v>
      </c>
      <c r="L169" s="16">
        <f t="shared" si="5"/>
        <v>0</v>
      </c>
      <c r="M169" s="22">
        <v>44044</v>
      </c>
      <c r="N169" s="44"/>
      <c r="O169" s="23" t="s">
        <v>16</v>
      </c>
      <c r="P169" s="24"/>
      <c r="Q169" s="25"/>
    </row>
    <row r="170" spans="1:17">
      <c r="A170" s="14">
        <v>166</v>
      </c>
      <c r="B170" s="15" t="s">
        <v>257</v>
      </c>
      <c r="C170" s="16">
        <f>'Медикаменты Апрель'!L168</f>
        <v>0</v>
      </c>
      <c r="D170" s="17"/>
      <c r="E170" s="14"/>
      <c r="F170" s="18"/>
      <c r="G170" s="19"/>
      <c r="H170" s="20"/>
      <c r="I170" s="21"/>
      <c r="J170" s="14"/>
      <c r="K170" s="14">
        <f t="shared" si="4"/>
        <v>0</v>
      </c>
      <c r="L170" s="16">
        <f t="shared" si="5"/>
        <v>0</v>
      </c>
      <c r="M170" s="22">
        <v>44287</v>
      </c>
      <c r="N170" s="44"/>
      <c r="O170" s="23" t="s">
        <v>16</v>
      </c>
      <c r="P170" s="24" t="s">
        <v>17</v>
      </c>
      <c r="Q170" s="23" t="s">
        <v>258</v>
      </c>
    </row>
    <row r="171" spans="1:17">
      <c r="A171" s="14">
        <v>167</v>
      </c>
      <c r="B171" s="15" t="s">
        <v>259</v>
      </c>
      <c r="C171" s="16">
        <f>'Медикаменты Апрель'!L169</f>
        <v>13</v>
      </c>
      <c r="D171" s="17"/>
      <c r="E171" s="14"/>
      <c r="F171" s="18"/>
      <c r="G171" s="19"/>
      <c r="H171" s="20"/>
      <c r="I171" s="21"/>
      <c r="J171" s="14"/>
      <c r="K171" s="14">
        <f t="shared" si="4"/>
        <v>0</v>
      </c>
      <c r="L171" s="16">
        <f t="shared" si="5"/>
        <v>13</v>
      </c>
      <c r="M171" s="22">
        <v>44531</v>
      </c>
      <c r="N171" s="44" t="s">
        <v>45</v>
      </c>
      <c r="O171" s="23" t="s">
        <v>16</v>
      </c>
      <c r="P171" s="24" t="s">
        <v>17</v>
      </c>
      <c r="Q171" s="28" t="s">
        <v>260</v>
      </c>
    </row>
    <row r="172" spans="1:17">
      <c r="A172" s="14">
        <v>168</v>
      </c>
      <c r="B172" s="15" t="s">
        <v>261</v>
      </c>
      <c r="C172" s="16">
        <f>'Медикаменты Апрель'!L170</f>
        <v>0</v>
      </c>
      <c r="D172" s="17"/>
      <c r="E172" s="14"/>
      <c r="F172" s="18"/>
      <c r="G172" s="19"/>
      <c r="H172" s="20"/>
      <c r="I172" s="21"/>
      <c r="J172" s="14"/>
      <c r="K172" s="14">
        <f t="shared" si="4"/>
        <v>0</v>
      </c>
      <c r="L172" s="16">
        <f t="shared" si="5"/>
        <v>0</v>
      </c>
      <c r="M172" s="22">
        <v>44440</v>
      </c>
      <c r="N172" s="44"/>
      <c r="O172" s="23" t="s">
        <v>16</v>
      </c>
      <c r="P172" s="24"/>
      <c r="Q172" s="28" t="s">
        <v>262</v>
      </c>
    </row>
    <row r="173" spans="1:17">
      <c r="A173" s="14">
        <v>169</v>
      </c>
      <c r="B173" s="15" t="s">
        <v>261</v>
      </c>
      <c r="C173" s="16">
        <f>'Медикаменты Апрель'!L171</f>
        <v>46</v>
      </c>
      <c r="D173" s="17"/>
      <c r="E173" s="14"/>
      <c r="F173" s="18">
        <f>5+5</f>
        <v>10</v>
      </c>
      <c r="G173" s="19"/>
      <c r="H173" s="20">
        <f>5</f>
        <v>5</v>
      </c>
      <c r="I173" s="21"/>
      <c r="J173" s="14">
        <f>1</f>
        <v>1</v>
      </c>
      <c r="K173" s="14">
        <f t="shared" si="4"/>
        <v>16</v>
      </c>
      <c r="L173" s="16">
        <f t="shared" si="5"/>
        <v>30</v>
      </c>
      <c r="M173" s="22">
        <v>44501</v>
      </c>
      <c r="N173" s="44" t="s">
        <v>45</v>
      </c>
      <c r="O173" s="23" t="s">
        <v>16</v>
      </c>
      <c r="P173" s="24" t="s">
        <v>17</v>
      </c>
      <c r="Q173" s="28" t="s">
        <v>262</v>
      </c>
    </row>
    <row r="174" spans="1:17">
      <c r="A174" s="14">
        <v>170</v>
      </c>
      <c r="B174" s="15" t="s">
        <v>263</v>
      </c>
      <c r="C174" s="16">
        <f>'Медикаменты Апрель'!L172</f>
        <v>0</v>
      </c>
      <c r="D174" s="17"/>
      <c r="E174" s="14"/>
      <c r="F174" s="18"/>
      <c r="G174" s="19"/>
      <c r="H174" s="20"/>
      <c r="I174" s="21"/>
      <c r="J174" s="14"/>
      <c r="K174" s="14">
        <f t="shared" si="4"/>
        <v>0</v>
      </c>
      <c r="L174" s="16">
        <f t="shared" si="5"/>
        <v>0</v>
      </c>
      <c r="M174" s="22"/>
      <c r="N174" s="44"/>
      <c r="O174" s="23" t="s">
        <v>16</v>
      </c>
      <c r="P174" s="24"/>
      <c r="Q174" s="25"/>
    </row>
    <row r="175" spans="1:17">
      <c r="A175" s="14">
        <v>171</v>
      </c>
      <c r="B175" s="15" t="s">
        <v>264</v>
      </c>
      <c r="C175" s="16">
        <f>'Медикаменты Апрель'!L173</f>
        <v>0</v>
      </c>
      <c r="D175" s="17"/>
      <c r="E175" s="14"/>
      <c r="F175" s="18"/>
      <c r="G175" s="19"/>
      <c r="H175" s="20"/>
      <c r="I175" s="21"/>
      <c r="J175" s="14"/>
      <c r="K175" s="14">
        <f t="shared" si="4"/>
        <v>0</v>
      </c>
      <c r="L175" s="16">
        <f t="shared" si="5"/>
        <v>0</v>
      </c>
      <c r="M175" s="22"/>
      <c r="N175" s="44"/>
      <c r="O175" s="23" t="s">
        <v>16</v>
      </c>
      <c r="P175" s="24"/>
      <c r="Q175" s="25"/>
    </row>
    <row r="176" spans="1:17">
      <c r="A176" s="14">
        <v>172</v>
      </c>
      <c r="B176" s="15" t="s">
        <v>265</v>
      </c>
      <c r="C176" s="16">
        <f>'Медикаменты Апрель'!L174</f>
        <v>0</v>
      </c>
      <c r="D176" s="17"/>
      <c r="E176" s="14"/>
      <c r="F176" s="18"/>
      <c r="G176" s="19"/>
      <c r="H176" s="20"/>
      <c r="I176" s="21"/>
      <c r="J176" s="14"/>
      <c r="K176" s="14">
        <f t="shared" si="4"/>
        <v>0</v>
      </c>
      <c r="L176" s="16">
        <f t="shared" si="5"/>
        <v>0</v>
      </c>
      <c r="M176" s="22"/>
      <c r="N176" s="44"/>
      <c r="O176" s="23" t="s">
        <v>16</v>
      </c>
      <c r="P176" s="24"/>
      <c r="Q176" s="25"/>
    </row>
    <row r="177" spans="1:17">
      <c r="A177" s="14">
        <v>173</v>
      </c>
      <c r="B177" s="15" t="s">
        <v>266</v>
      </c>
      <c r="C177" s="16">
        <f>'Медикаменты Апрель'!L175</f>
        <v>0</v>
      </c>
      <c r="D177" s="17"/>
      <c r="E177" s="14"/>
      <c r="F177" s="18"/>
      <c r="G177" s="19"/>
      <c r="H177" s="20"/>
      <c r="I177" s="21"/>
      <c r="J177" s="14"/>
      <c r="K177" s="14">
        <f t="shared" si="4"/>
        <v>0</v>
      </c>
      <c r="L177" s="16">
        <f t="shared" si="5"/>
        <v>0</v>
      </c>
      <c r="M177" s="22"/>
      <c r="N177" s="44"/>
      <c r="O177" s="23" t="s">
        <v>16</v>
      </c>
      <c r="P177" s="24"/>
      <c r="Q177" s="25"/>
    </row>
    <row r="178" spans="1:17">
      <c r="A178" s="14">
        <v>174</v>
      </c>
      <c r="B178" s="15" t="s">
        <v>267</v>
      </c>
      <c r="C178" s="16">
        <f>'Медикаменты Апрель'!L176</f>
        <v>0</v>
      </c>
      <c r="D178" s="17"/>
      <c r="E178" s="14"/>
      <c r="F178" s="18"/>
      <c r="G178" s="19"/>
      <c r="H178" s="20"/>
      <c r="I178" s="21"/>
      <c r="J178" s="14"/>
      <c r="K178" s="14">
        <f t="shared" si="4"/>
        <v>0</v>
      </c>
      <c r="L178" s="16">
        <f t="shared" si="5"/>
        <v>0</v>
      </c>
      <c r="M178" s="22"/>
      <c r="N178" s="44"/>
      <c r="O178" s="23" t="s">
        <v>16</v>
      </c>
      <c r="P178" s="24"/>
      <c r="Q178" s="25"/>
    </row>
    <row r="179" spans="1:17">
      <c r="A179" s="14">
        <v>175</v>
      </c>
      <c r="B179" s="15" t="s">
        <v>268</v>
      </c>
      <c r="C179" s="16">
        <f>'Медикаменты Апрель'!L177</f>
        <v>0</v>
      </c>
      <c r="D179" s="17"/>
      <c r="E179" s="14"/>
      <c r="F179" s="18"/>
      <c r="G179" s="19"/>
      <c r="H179" s="20"/>
      <c r="I179" s="21"/>
      <c r="J179" s="14"/>
      <c r="K179" s="14">
        <f t="shared" si="4"/>
        <v>0</v>
      </c>
      <c r="L179" s="16">
        <f t="shared" si="5"/>
        <v>0</v>
      </c>
      <c r="M179" s="22">
        <v>45323</v>
      </c>
      <c r="N179" s="44"/>
      <c r="O179" s="23" t="s">
        <v>16</v>
      </c>
      <c r="P179" s="24"/>
      <c r="Q179" s="28" t="s">
        <v>269</v>
      </c>
    </row>
    <row r="180" spans="1:17">
      <c r="A180" s="14">
        <v>176</v>
      </c>
      <c r="B180" s="15" t="s">
        <v>268</v>
      </c>
      <c r="C180" s="16">
        <f>'Медикаменты Апрель'!L178</f>
        <v>0</v>
      </c>
      <c r="D180" s="17"/>
      <c r="E180" s="14"/>
      <c r="F180" s="18"/>
      <c r="G180" s="19"/>
      <c r="H180" s="20"/>
      <c r="I180" s="21"/>
      <c r="J180" s="14"/>
      <c r="K180" s="14">
        <f t="shared" si="4"/>
        <v>0</v>
      </c>
      <c r="L180" s="16">
        <f t="shared" si="5"/>
        <v>0</v>
      </c>
      <c r="M180" s="22">
        <v>45323</v>
      </c>
      <c r="N180" s="44"/>
      <c r="O180" s="23" t="s">
        <v>26</v>
      </c>
      <c r="P180" s="24"/>
      <c r="Q180" s="28" t="s">
        <v>269</v>
      </c>
    </row>
    <row r="181" spans="1:17">
      <c r="A181" s="14">
        <v>177</v>
      </c>
      <c r="B181" s="15" t="s">
        <v>270</v>
      </c>
      <c r="C181" s="16">
        <f>'Медикаменты Апрель'!L179</f>
        <v>0</v>
      </c>
      <c r="D181" s="17"/>
      <c r="E181" s="14"/>
      <c r="F181" s="18"/>
      <c r="G181" s="19"/>
      <c r="H181" s="20"/>
      <c r="I181" s="21"/>
      <c r="J181" s="14"/>
      <c r="K181" s="14">
        <f t="shared" si="4"/>
        <v>0</v>
      </c>
      <c r="L181" s="16">
        <f t="shared" si="5"/>
        <v>0</v>
      </c>
      <c r="M181" s="22">
        <v>44075</v>
      </c>
      <c r="N181" s="44"/>
      <c r="O181" s="23" t="s">
        <v>16</v>
      </c>
      <c r="P181" s="24"/>
      <c r="Q181" s="23" t="s">
        <v>271</v>
      </c>
    </row>
    <row r="182" spans="1:17">
      <c r="A182" s="14">
        <v>178</v>
      </c>
      <c r="B182" s="15" t="s">
        <v>272</v>
      </c>
      <c r="C182" s="16">
        <f>'Медикаменты Апрель'!L180</f>
        <v>21</v>
      </c>
      <c r="D182" s="17"/>
      <c r="E182" s="14"/>
      <c r="F182" s="18">
        <f>2</f>
        <v>2</v>
      </c>
      <c r="G182" s="19"/>
      <c r="H182" s="20"/>
      <c r="I182" s="21"/>
      <c r="J182" s="14"/>
      <c r="K182" s="14">
        <f t="shared" si="4"/>
        <v>2</v>
      </c>
      <c r="L182" s="16">
        <f t="shared" si="5"/>
        <v>19</v>
      </c>
      <c r="M182" s="22">
        <v>45352</v>
      </c>
      <c r="N182" s="44" t="s">
        <v>551</v>
      </c>
      <c r="O182" s="23" t="s">
        <v>16</v>
      </c>
      <c r="P182" s="24" t="s">
        <v>17</v>
      </c>
      <c r="Q182" s="23" t="s">
        <v>273</v>
      </c>
    </row>
    <row r="183" spans="1:17">
      <c r="A183" s="14">
        <v>179</v>
      </c>
      <c r="B183" s="15" t="s">
        <v>274</v>
      </c>
      <c r="C183" s="16">
        <f>'Медикаменты Апрель'!L181</f>
        <v>0</v>
      </c>
      <c r="D183" s="17"/>
      <c r="E183" s="14"/>
      <c r="F183" s="18"/>
      <c r="G183" s="19"/>
      <c r="H183" s="20"/>
      <c r="I183" s="21"/>
      <c r="J183" s="14"/>
      <c r="K183" s="14">
        <f t="shared" si="4"/>
        <v>0</v>
      </c>
      <c r="L183" s="16">
        <f t="shared" si="5"/>
        <v>0</v>
      </c>
      <c r="M183" s="22">
        <v>44593</v>
      </c>
      <c r="N183" s="44"/>
      <c r="O183" s="23" t="s">
        <v>16</v>
      </c>
      <c r="P183" s="24"/>
      <c r="Q183" s="23" t="s">
        <v>275</v>
      </c>
    </row>
    <row r="184" spans="1:17">
      <c r="A184" s="14">
        <v>180</v>
      </c>
      <c r="B184" s="15" t="s">
        <v>276</v>
      </c>
      <c r="C184" s="16">
        <f>'Медикаменты Апрель'!L182</f>
        <v>0</v>
      </c>
      <c r="D184" s="17"/>
      <c r="E184" s="14"/>
      <c r="F184" s="18"/>
      <c r="G184" s="19"/>
      <c r="H184" s="20"/>
      <c r="I184" s="21"/>
      <c r="J184" s="14"/>
      <c r="K184" s="14">
        <f t="shared" si="4"/>
        <v>0</v>
      </c>
      <c r="L184" s="16">
        <f t="shared" si="5"/>
        <v>0</v>
      </c>
      <c r="M184" s="22"/>
      <c r="N184" s="44"/>
      <c r="O184" s="23" t="s">
        <v>16</v>
      </c>
      <c r="P184" s="24"/>
      <c r="Q184" s="25"/>
    </row>
    <row r="185" spans="1:17">
      <c r="A185" s="14">
        <v>181</v>
      </c>
      <c r="B185" s="15" t="s">
        <v>277</v>
      </c>
      <c r="C185" s="16">
        <f>'Медикаменты Апрель'!L183</f>
        <v>28</v>
      </c>
      <c r="D185" s="17"/>
      <c r="E185" s="14"/>
      <c r="F185" s="18">
        <f>15</f>
        <v>15</v>
      </c>
      <c r="G185" s="19"/>
      <c r="H185" s="20"/>
      <c r="I185" s="21"/>
      <c r="J185" s="14">
        <f>1</f>
        <v>1</v>
      </c>
      <c r="K185" s="14">
        <f t="shared" si="4"/>
        <v>16</v>
      </c>
      <c r="L185" s="16">
        <f t="shared" si="5"/>
        <v>12</v>
      </c>
      <c r="M185" s="22">
        <v>44409</v>
      </c>
      <c r="N185" s="44" t="s">
        <v>45</v>
      </c>
      <c r="O185" s="23" t="s">
        <v>16</v>
      </c>
      <c r="P185" s="24" t="s">
        <v>17</v>
      </c>
      <c r="Q185" s="28" t="s">
        <v>278</v>
      </c>
    </row>
    <row r="186" spans="1:17">
      <c r="A186" s="14">
        <v>182</v>
      </c>
      <c r="B186" s="15" t="s">
        <v>279</v>
      </c>
      <c r="C186" s="16">
        <f>'Медикаменты Апрель'!L184</f>
        <v>1</v>
      </c>
      <c r="D186" s="17"/>
      <c r="E186" s="14"/>
      <c r="F186" s="18">
        <f>1</f>
        <v>1</v>
      </c>
      <c r="G186" s="19"/>
      <c r="H186" s="20"/>
      <c r="I186" s="21"/>
      <c r="J186" s="14"/>
      <c r="K186" s="14">
        <f t="shared" si="4"/>
        <v>1</v>
      </c>
      <c r="L186" s="16">
        <f t="shared" si="5"/>
        <v>0</v>
      </c>
      <c r="M186" s="22">
        <v>44378</v>
      </c>
      <c r="N186" s="44" t="s">
        <v>45</v>
      </c>
      <c r="O186" s="23" t="s">
        <v>16</v>
      </c>
      <c r="P186" s="24" t="s">
        <v>17</v>
      </c>
      <c r="Q186" s="23" t="s">
        <v>280</v>
      </c>
    </row>
    <row r="187" spans="1:17">
      <c r="A187" s="14">
        <v>183</v>
      </c>
      <c r="B187" s="15" t="s">
        <v>281</v>
      </c>
      <c r="C187" s="16">
        <f>'Медикаменты Апрель'!L185</f>
        <v>0</v>
      </c>
      <c r="D187" s="17"/>
      <c r="E187" s="14"/>
      <c r="F187" s="18"/>
      <c r="G187" s="19"/>
      <c r="H187" s="20"/>
      <c r="I187" s="21"/>
      <c r="J187" s="14"/>
      <c r="K187" s="14">
        <f t="shared" si="4"/>
        <v>0</v>
      </c>
      <c r="L187" s="16">
        <f t="shared" si="5"/>
        <v>0</v>
      </c>
      <c r="M187" s="22">
        <v>44593</v>
      </c>
      <c r="N187" s="44" t="s">
        <v>45</v>
      </c>
      <c r="O187" s="23" t="s">
        <v>16</v>
      </c>
      <c r="P187" s="24" t="s">
        <v>17</v>
      </c>
      <c r="Q187" s="23" t="s">
        <v>282</v>
      </c>
    </row>
    <row r="188" spans="1:17">
      <c r="A188" s="14">
        <v>184</v>
      </c>
      <c r="B188" s="15" t="s">
        <v>553</v>
      </c>
      <c r="C188" s="16">
        <f>'Медикаменты Апрель'!L186</f>
        <v>17</v>
      </c>
      <c r="D188" s="17"/>
      <c r="E188" s="14"/>
      <c r="F188" s="18">
        <f>5</f>
        <v>5</v>
      </c>
      <c r="G188" s="19"/>
      <c r="H188" s="20"/>
      <c r="I188" s="21"/>
      <c r="J188" s="14"/>
      <c r="K188" s="14">
        <f t="shared" si="4"/>
        <v>5</v>
      </c>
      <c r="L188" s="16">
        <f t="shared" si="5"/>
        <v>12</v>
      </c>
      <c r="M188" s="22">
        <v>44835</v>
      </c>
      <c r="N188" s="44" t="s">
        <v>45</v>
      </c>
      <c r="O188" s="23" t="s">
        <v>16</v>
      </c>
      <c r="P188" s="24" t="s">
        <v>17</v>
      </c>
      <c r="Q188" s="23" t="s">
        <v>554</v>
      </c>
    </row>
    <row r="189" spans="1:17">
      <c r="A189" s="14">
        <v>185</v>
      </c>
      <c r="B189" s="15" t="s">
        <v>283</v>
      </c>
      <c r="C189" s="16">
        <f>'Медикаменты Апрель'!L187</f>
        <v>0</v>
      </c>
      <c r="D189" s="17"/>
      <c r="E189" s="14"/>
      <c r="F189" s="18"/>
      <c r="G189" s="19"/>
      <c r="H189" s="20"/>
      <c r="I189" s="21"/>
      <c r="J189" s="14"/>
      <c r="K189" s="14">
        <f t="shared" si="4"/>
        <v>0</v>
      </c>
      <c r="L189" s="16">
        <f t="shared" si="5"/>
        <v>0</v>
      </c>
      <c r="M189" s="22">
        <v>44136</v>
      </c>
      <c r="N189" s="44"/>
      <c r="O189" s="23" t="s">
        <v>16</v>
      </c>
      <c r="P189" s="24"/>
      <c r="Q189" s="23" t="s">
        <v>284</v>
      </c>
    </row>
    <row r="190" spans="1:17">
      <c r="A190" s="14">
        <v>186</v>
      </c>
      <c r="B190" s="15" t="s">
        <v>285</v>
      </c>
      <c r="C190" s="16">
        <f>'Медикаменты Апрель'!L188</f>
        <v>0</v>
      </c>
      <c r="D190" s="17"/>
      <c r="E190" s="14"/>
      <c r="F190" s="18"/>
      <c r="G190" s="19"/>
      <c r="H190" s="20"/>
      <c r="I190" s="21"/>
      <c r="J190" s="14"/>
      <c r="K190" s="14">
        <f t="shared" si="4"/>
        <v>0</v>
      </c>
      <c r="L190" s="16">
        <f t="shared" si="5"/>
        <v>0</v>
      </c>
      <c r="M190" s="22"/>
      <c r="N190" s="44"/>
      <c r="O190" s="23" t="s">
        <v>16</v>
      </c>
      <c r="P190" s="24"/>
      <c r="Q190" s="25"/>
    </row>
    <row r="191" spans="1:17">
      <c r="A191" s="14">
        <v>187</v>
      </c>
      <c r="B191" s="15" t="s">
        <v>286</v>
      </c>
      <c r="C191" s="16">
        <f>'Медикаменты Апрель'!L189</f>
        <v>0</v>
      </c>
      <c r="D191" s="17"/>
      <c r="E191" s="14"/>
      <c r="F191" s="18"/>
      <c r="G191" s="19"/>
      <c r="H191" s="20"/>
      <c r="I191" s="21"/>
      <c r="J191" s="14"/>
      <c r="K191" s="14">
        <f t="shared" si="4"/>
        <v>0</v>
      </c>
      <c r="L191" s="16">
        <f t="shared" si="5"/>
        <v>0</v>
      </c>
      <c r="M191" s="22">
        <v>44197</v>
      </c>
      <c r="N191" s="44"/>
      <c r="O191" s="23" t="s">
        <v>16</v>
      </c>
      <c r="P191" s="24"/>
      <c r="Q191" s="23" t="s">
        <v>287</v>
      </c>
    </row>
    <row r="192" spans="1:17">
      <c r="A192" s="14">
        <v>188</v>
      </c>
      <c r="B192" s="15" t="s">
        <v>288</v>
      </c>
      <c r="C192" s="16">
        <f>'Медикаменты Апрель'!L190</f>
        <v>0</v>
      </c>
      <c r="D192" s="17"/>
      <c r="E192" s="14"/>
      <c r="F192" s="18"/>
      <c r="G192" s="19"/>
      <c r="H192" s="20"/>
      <c r="I192" s="21"/>
      <c r="J192" s="14"/>
      <c r="K192" s="14">
        <f t="shared" si="4"/>
        <v>0</v>
      </c>
      <c r="L192" s="16">
        <f t="shared" si="5"/>
        <v>0</v>
      </c>
      <c r="M192" s="22">
        <v>44105</v>
      </c>
      <c r="N192" s="44"/>
      <c r="O192" s="23" t="s">
        <v>16</v>
      </c>
      <c r="P192" s="24"/>
      <c r="Q192" s="28" t="s">
        <v>289</v>
      </c>
    </row>
    <row r="193" spans="1:17">
      <c r="A193" s="14">
        <v>189</v>
      </c>
      <c r="B193" s="15" t="s">
        <v>290</v>
      </c>
      <c r="C193" s="16">
        <f>'Медикаменты Апрель'!L191</f>
        <v>0</v>
      </c>
      <c r="D193" s="17"/>
      <c r="E193" s="14"/>
      <c r="F193" s="18"/>
      <c r="G193" s="19"/>
      <c r="H193" s="20"/>
      <c r="I193" s="21"/>
      <c r="J193" s="14"/>
      <c r="K193" s="14">
        <f t="shared" si="4"/>
        <v>0</v>
      </c>
      <c r="L193" s="16">
        <f t="shared" si="5"/>
        <v>0</v>
      </c>
      <c r="M193" s="22">
        <v>44317</v>
      </c>
      <c r="N193" s="44" t="s">
        <v>45</v>
      </c>
      <c r="O193" s="23" t="s">
        <v>16</v>
      </c>
      <c r="P193" s="24" t="s">
        <v>17</v>
      </c>
      <c r="Q193" s="23" t="s">
        <v>291</v>
      </c>
    </row>
    <row r="194" spans="1:17">
      <c r="A194" s="14">
        <v>190</v>
      </c>
      <c r="B194" s="15" t="s">
        <v>292</v>
      </c>
      <c r="C194" s="16">
        <f>'Медикаменты Апрель'!L192</f>
        <v>0</v>
      </c>
      <c r="D194" s="17"/>
      <c r="E194" s="14"/>
      <c r="F194" s="18"/>
      <c r="G194" s="19"/>
      <c r="H194" s="20"/>
      <c r="I194" s="21"/>
      <c r="J194" s="14"/>
      <c r="K194" s="14">
        <f t="shared" si="4"/>
        <v>0</v>
      </c>
      <c r="L194" s="16">
        <f t="shared" si="5"/>
        <v>0</v>
      </c>
      <c r="M194" s="22">
        <v>44197</v>
      </c>
      <c r="N194" s="44"/>
      <c r="O194" s="23" t="s">
        <v>16</v>
      </c>
      <c r="P194" s="24"/>
      <c r="Q194" s="23" t="s">
        <v>293</v>
      </c>
    </row>
    <row r="195" spans="1:17">
      <c r="A195" s="14">
        <v>191</v>
      </c>
      <c r="B195" s="15" t="s">
        <v>292</v>
      </c>
      <c r="C195" s="16">
        <f>'Медикаменты Апрель'!L193</f>
        <v>34</v>
      </c>
      <c r="D195" s="17"/>
      <c r="E195" s="14"/>
      <c r="F195" s="18">
        <f>5+3+5</f>
        <v>13</v>
      </c>
      <c r="G195" s="19"/>
      <c r="H195" s="20"/>
      <c r="I195" s="21"/>
      <c r="J195" s="14"/>
      <c r="K195" s="14">
        <f t="shared" si="4"/>
        <v>13</v>
      </c>
      <c r="L195" s="16">
        <f t="shared" si="5"/>
        <v>21</v>
      </c>
      <c r="M195" s="22">
        <v>44713</v>
      </c>
      <c r="N195" s="44" t="s">
        <v>45</v>
      </c>
      <c r="O195" s="23" t="s">
        <v>16</v>
      </c>
      <c r="P195" s="24" t="s">
        <v>45</v>
      </c>
      <c r="Q195" s="23" t="s">
        <v>293</v>
      </c>
    </row>
    <row r="196" spans="1:17">
      <c r="A196" s="14">
        <v>192</v>
      </c>
      <c r="B196" s="15" t="s">
        <v>294</v>
      </c>
      <c r="C196" s="16">
        <f>'Медикаменты Апрель'!L194</f>
        <v>0</v>
      </c>
      <c r="D196" s="17"/>
      <c r="E196" s="14"/>
      <c r="F196" s="18"/>
      <c r="G196" s="19"/>
      <c r="H196" s="20"/>
      <c r="I196" s="21"/>
      <c r="J196" s="14"/>
      <c r="K196" s="14">
        <f t="shared" si="4"/>
        <v>0</v>
      </c>
      <c r="L196" s="16">
        <f t="shared" si="5"/>
        <v>0</v>
      </c>
      <c r="M196" s="22">
        <v>44409</v>
      </c>
      <c r="N196" s="44" t="s">
        <v>45</v>
      </c>
      <c r="O196" s="23" t="s">
        <v>16</v>
      </c>
      <c r="P196" s="24" t="s">
        <v>45</v>
      </c>
      <c r="Q196" s="23" t="s">
        <v>295</v>
      </c>
    </row>
    <row r="197" spans="1:17">
      <c r="A197" s="14">
        <v>193</v>
      </c>
      <c r="B197" s="15" t="s">
        <v>296</v>
      </c>
      <c r="C197" s="16">
        <f>'Медикаменты Апрель'!L195</f>
        <v>0</v>
      </c>
      <c r="D197" s="17"/>
      <c r="E197" s="14"/>
      <c r="F197" s="18"/>
      <c r="G197" s="19"/>
      <c r="H197" s="20"/>
      <c r="I197" s="21"/>
      <c r="J197" s="14"/>
      <c r="K197" s="14">
        <f t="shared" ref="K197:K260" si="6">SUM(F197:J197)</f>
        <v>0</v>
      </c>
      <c r="L197" s="16">
        <f t="shared" ref="L197:L260" si="7">(C197+E197)-K197</f>
        <v>0</v>
      </c>
      <c r="M197" s="22"/>
      <c r="N197" s="44"/>
      <c r="O197" s="23" t="s">
        <v>16</v>
      </c>
      <c r="P197" s="24"/>
      <c r="Q197" s="25"/>
    </row>
    <row r="198" spans="1:17">
      <c r="A198" s="14">
        <v>194</v>
      </c>
      <c r="B198" s="15" t="s">
        <v>297</v>
      </c>
      <c r="C198" s="16">
        <f>'Медикаменты Апрель'!L196</f>
        <v>0</v>
      </c>
      <c r="D198" s="17"/>
      <c r="E198" s="14"/>
      <c r="F198" s="18"/>
      <c r="G198" s="19"/>
      <c r="H198" s="20"/>
      <c r="I198" s="21"/>
      <c r="J198" s="14"/>
      <c r="K198" s="14">
        <f t="shared" si="6"/>
        <v>0</v>
      </c>
      <c r="L198" s="16">
        <f t="shared" si="7"/>
        <v>0</v>
      </c>
      <c r="M198" s="22"/>
      <c r="N198" s="44"/>
      <c r="O198" s="23" t="s">
        <v>16</v>
      </c>
      <c r="P198" s="24"/>
      <c r="Q198" s="25"/>
    </row>
    <row r="199" spans="1:17" ht="25.5">
      <c r="A199" s="14">
        <v>195</v>
      </c>
      <c r="B199" s="15" t="s">
        <v>298</v>
      </c>
      <c r="C199" s="16">
        <f>'Медикаменты Апрель'!L197</f>
        <v>0</v>
      </c>
      <c r="D199" s="17"/>
      <c r="E199" s="14"/>
      <c r="F199" s="18"/>
      <c r="G199" s="19"/>
      <c r="H199" s="20"/>
      <c r="I199" s="21"/>
      <c r="J199" s="14"/>
      <c r="K199" s="14">
        <f t="shared" si="6"/>
        <v>0</v>
      </c>
      <c r="L199" s="16">
        <f t="shared" si="7"/>
        <v>0</v>
      </c>
      <c r="M199" s="22">
        <v>44593</v>
      </c>
      <c r="N199" s="44"/>
      <c r="O199" s="23" t="s">
        <v>26</v>
      </c>
      <c r="P199" s="24"/>
      <c r="Q199" s="23"/>
    </row>
    <row r="200" spans="1:17">
      <c r="A200" s="14">
        <v>196</v>
      </c>
      <c r="B200" s="15" t="s">
        <v>299</v>
      </c>
      <c r="C200" s="16">
        <f>'Медикаменты Апрель'!L198</f>
        <v>0</v>
      </c>
      <c r="D200" s="17"/>
      <c r="E200" s="14"/>
      <c r="F200" s="18"/>
      <c r="G200" s="19"/>
      <c r="H200" s="20"/>
      <c r="I200" s="21"/>
      <c r="J200" s="14"/>
      <c r="K200" s="14">
        <f t="shared" si="6"/>
        <v>0</v>
      </c>
      <c r="L200" s="16">
        <f t="shared" si="7"/>
        <v>0</v>
      </c>
      <c r="M200" s="22">
        <v>44256</v>
      </c>
      <c r="N200" s="44"/>
      <c r="O200" s="23" t="s">
        <v>16</v>
      </c>
      <c r="P200" s="24"/>
      <c r="Q200" s="23" t="s">
        <v>300</v>
      </c>
    </row>
    <row r="201" spans="1:17">
      <c r="A201" s="14">
        <v>197</v>
      </c>
      <c r="B201" s="15" t="s">
        <v>301</v>
      </c>
      <c r="C201" s="16">
        <f>'Медикаменты Апрель'!L199</f>
        <v>0</v>
      </c>
      <c r="D201" s="17"/>
      <c r="E201" s="14"/>
      <c r="F201" s="18"/>
      <c r="G201" s="19"/>
      <c r="H201" s="20"/>
      <c r="I201" s="21"/>
      <c r="J201" s="14"/>
      <c r="K201" s="14">
        <f t="shared" si="6"/>
        <v>0</v>
      </c>
      <c r="L201" s="16">
        <f t="shared" si="7"/>
        <v>0</v>
      </c>
      <c r="M201" s="22"/>
      <c r="N201" s="44"/>
      <c r="O201" s="23" t="s">
        <v>16</v>
      </c>
      <c r="P201" s="24"/>
      <c r="Q201" s="25"/>
    </row>
    <row r="202" spans="1:17">
      <c r="A202" s="14">
        <v>198</v>
      </c>
      <c r="B202" s="15" t="s">
        <v>559</v>
      </c>
      <c r="C202" s="16">
        <f>'Медикаменты Апрель'!L200</f>
        <v>50</v>
      </c>
      <c r="D202" s="17"/>
      <c r="E202" s="14"/>
      <c r="F202" s="18"/>
      <c r="G202" s="19"/>
      <c r="H202" s="20"/>
      <c r="I202" s="21"/>
      <c r="J202" s="14"/>
      <c r="K202" s="14">
        <f t="shared" si="6"/>
        <v>0</v>
      </c>
      <c r="L202" s="16">
        <f t="shared" si="7"/>
        <v>50</v>
      </c>
      <c r="M202" s="22">
        <v>45352</v>
      </c>
      <c r="N202" s="44" t="s">
        <v>551</v>
      </c>
      <c r="O202" s="23" t="s">
        <v>16</v>
      </c>
      <c r="P202" s="24" t="s">
        <v>17</v>
      </c>
      <c r="Q202" s="28" t="s">
        <v>560</v>
      </c>
    </row>
    <row r="203" spans="1:17">
      <c r="A203" s="14">
        <v>199</v>
      </c>
      <c r="B203" s="15" t="s">
        <v>303</v>
      </c>
      <c r="C203" s="16">
        <f>'Медикаменты Апрель'!L201</f>
        <v>0</v>
      </c>
      <c r="D203" s="17"/>
      <c r="E203" s="14"/>
      <c r="F203" s="18"/>
      <c r="G203" s="19"/>
      <c r="H203" s="20"/>
      <c r="I203" s="21"/>
      <c r="J203" s="14"/>
      <c r="K203" s="14">
        <f t="shared" si="6"/>
        <v>0</v>
      </c>
      <c r="L203" s="16">
        <f t="shared" si="7"/>
        <v>0</v>
      </c>
      <c r="M203" s="22"/>
      <c r="N203" s="44"/>
      <c r="O203" s="23" t="s">
        <v>16</v>
      </c>
      <c r="P203" s="24"/>
      <c r="Q203" s="25"/>
    </row>
    <row r="204" spans="1:17">
      <c r="A204" s="14">
        <v>200</v>
      </c>
      <c r="B204" s="15" t="s">
        <v>304</v>
      </c>
      <c r="C204" s="16">
        <f>'Медикаменты Апрель'!L202</f>
        <v>0</v>
      </c>
      <c r="D204" s="17"/>
      <c r="E204" s="14"/>
      <c r="F204" s="18"/>
      <c r="G204" s="19"/>
      <c r="H204" s="20"/>
      <c r="I204" s="21"/>
      <c r="J204" s="14"/>
      <c r="K204" s="14">
        <f t="shared" si="6"/>
        <v>0</v>
      </c>
      <c r="L204" s="16">
        <f t="shared" si="7"/>
        <v>0</v>
      </c>
      <c r="M204" s="22">
        <v>45261</v>
      </c>
      <c r="N204" s="44"/>
      <c r="O204" s="23" t="s">
        <v>16</v>
      </c>
      <c r="P204" s="24"/>
      <c r="Q204" s="23" t="s">
        <v>305</v>
      </c>
    </row>
    <row r="205" spans="1:17">
      <c r="A205" s="14">
        <v>201</v>
      </c>
      <c r="B205" s="15" t="s">
        <v>304</v>
      </c>
      <c r="C205" s="16">
        <f>'Медикаменты Апрель'!L203</f>
        <v>760</v>
      </c>
      <c r="D205" s="17"/>
      <c r="E205" s="14"/>
      <c r="F205" s="18">
        <f>160+80+40</f>
        <v>280</v>
      </c>
      <c r="G205" s="19"/>
      <c r="H205" s="20"/>
      <c r="I205" s="21"/>
      <c r="J205" s="14"/>
      <c r="K205" s="14">
        <f t="shared" si="6"/>
        <v>280</v>
      </c>
      <c r="L205" s="16">
        <f t="shared" si="7"/>
        <v>480</v>
      </c>
      <c r="M205" s="22">
        <v>45413</v>
      </c>
      <c r="N205" s="44" t="s">
        <v>45</v>
      </c>
      <c r="O205" s="23" t="s">
        <v>26</v>
      </c>
      <c r="P205" s="24" t="s">
        <v>17</v>
      </c>
      <c r="Q205" s="23" t="s">
        <v>305</v>
      </c>
    </row>
    <row r="206" spans="1:17">
      <c r="A206" s="14">
        <v>202</v>
      </c>
      <c r="B206" s="15" t="s">
        <v>561</v>
      </c>
      <c r="C206" s="16">
        <f>'Медикаменты Апрель'!L204</f>
        <v>0</v>
      </c>
      <c r="D206" s="17"/>
      <c r="E206" s="14"/>
      <c r="F206" s="18"/>
      <c r="G206" s="19"/>
      <c r="H206" s="20"/>
      <c r="I206" s="21"/>
      <c r="J206" s="14"/>
      <c r="K206" s="14">
        <f t="shared" si="6"/>
        <v>0</v>
      </c>
      <c r="L206" s="16">
        <f t="shared" si="7"/>
        <v>0</v>
      </c>
      <c r="M206" s="22">
        <v>45689</v>
      </c>
      <c r="N206" s="44" t="s">
        <v>551</v>
      </c>
      <c r="O206" s="23" t="s">
        <v>26</v>
      </c>
      <c r="P206" s="24" t="s">
        <v>17</v>
      </c>
      <c r="Q206" s="23" t="s">
        <v>562</v>
      </c>
    </row>
    <row r="207" spans="1:17">
      <c r="A207" s="14">
        <v>203</v>
      </c>
      <c r="B207" s="15" t="s">
        <v>563</v>
      </c>
      <c r="C207" s="16">
        <f>'Медикаменты Апрель'!L205</f>
        <v>86</v>
      </c>
      <c r="D207" s="17"/>
      <c r="E207" s="14"/>
      <c r="F207" s="18"/>
      <c r="G207" s="19"/>
      <c r="H207" s="20"/>
      <c r="I207" s="21"/>
      <c r="J207" s="14"/>
      <c r="K207" s="14">
        <f t="shared" si="6"/>
        <v>0</v>
      </c>
      <c r="L207" s="16">
        <f t="shared" si="7"/>
        <v>86</v>
      </c>
      <c r="M207" s="22">
        <v>46023</v>
      </c>
      <c r="N207" s="44" t="s">
        <v>551</v>
      </c>
      <c r="O207" s="23" t="s">
        <v>16</v>
      </c>
      <c r="P207" s="24" t="s">
        <v>17</v>
      </c>
      <c r="Q207" s="23" t="s">
        <v>564</v>
      </c>
    </row>
    <row r="208" spans="1:17">
      <c r="A208" s="14">
        <v>204</v>
      </c>
      <c r="B208" s="15" t="s">
        <v>306</v>
      </c>
      <c r="C208" s="16">
        <f>'Медикаменты Апрель'!L206</f>
        <v>0</v>
      </c>
      <c r="D208" s="17"/>
      <c r="E208" s="14"/>
      <c r="F208" s="18"/>
      <c r="G208" s="19"/>
      <c r="H208" s="20"/>
      <c r="I208" s="21"/>
      <c r="J208" s="14"/>
      <c r="K208" s="14">
        <f t="shared" si="6"/>
        <v>0</v>
      </c>
      <c r="L208" s="16">
        <f t="shared" si="7"/>
        <v>0</v>
      </c>
      <c r="M208" s="22"/>
      <c r="N208" s="44"/>
      <c r="O208" s="23" t="s">
        <v>16</v>
      </c>
      <c r="P208" s="24"/>
      <c r="Q208" s="25"/>
    </row>
    <row r="209" spans="1:17">
      <c r="A209" s="14">
        <v>205</v>
      </c>
      <c r="B209" s="15" t="s">
        <v>307</v>
      </c>
      <c r="C209" s="16">
        <f>'Медикаменты Апрель'!L207</f>
        <v>0</v>
      </c>
      <c r="D209" s="17"/>
      <c r="E209" s="14"/>
      <c r="F209" s="18"/>
      <c r="G209" s="19"/>
      <c r="H209" s="20"/>
      <c r="I209" s="21"/>
      <c r="J209" s="14"/>
      <c r="K209" s="14">
        <f t="shared" si="6"/>
        <v>0</v>
      </c>
      <c r="L209" s="16">
        <f t="shared" si="7"/>
        <v>0</v>
      </c>
      <c r="M209" s="22"/>
      <c r="N209" s="44"/>
      <c r="O209" s="23" t="s">
        <v>16</v>
      </c>
      <c r="P209" s="24"/>
      <c r="Q209" s="25"/>
    </row>
    <row r="210" spans="1:17">
      <c r="A210" s="14">
        <v>206</v>
      </c>
      <c r="B210" s="15" t="s">
        <v>308</v>
      </c>
      <c r="C210" s="16">
        <f>'Медикаменты Апрель'!L208</f>
        <v>0</v>
      </c>
      <c r="D210" s="17"/>
      <c r="E210" s="14"/>
      <c r="F210" s="18"/>
      <c r="G210" s="19"/>
      <c r="H210" s="20"/>
      <c r="I210" s="21"/>
      <c r="J210" s="14"/>
      <c r="K210" s="14">
        <f t="shared" si="6"/>
        <v>0</v>
      </c>
      <c r="L210" s="16">
        <f t="shared" si="7"/>
        <v>0</v>
      </c>
      <c r="M210" s="22">
        <v>44136</v>
      </c>
      <c r="N210" s="44"/>
      <c r="O210" s="23" t="s">
        <v>16</v>
      </c>
      <c r="P210" s="24"/>
      <c r="Q210" s="23" t="s">
        <v>309</v>
      </c>
    </row>
    <row r="211" spans="1:17">
      <c r="A211" s="14">
        <v>207</v>
      </c>
      <c r="B211" s="15" t="s">
        <v>310</v>
      </c>
      <c r="C211" s="16">
        <f>'Медикаменты Апрель'!L209</f>
        <v>17</v>
      </c>
      <c r="D211" s="17"/>
      <c r="E211" s="14"/>
      <c r="F211" s="18"/>
      <c r="G211" s="19"/>
      <c r="H211" s="20"/>
      <c r="I211" s="21"/>
      <c r="J211" s="14"/>
      <c r="K211" s="14">
        <f t="shared" si="6"/>
        <v>0</v>
      </c>
      <c r="L211" s="16">
        <f t="shared" si="7"/>
        <v>17</v>
      </c>
      <c r="M211" s="22">
        <v>44652</v>
      </c>
      <c r="N211" s="44" t="s">
        <v>45</v>
      </c>
      <c r="O211" s="23" t="s">
        <v>16</v>
      </c>
      <c r="P211" s="24" t="s">
        <v>17</v>
      </c>
      <c r="Q211" s="28" t="s">
        <v>311</v>
      </c>
    </row>
    <row r="212" spans="1:17">
      <c r="A212" s="14">
        <v>208</v>
      </c>
      <c r="B212" s="15" t="s">
        <v>310</v>
      </c>
      <c r="C212" s="16">
        <f>'Медикаменты Апрель'!L210</f>
        <v>0</v>
      </c>
      <c r="D212" s="17"/>
      <c r="E212" s="14"/>
      <c r="F212" s="18"/>
      <c r="G212" s="19"/>
      <c r="H212" s="20"/>
      <c r="I212" s="21"/>
      <c r="J212" s="14"/>
      <c r="K212" s="14">
        <f t="shared" si="6"/>
        <v>0</v>
      </c>
      <c r="L212" s="16">
        <f t="shared" si="7"/>
        <v>0</v>
      </c>
      <c r="M212" s="22">
        <v>44652</v>
      </c>
      <c r="N212" s="44"/>
      <c r="O212" s="23" t="s">
        <v>26</v>
      </c>
      <c r="P212" s="24"/>
      <c r="Q212" s="28" t="s">
        <v>311</v>
      </c>
    </row>
    <row r="213" spans="1:17">
      <c r="A213" s="14">
        <v>209</v>
      </c>
      <c r="B213" s="15" t="s">
        <v>312</v>
      </c>
      <c r="C213" s="16">
        <f>'Медикаменты Апрель'!L211</f>
        <v>0</v>
      </c>
      <c r="D213" s="17"/>
      <c r="E213" s="14"/>
      <c r="F213" s="18"/>
      <c r="G213" s="19"/>
      <c r="H213" s="20"/>
      <c r="I213" s="21"/>
      <c r="J213" s="14"/>
      <c r="K213" s="14">
        <f t="shared" si="6"/>
        <v>0</v>
      </c>
      <c r="L213" s="16">
        <f t="shared" si="7"/>
        <v>0</v>
      </c>
      <c r="M213" s="22">
        <v>45658</v>
      </c>
      <c r="N213" s="44"/>
      <c r="O213" s="23" t="s">
        <v>16</v>
      </c>
      <c r="P213" s="24"/>
      <c r="Q213" s="28" t="s">
        <v>313</v>
      </c>
    </row>
    <row r="214" spans="1:17">
      <c r="A214" s="14">
        <v>210</v>
      </c>
      <c r="B214" s="15" t="s">
        <v>312</v>
      </c>
      <c r="C214" s="16">
        <f>'Медикаменты Апрель'!L212</f>
        <v>0</v>
      </c>
      <c r="D214" s="17"/>
      <c r="E214" s="14"/>
      <c r="F214" s="18"/>
      <c r="G214" s="19"/>
      <c r="H214" s="20"/>
      <c r="I214" s="21"/>
      <c r="J214" s="14"/>
      <c r="K214" s="14">
        <f t="shared" si="6"/>
        <v>0</v>
      </c>
      <c r="L214" s="16">
        <f t="shared" si="7"/>
        <v>0</v>
      </c>
      <c r="M214" s="22">
        <v>45658</v>
      </c>
      <c r="N214" s="44"/>
      <c r="O214" s="23" t="s">
        <v>26</v>
      </c>
      <c r="P214" s="24"/>
      <c r="Q214" s="28" t="s">
        <v>313</v>
      </c>
    </row>
    <row r="215" spans="1:17">
      <c r="A215" s="14">
        <v>211</v>
      </c>
      <c r="B215" s="15" t="s">
        <v>314</v>
      </c>
      <c r="C215" s="16">
        <f>'Медикаменты Апрель'!L213</f>
        <v>0</v>
      </c>
      <c r="D215" s="17"/>
      <c r="E215" s="14"/>
      <c r="F215" s="18"/>
      <c r="G215" s="19"/>
      <c r="H215" s="20"/>
      <c r="I215" s="21"/>
      <c r="J215" s="14"/>
      <c r="K215" s="14">
        <f t="shared" si="6"/>
        <v>0</v>
      </c>
      <c r="L215" s="16">
        <f t="shared" si="7"/>
        <v>0</v>
      </c>
      <c r="M215" s="22">
        <v>44562</v>
      </c>
      <c r="N215" s="44"/>
      <c r="O215" s="23" t="s">
        <v>16</v>
      </c>
      <c r="P215" s="24"/>
      <c r="Q215" s="23" t="s">
        <v>315</v>
      </c>
    </row>
    <row r="216" spans="1:17">
      <c r="A216" s="14">
        <v>212</v>
      </c>
      <c r="B216" s="15" t="s">
        <v>316</v>
      </c>
      <c r="C216" s="16">
        <f>'Медикаменты Апрель'!L214</f>
        <v>0</v>
      </c>
      <c r="D216" s="17"/>
      <c r="E216" s="14"/>
      <c r="F216" s="18"/>
      <c r="G216" s="19"/>
      <c r="H216" s="20"/>
      <c r="I216" s="21"/>
      <c r="J216" s="14"/>
      <c r="K216" s="14">
        <f t="shared" si="6"/>
        <v>0</v>
      </c>
      <c r="L216" s="16">
        <f t="shared" si="7"/>
        <v>0</v>
      </c>
      <c r="M216" s="22"/>
      <c r="N216" s="44"/>
      <c r="O216" s="23" t="s">
        <v>16</v>
      </c>
      <c r="P216" s="24"/>
      <c r="Q216" s="25"/>
    </row>
    <row r="217" spans="1:17">
      <c r="A217" s="14">
        <v>213</v>
      </c>
      <c r="B217" s="29" t="s">
        <v>317</v>
      </c>
      <c r="C217" s="16">
        <f>'Медикаменты Апрель'!L215</f>
        <v>0</v>
      </c>
      <c r="D217" s="17"/>
      <c r="E217" s="14"/>
      <c r="F217" s="18"/>
      <c r="G217" s="19"/>
      <c r="H217" s="20"/>
      <c r="I217" s="21"/>
      <c r="J217" s="14"/>
      <c r="K217" s="14">
        <f t="shared" si="6"/>
        <v>0</v>
      </c>
      <c r="L217" s="16">
        <f t="shared" si="7"/>
        <v>0</v>
      </c>
      <c r="M217" s="22"/>
      <c r="N217" s="44"/>
      <c r="O217" s="23" t="s">
        <v>16</v>
      </c>
      <c r="P217" s="24"/>
      <c r="Q217" s="25"/>
    </row>
    <row r="218" spans="1:17">
      <c r="A218" s="14">
        <v>214</v>
      </c>
      <c r="B218" s="29" t="s">
        <v>318</v>
      </c>
      <c r="C218" s="16">
        <f>'Медикаменты Апрель'!L216</f>
        <v>0</v>
      </c>
      <c r="D218" s="17"/>
      <c r="E218" s="14"/>
      <c r="F218" s="18"/>
      <c r="G218" s="19"/>
      <c r="H218" s="20"/>
      <c r="I218" s="21"/>
      <c r="J218" s="14"/>
      <c r="K218" s="14">
        <f t="shared" si="6"/>
        <v>0</v>
      </c>
      <c r="L218" s="16">
        <f t="shared" si="7"/>
        <v>0</v>
      </c>
      <c r="M218" s="22"/>
      <c r="N218" s="44"/>
      <c r="O218" s="23" t="s">
        <v>16</v>
      </c>
      <c r="P218" s="24"/>
      <c r="Q218" s="25"/>
    </row>
    <row r="219" spans="1:17">
      <c r="A219" s="14">
        <v>215</v>
      </c>
      <c r="B219" s="29" t="s">
        <v>319</v>
      </c>
      <c r="C219" s="16">
        <f>'Медикаменты Апрель'!L217</f>
        <v>0</v>
      </c>
      <c r="D219" s="17"/>
      <c r="E219" s="14"/>
      <c r="F219" s="18"/>
      <c r="G219" s="19"/>
      <c r="H219" s="20"/>
      <c r="I219" s="21"/>
      <c r="J219" s="14"/>
      <c r="K219" s="14">
        <f t="shared" si="6"/>
        <v>0</v>
      </c>
      <c r="L219" s="16">
        <f t="shared" si="7"/>
        <v>0</v>
      </c>
      <c r="M219" s="22"/>
      <c r="N219" s="44"/>
      <c r="O219" s="23" t="s">
        <v>16</v>
      </c>
      <c r="P219" s="24"/>
      <c r="Q219" s="25"/>
    </row>
    <row r="220" spans="1:17">
      <c r="A220" s="14">
        <v>216</v>
      </c>
      <c r="B220" s="29" t="s">
        <v>320</v>
      </c>
      <c r="C220" s="16">
        <f>'Медикаменты Апрель'!L218</f>
        <v>0</v>
      </c>
      <c r="D220" s="17"/>
      <c r="E220" s="14"/>
      <c r="F220" s="18"/>
      <c r="G220" s="19"/>
      <c r="H220" s="20"/>
      <c r="I220" s="21"/>
      <c r="J220" s="14"/>
      <c r="K220" s="14">
        <f t="shared" si="6"/>
        <v>0</v>
      </c>
      <c r="L220" s="16">
        <f t="shared" si="7"/>
        <v>0</v>
      </c>
      <c r="M220" s="22">
        <v>44652</v>
      </c>
      <c r="N220" s="44"/>
      <c r="O220" s="23" t="s">
        <v>16</v>
      </c>
      <c r="P220" s="24" t="s">
        <v>17</v>
      </c>
      <c r="Q220" s="28" t="s">
        <v>321</v>
      </c>
    </row>
    <row r="221" spans="1:17">
      <c r="A221" s="14">
        <v>217</v>
      </c>
      <c r="B221" s="29" t="s">
        <v>322</v>
      </c>
      <c r="C221" s="16">
        <f>'Медикаменты Апрель'!L219</f>
        <v>0</v>
      </c>
      <c r="D221" s="17"/>
      <c r="E221" s="14"/>
      <c r="F221" s="18"/>
      <c r="G221" s="19"/>
      <c r="H221" s="20"/>
      <c r="I221" s="21"/>
      <c r="J221" s="14"/>
      <c r="K221" s="14">
        <f t="shared" si="6"/>
        <v>0</v>
      </c>
      <c r="L221" s="16">
        <f t="shared" si="7"/>
        <v>0</v>
      </c>
      <c r="M221" s="22"/>
      <c r="N221" s="44"/>
      <c r="O221" s="23" t="s">
        <v>16</v>
      </c>
      <c r="P221" s="24"/>
      <c r="Q221" s="25"/>
    </row>
    <row r="222" spans="1:17">
      <c r="A222" s="14">
        <v>218</v>
      </c>
      <c r="B222" s="29" t="s">
        <v>323</v>
      </c>
      <c r="C222" s="16">
        <f>'Медикаменты Апрель'!L220</f>
        <v>0</v>
      </c>
      <c r="D222" s="17"/>
      <c r="E222" s="14"/>
      <c r="F222" s="18"/>
      <c r="G222" s="19"/>
      <c r="H222" s="20"/>
      <c r="I222" s="21"/>
      <c r="J222" s="14"/>
      <c r="K222" s="14">
        <f t="shared" si="6"/>
        <v>0</v>
      </c>
      <c r="L222" s="16">
        <f t="shared" si="7"/>
        <v>0</v>
      </c>
      <c r="M222" s="22"/>
      <c r="N222" s="44"/>
      <c r="O222" s="23" t="s">
        <v>16</v>
      </c>
      <c r="P222" s="24"/>
      <c r="Q222" s="25"/>
    </row>
    <row r="223" spans="1:17">
      <c r="A223" s="14">
        <v>219</v>
      </c>
      <c r="B223" s="29" t="s">
        <v>555</v>
      </c>
      <c r="C223" s="16">
        <f>'Медикаменты Апрель'!L221</f>
        <v>36</v>
      </c>
      <c r="D223" s="17"/>
      <c r="E223" s="14"/>
      <c r="F223" s="18">
        <f>5+5</f>
        <v>10</v>
      </c>
      <c r="G223" s="19"/>
      <c r="H223" s="20"/>
      <c r="I223" s="21"/>
      <c r="J223" s="14"/>
      <c r="K223" s="14">
        <f t="shared" si="6"/>
        <v>10</v>
      </c>
      <c r="L223" s="16">
        <f t="shared" si="7"/>
        <v>26</v>
      </c>
      <c r="M223" s="22">
        <v>45017</v>
      </c>
      <c r="N223" s="44" t="s">
        <v>45</v>
      </c>
      <c r="O223" s="23" t="s">
        <v>16</v>
      </c>
      <c r="P223" s="24" t="s">
        <v>17</v>
      </c>
      <c r="Q223" s="23" t="s">
        <v>325</v>
      </c>
    </row>
    <row r="224" spans="1:17">
      <c r="A224" s="14">
        <v>220</v>
      </c>
      <c r="B224" s="29" t="s">
        <v>326</v>
      </c>
      <c r="C224" s="16">
        <f>'Медикаменты Апрель'!L222</f>
        <v>0</v>
      </c>
      <c r="D224" s="17"/>
      <c r="E224" s="14"/>
      <c r="F224" s="18"/>
      <c r="G224" s="19"/>
      <c r="H224" s="20"/>
      <c r="I224" s="21"/>
      <c r="J224" s="14"/>
      <c r="K224" s="14">
        <f t="shared" si="6"/>
        <v>0</v>
      </c>
      <c r="L224" s="16">
        <f t="shared" si="7"/>
        <v>0</v>
      </c>
      <c r="M224" s="22"/>
      <c r="N224" s="44"/>
      <c r="O224" s="23" t="s">
        <v>16</v>
      </c>
      <c r="P224" s="24"/>
      <c r="Q224" s="25"/>
    </row>
    <row r="225" spans="1:17">
      <c r="A225" s="14">
        <v>221</v>
      </c>
      <c r="B225" s="29" t="s">
        <v>327</v>
      </c>
      <c r="C225" s="16">
        <f>'Медикаменты Апрель'!L223</f>
        <v>32</v>
      </c>
      <c r="D225" s="17"/>
      <c r="E225" s="14"/>
      <c r="F225" s="18">
        <f>3+8+5</f>
        <v>16</v>
      </c>
      <c r="G225" s="19"/>
      <c r="H225" s="20">
        <f>15</f>
        <v>15</v>
      </c>
      <c r="I225" s="21"/>
      <c r="J225" s="14"/>
      <c r="K225" s="14">
        <f t="shared" si="6"/>
        <v>31</v>
      </c>
      <c r="L225" s="16">
        <f t="shared" si="7"/>
        <v>1</v>
      </c>
      <c r="M225" s="22">
        <v>44774</v>
      </c>
      <c r="N225" s="44" t="s">
        <v>45</v>
      </c>
      <c r="O225" s="23" t="s">
        <v>16</v>
      </c>
      <c r="P225" s="24" t="s">
        <v>17</v>
      </c>
      <c r="Q225" s="23" t="s">
        <v>328</v>
      </c>
    </row>
    <row r="226" spans="1:17">
      <c r="A226" s="14">
        <v>222</v>
      </c>
      <c r="B226" s="29" t="s">
        <v>327</v>
      </c>
      <c r="C226" s="16">
        <f>'Медикаменты Апрель'!L224</f>
        <v>0</v>
      </c>
      <c r="D226" s="17"/>
      <c r="E226" s="14"/>
      <c r="F226" s="18"/>
      <c r="G226" s="19"/>
      <c r="H226" s="20"/>
      <c r="I226" s="21"/>
      <c r="J226" s="14"/>
      <c r="K226" s="14">
        <f t="shared" si="6"/>
        <v>0</v>
      </c>
      <c r="L226" s="16">
        <f t="shared" si="7"/>
        <v>0</v>
      </c>
      <c r="M226" s="22">
        <v>44743</v>
      </c>
      <c r="N226" s="44"/>
      <c r="O226" s="23" t="s">
        <v>16</v>
      </c>
      <c r="P226" s="24" t="s">
        <v>17</v>
      </c>
      <c r="Q226" s="23" t="s">
        <v>328</v>
      </c>
    </row>
    <row r="227" spans="1:17">
      <c r="A227" s="14">
        <v>223</v>
      </c>
      <c r="B227" s="29" t="s">
        <v>327</v>
      </c>
      <c r="C227" s="16">
        <f>'Медикаменты Апрель'!L225</f>
        <v>25</v>
      </c>
      <c r="D227" s="17"/>
      <c r="E227" s="14"/>
      <c r="F227" s="18"/>
      <c r="G227" s="19"/>
      <c r="H227" s="20"/>
      <c r="I227" s="21"/>
      <c r="J227" s="14"/>
      <c r="K227" s="14">
        <f t="shared" si="6"/>
        <v>0</v>
      </c>
      <c r="L227" s="16">
        <f t="shared" si="7"/>
        <v>25</v>
      </c>
      <c r="M227" s="22">
        <v>44774</v>
      </c>
      <c r="N227" s="44" t="s">
        <v>45</v>
      </c>
      <c r="O227" s="23" t="s">
        <v>26</v>
      </c>
      <c r="P227" s="24" t="s">
        <v>17</v>
      </c>
      <c r="Q227" s="23" t="s">
        <v>328</v>
      </c>
    </row>
    <row r="228" spans="1:17">
      <c r="A228" s="14">
        <v>224</v>
      </c>
      <c r="B228" s="29" t="s">
        <v>329</v>
      </c>
      <c r="C228" s="16">
        <f>'Медикаменты Апрель'!L226</f>
        <v>0</v>
      </c>
      <c r="D228" s="17"/>
      <c r="E228" s="14"/>
      <c r="F228" s="18"/>
      <c r="G228" s="19"/>
      <c r="H228" s="20"/>
      <c r="I228" s="21"/>
      <c r="J228" s="14"/>
      <c r="K228" s="14">
        <f t="shared" si="6"/>
        <v>0</v>
      </c>
      <c r="L228" s="16">
        <f t="shared" si="7"/>
        <v>0</v>
      </c>
      <c r="M228" s="22">
        <v>44713</v>
      </c>
      <c r="N228" s="44"/>
      <c r="O228" s="23" t="s">
        <v>16</v>
      </c>
      <c r="P228" s="24"/>
      <c r="Q228" s="23" t="s">
        <v>330</v>
      </c>
    </row>
    <row r="229" spans="1:17">
      <c r="A229" s="14">
        <v>225</v>
      </c>
      <c r="B229" s="29" t="s">
        <v>331</v>
      </c>
      <c r="C229" s="16">
        <f>'Медикаменты Апрель'!L227</f>
        <v>0</v>
      </c>
      <c r="D229" s="17"/>
      <c r="E229" s="14"/>
      <c r="F229" s="18"/>
      <c r="G229" s="19"/>
      <c r="H229" s="20"/>
      <c r="I229" s="21"/>
      <c r="J229" s="14"/>
      <c r="K229" s="14">
        <f t="shared" si="6"/>
        <v>0</v>
      </c>
      <c r="L229" s="16">
        <f t="shared" si="7"/>
        <v>0</v>
      </c>
      <c r="M229" s="22">
        <v>44317</v>
      </c>
      <c r="N229" s="44"/>
      <c r="O229" s="23" t="s">
        <v>16</v>
      </c>
      <c r="P229" s="24" t="s">
        <v>45</v>
      </c>
      <c r="Q229" s="23" t="s">
        <v>332</v>
      </c>
    </row>
    <row r="230" spans="1:17">
      <c r="A230" s="14">
        <v>226</v>
      </c>
      <c r="B230" s="29" t="s">
        <v>333</v>
      </c>
      <c r="C230" s="16">
        <f>'Медикаменты Апрель'!L228</f>
        <v>0</v>
      </c>
      <c r="D230" s="17"/>
      <c r="E230" s="14"/>
      <c r="F230" s="18"/>
      <c r="G230" s="19"/>
      <c r="H230" s="20"/>
      <c r="I230" s="21"/>
      <c r="J230" s="14"/>
      <c r="K230" s="14">
        <f t="shared" si="6"/>
        <v>0</v>
      </c>
      <c r="L230" s="16">
        <f t="shared" si="7"/>
        <v>0</v>
      </c>
      <c r="M230" s="22">
        <v>44348</v>
      </c>
      <c r="N230" s="44"/>
      <c r="O230" s="23" t="s">
        <v>16</v>
      </c>
      <c r="P230" s="24"/>
      <c r="Q230" s="23" t="s">
        <v>334</v>
      </c>
    </row>
    <row r="231" spans="1:17">
      <c r="A231" s="14">
        <v>227</v>
      </c>
      <c r="B231" s="29" t="s">
        <v>335</v>
      </c>
      <c r="C231" s="16">
        <f>'Медикаменты Апрель'!L229</f>
        <v>0</v>
      </c>
      <c r="D231" s="17"/>
      <c r="E231" s="14"/>
      <c r="F231" s="18"/>
      <c r="G231" s="19"/>
      <c r="H231" s="20"/>
      <c r="I231" s="21"/>
      <c r="J231" s="14"/>
      <c r="K231" s="14">
        <f t="shared" si="6"/>
        <v>0</v>
      </c>
      <c r="L231" s="16">
        <f t="shared" si="7"/>
        <v>0</v>
      </c>
      <c r="M231" s="22">
        <v>44348</v>
      </c>
      <c r="N231" s="44"/>
      <c r="O231" s="23" t="s">
        <v>16</v>
      </c>
      <c r="P231" s="24"/>
      <c r="Q231" s="25"/>
    </row>
    <row r="232" spans="1:17">
      <c r="A232" s="14">
        <v>228</v>
      </c>
      <c r="B232" s="29" t="s">
        <v>336</v>
      </c>
      <c r="C232" s="16">
        <f>'Медикаменты Апрель'!L230</f>
        <v>102</v>
      </c>
      <c r="D232" s="17"/>
      <c r="E232" s="14"/>
      <c r="F232" s="18"/>
      <c r="G232" s="19"/>
      <c r="H232" s="20"/>
      <c r="I232" s="21"/>
      <c r="J232" s="14">
        <f>2</f>
        <v>2</v>
      </c>
      <c r="K232" s="14">
        <f t="shared" si="6"/>
        <v>2</v>
      </c>
      <c r="L232" s="16">
        <f t="shared" si="7"/>
        <v>100</v>
      </c>
      <c r="M232" s="22">
        <v>45413</v>
      </c>
      <c r="N232" s="44" t="s">
        <v>45</v>
      </c>
      <c r="O232" s="23" t="s">
        <v>16</v>
      </c>
      <c r="P232" s="24" t="s">
        <v>17</v>
      </c>
      <c r="Q232" s="23" t="s">
        <v>337</v>
      </c>
    </row>
    <row r="233" spans="1:17">
      <c r="A233" s="14">
        <v>229</v>
      </c>
      <c r="B233" s="29" t="s">
        <v>338</v>
      </c>
      <c r="C233" s="16">
        <f>'Медикаменты Апрель'!L231</f>
        <v>0</v>
      </c>
      <c r="D233" s="17"/>
      <c r="E233" s="14"/>
      <c r="F233" s="18"/>
      <c r="G233" s="19"/>
      <c r="H233" s="20"/>
      <c r="I233" s="21"/>
      <c r="J233" s="14"/>
      <c r="K233" s="14">
        <f t="shared" si="6"/>
        <v>0</v>
      </c>
      <c r="L233" s="16">
        <f t="shared" si="7"/>
        <v>0</v>
      </c>
      <c r="M233" s="22">
        <v>44562</v>
      </c>
      <c r="N233" s="44"/>
      <c r="O233" s="23" t="s">
        <v>16</v>
      </c>
      <c r="P233" s="24"/>
      <c r="Q233" s="23" t="s">
        <v>339</v>
      </c>
    </row>
    <row r="234" spans="1:17">
      <c r="A234" s="14">
        <v>230</v>
      </c>
      <c r="B234" s="29" t="s">
        <v>340</v>
      </c>
      <c r="C234" s="16">
        <f>'Медикаменты Апрель'!L232</f>
        <v>0</v>
      </c>
      <c r="D234" s="17"/>
      <c r="E234" s="14"/>
      <c r="F234" s="18"/>
      <c r="G234" s="19"/>
      <c r="H234" s="20"/>
      <c r="I234" s="21"/>
      <c r="J234" s="14"/>
      <c r="K234" s="14">
        <f t="shared" si="6"/>
        <v>0</v>
      </c>
      <c r="L234" s="16">
        <f t="shared" si="7"/>
        <v>0</v>
      </c>
      <c r="M234" s="22"/>
      <c r="N234" s="44"/>
      <c r="O234" s="23" t="s">
        <v>16</v>
      </c>
      <c r="P234" s="24"/>
      <c r="Q234" s="25"/>
    </row>
    <row r="235" spans="1:17">
      <c r="A235" s="14">
        <v>231</v>
      </c>
      <c r="B235" s="29" t="s">
        <v>341</v>
      </c>
      <c r="C235" s="16">
        <f>'Медикаменты Апрель'!L233</f>
        <v>57</v>
      </c>
      <c r="D235" s="17"/>
      <c r="E235" s="14"/>
      <c r="F235" s="18">
        <f>10</f>
        <v>10</v>
      </c>
      <c r="G235" s="19"/>
      <c r="H235" s="20"/>
      <c r="I235" s="21"/>
      <c r="J235" s="14"/>
      <c r="K235" s="14">
        <f t="shared" si="6"/>
        <v>10</v>
      </c>
      <c r="L235" s="16">
        <f t="shared" si="7"/>
        <v>47</v>
      </c>
      <c r="M235" s="22">
        <v>45108</v>
      </c>
      <c r="N235" s="44" t="s">
        <v>45</v>
      </c>
      <c r="O235" s="23" t="s">
        <v>16</v>
      </c>
      <c r="P235" s="24" t="s">
        <v>17</v>
      </c>
      <c r="Q235" s="28" t="s">
        <v>342</v>
      </c>
    </row>
    <row r="236" spans="1:17">
      <c r="A236" s="14">
        <v>232</v>
      </c>
      <c r="B236" s="29" t="s">
        <v>343</v>
      </c>
      <c r="C236" s="16">
        <f>'Медикаменты Апрель'!L234</f>
        <v>0</v>
      </c>
      <c r="D236" s="17"/>
      <c r="E236" s="14"/>
      <c r="F236" s="18"/>
      <c r="G236" s="19"/>
      <c r="H236" s="20"/>
      <c r="I236" s="21"/>
      <c r="J236" s="14"/>
      <c r="K236" s="14">
        <f t="shared" si="6"/>
        <v>0</v>
      </c>
      <c r="L236" s="16">
        <f t="shared" si="7"/>
        <v>0</v>
      </c>
      <c r="M236" s="22">
        <v>44835</v>
      </c>
      <c r="N236" s="44"/>
      <c r="O236" s="23" t="s">
        <v>16</v>
      </c>
      <c r="P236" s="24" t="s">
        <v>17</v>
      </c>
      <c r="Q236" s="28" t="s">
        <v>344</v>
      </c>
    </row>
    <row r="237" spans="1:17">
      <c r="A237" s="14">
        <v>233</v>
      </c>
      <c r="B237" s="29" t="s">
        <v>343</v>
      </c>
      <c r="C237" s="16">
        <f>'Медикаменты Апрель'!L235</f>
        <v>0</v>
      </c>
      <c r="D237" s="17"/>
      <c r="E237" s="14"/>
      <c r="F237" s="18"/>
      <c r="G237" s="19"/>
      <c r="H237" s="20"/>
      <c r="I237" s="21"/>
      <c r="J237" s="14"/>
      <c r="K237" s="14">
        <f t="shared" si="6"/>
        <v>0</v>
      </c>
      <c r="L237" s="16">
        <f t="shared" si="7"/>
        <v>0</v>
      </c>
      <c r="M237" s="22">
        <v>44835</v>
      </c>
      <c r="N237" s="44"/>
      <c r="O237" s="23" t="s">
        <v>26</v>
      </c>
      <c r="P237" s="24"/>
      <c r="Q237" s="28" t="s">
        <v>344</v>
      </c>
    </row>
    <row r="238" spans="1:17">
      <c r="A238" s="14">
        <v>234</v>
      </c>
      <c r="B238" s="29" t="s">
        <v>345</v>
      </c>
      <c r="C238" s="16">
        <f>'Медикаменты Апрель'!L236</f>
        <v>0</v>
      </c>
      <c r="D238" s="17"/>
      <c r="E238" s="14">
        <f>100</f>
        <v>100</v>
      </c>
      <c r="F238" s="18"/>
      <c r="G238" s="19"/>
      <c r="H238" s="20"/>
      <c r="I238" s="21"/>
      <c r="J238" s="14"/>
      <c r="K238" s="14">
        <f t="shared" si="6"/>
        <v>0</v>
      </c>
      <c r="L238" s="16">
        <f t="shared" si="7"/>
        <v>100</v>
      </c>
      <c r="M238" s="22">
        <v>45017</v>
      </c>
      <c r="N238" s="44" t="s">
        <v>45</v>
      </c>
      <c r="O238" s="23" t="s">
        <v>16</v>
      </c>
      <c r="P238" s="24" t="s">
        <v>45</v>
      </c>
      <c r="Q238" s="28" t="s">
        <v>346</v>
      </c>
    </row>
    <row r="239" spans="1:17">
      <c r="A239" s="14">
        <v>235</v>
      </c>
      <c r="B239" s="29" t="s">
        <v>347</v>
      </c>
      <c r="C239" s="16">
        <f>'Медикаменты Апрель'!L237</f>
        <v>0</v>
      </c>
      <c r="D239" s="17"/>
      <c r="E239" s="14"/>
      <c r="F239" s="18"/>
      <c r="G239" s="19"/>
      <c r="H239" s="20"/>
      <c r="I239" s="21"/>
      <c r="J239" s="14"/>
      <c r="K239" s="14">
        <f t="shared" si="6"/>
        <v>0</v>
      </c>
      <c r="L239" s="16">
        <f t="shared" si="7"/>
        <v>0</v>
      </c>
      <c r="M239" s="22">
        <v>44896</v>
      </c>
      <c r="N239" s="44"/>
      <c r="O239" s="23" t="s">
        <v>16</v>
      </c>
      <c r="P239" s="24" t="s">
        <v>45</v>
      </c>
      <c r="Q239" s="23" t="s">
        <v>348</v>
      </c>
    </row>
    <row r="240" spans="1:17">
      <c r="A240" s="14">
        <v>236</v>
      </c>
      <c r="B240" s="29" t="s">
        <v>349</v>
      </c>
      <c r="C240" s="16">
        <f>'Медикаменты Апрель'!L238</f>
        <v>0</v>
      </c>
      <c r="D240" s="17"/>
      <c r="E240" s="14"/>
      <c r="F240" s="18"/>
      <c r="G240" s="19"/>
      <c r="H240" s="20"/>
      <c r="I240" s="21"/>
      <c r="J240" s="14"/>
      <c r="K240" s="14">
        <f t="shared" si="6"/>
        <v>0</v>
      </c>
      <c r="L240" s="16">
        <f t="shared" si="7"/>
        <v>0</v>
      </c>
      <c r="M240" s="22"/>
      <c r="N240" s="44"/>
      <c r="O240" s="23" t="s">
        <v>16</v>
      </c>
      <c r="P240" s="24"/>
      <c r="Q240" s="25"/>
    </row>
    <row r="241" spans="1:17">
      <c r="A241" s="14">
        <v>237</v>
      </c>
      <c r="B241" s="29" t="s">
        <v>350</v>
      </c>
      <c r="C241" s="16">
        <f>'Медикаменты Апрель'!L239</f>
        <v>0</v>
      </c>
      <c r="D241" s="17"/>
      <c r="E241" s="14"/>
      <c r="F241" s="18"/>
      <c r="G241" s="19"/>
      <c r="H241" s="20"/>
      <c r="I241" s="21"/>
      <c r="J241" s="14"/>
      <c r="K241" s="14">
        <f t="shared" si="6"/>
        <v>0</v>
      </c>
      <c r="L241" s="16">
        <f t="shared" si="7"/>
        <v>0</v>
      </c>
      <c r="M241" s="22"/>
      <c r="N241" s="44"/>
      <c r="O241" s="23" t="s">
        <v>16</v>
      </c>
      <c r="P241" s="24"/>
      <c r="Q241" s="25"/>
    </row>
    <row r="242" spans="1:17">
      <c r="A242" s="14">
        <v>238</v>
      </c>
      <c r="B242" s="29" t="s">
        <v>351</v>
      </c>
      <c r="C242" s="16">
        <f>'Медикаменты Апрель'!L240</f>
        <v>0</v>
      </c>
      <c r="D242" s="17"/>
      <c r="E242" s="14"/>
      <c r="F242" s="18"/>
      <c r="G242" s="19"/>
      <c r="H242" s="20"/>
      <c r="I242" s="21"/>
      <c r="J242" s="14"/>
      <c r="K242" s="14">
        <f t="shared" si="6"/>
        <v>0</v>
      </c>
      <c r="L242" s="16">
        <f t="shared" si="7"/>
        <v>0</v>
      </c>
      <c r="M242" s="22">
        <v>44197</v>
      </c>
      <c r="N242" s="44"/>
      <c r="O242" s="23" t="s">
        <v>16</v>
      </c>
      <c r="P242" s="24"/>
      <c r="Q242" s="28" t="s">
        <v>352</v>
      </c>
    </row>
    <row r="243" spans="1:17">
      <c r="A243" s="14">
        <v>239</v>
      </c>
      <c r="B243" s="29" t="s">
        <v>353</v>
      </c>
      <c r="C243" s="16">
        <f>'Медикаменты Апрель'!L241</f>
        <v>333</v>
      </c>
      <c r="D243" s="17"/>
      <c r="E243" s="14"/>
      <c r="F243" s="18">
        <f>5+10+5</f>
        <v>20</v>
      </c>
      <c r="G243" s="19"/>
      <c r="H243" s="20"/>
      <c r="I243" s="21"/>
      <c r="J243" s="14"/>
      <c r="K243" s="14">
        <f t="shared" si="6"/>
        <v>20</v>
      </c>
      <c r="L243" s="16">
        <f t="shared" si="7"/>
        <v>313</v>
      </c>
      <c r="M243" s="22">
        <v>44652</v>
      </c>
      <c r="N243" s="44" t="s">
        <v>45</v>
      </c>
      <c r="O243" s="23" t="s">
        <v>16</v>
      </c>
      <c r="P243" s="24" t="s">
        <v>17</v>
      </c>
      <c r="Q243" s="28" t="s">
        <v>354</v>
      </c>
    </row>
    <row r="244" spans="1:17">
      <c r="A244" s="14">
        <v>240</v>
      </c>
      <c r="B244" s="29" t="s">
        <v>355</v>
      </c>
      <c r="C244" s="16">
        <f>'Медикаменты Апрель'!L242</f>
        <v>8</v>
      </c>
      <c r="D244" s="17"/>
      <c r="E244" s="14"/>
      <c r="F244" s="18"/>
      <c r="G244" s="19"/>
      <c r="H244" s="20"/>
      <c r="I244" s="21"/>
      <c r="J244" s="14"/>
      <c r="K244" s="14">
        <f t="shared" si="6"/>
        <v>0</v>
      </c>
      <c r="L244" s="16">
        <f t="shared" si="7"/>
        <v>8</v>
      </c>
      <c r="M244" s="22">
        <v>44713</v>
      </c>
      <c r="N244" s="44" t="s">
        <v>45</v>
      </c>
      <c r="O244" s="23" t="s">
        <v>16</v>
      </c>
      <c r="P244" s="24" t="s">
        <v>17</v>
      </c>
      <c r="Q244" s="28" t="s">
        <v>356</v>
      </c>
    </row>
    <row r="245" spans="1:17">
      <c r="A245" s="14">
        <v>241</v>
      </c>
      <c r="B245" s="29" t="s">
        <v>357</v>
      </c>
      <c r="C245" s="16">
        <f>'Медикаменты Апрель'!L243</f>
        <v>0</v>
      </c>
      <c r="D245" s="17"/>
      <c r="E245" s="14"/>
      <c r="F245" s="18"/>
      <c r="G245" s="19"/>
      <c r="H245" s="20"/>
      <c r="I245" s="21"/>
      <c r="J245" s="14"/>
      <c r="K245" s="14">
        <f t="shared" si="6"/>
        <v>0</v>
      </c>
      <c r="L245" s="16">
        <f t="shared" si="7"/>
        <v>0</v>
      </c>
      <c r="M245" s="22"/>
      <c r="N245" s="44"/>
      <c r="O245" s="23" t="s">
        <v>16</v>
      </c>
      <c r="P245" s="24"/>
      <c r="Q245" s="25"/>
    </row>
    <row r="246" spans="1:17">
      <c r="A246" s="14">
        <v>242</v>
      </c>
      <c r="B246" s="29" t="s">
        <v>358</v>
      </c>
      <c r="C246" s="16">
        <f>'Медикаменты Апрель'!L244</f>
        <v>0</v>
      </c>
      <c r="D246" s="17"/>
      <c r="E246" s="14"/>
      <c r="F246" s="18"/>
      <c r="G246" s="19"/>
      <c r="H246" s="20"/>
      <c r="I246" s="21"/>
      <c r="J246" s="14"/>
      <c r="K246" s="14">
        <f t="shared" si="6"/>
        <v>0</v>
      </c>
      <c r="L246" s="16">
        <f t="shared" si="7"/>
        <v>0</v>
      </c>
      <c r="M246" s="22">
        <v>44562</v>
      </c>
      <c r="N246" s="44"/>
      <c r="O246" s="23" t="s">
        <v>26</v>
      </c>
      <c r="P246" s="24"/>
      <c r="Q246" s="28" t="s">
        <v>359</v>
      </c>
    </row>
    <row r="247" spans="1:17">
      <c r="A247" s="14">
        <v>243</v>
      </c>
      <c r="B247" s="29" t="s">
        <v>360</v>
      </c>
      <c r="C247" s="16">
        <f>'Медикаменты Апрель'!L245</f>
        <v>0</v>
      </c>
      <c r="D247" s="17"/>
      <c r="E247" s="14"/>
      <c r="F247" s="18"/>
      <c r="G247" s="19"/>
      <c r="H247" s="20"/>
      <c r="I247" s="21"/>
      <c r="J247" s="14"/>
      <c r="K247" s="14">
        <f t="shared" si="6"/>
        <v>0</v>
      </c>
      <c r="L247" s="16">
        <f t="shared" si="7"/>
        <v>0</v>
      </c>
      <c r="M247" s="22"/>
      <c r="N247" s="44"/>
      <c r="O247" s="23" t="s">
        <v>16</v>
      </c>
      <c r="P247" s="24"/>
      <c r="Q247" s="25"/>
    </row>
    <row r="248" spans="1:17">
      <c r="A248" s="14">
        <v>244</v>
      </c>
      <c r="B248" s="29" t="s">
        <v>361</v>
      </c>
      <c r="C248" s="16">
        <f>'Медикаменты Апрель'!L246</f>
        <v>0</v>
      </c>
      <c r="D248" s="17"/>
      <c r="E248" s="14"/>
      <c r="F248" s="18"/>
      <c r="G248" s="19"/>
      <c r="H248" s="20"/>
      <c r="I248" s="21"/>
      <c r="J248" s="14"/>
      <c r="K248" s="14">
        <f t="shared" si="6"/>
        <v>0</v>
      </c>
      <c r="L248" s="16">
        <f t="shared" si="7"/>
        <v>0</v>
      </c>
      <c r="M248" s="22"/>
      <c r="N248" s="44"/>
      <c r="O248" s="23" t="s">
        <v>16</v>
      </c>
      <c r="P248" s="24"/>
      <c r="Q248" s="25"/>
    </row>
    <row r="249" spans="1:17">
      <c r="A249" s="14">
        <v>245</v>
      </c>
      <c r="B249" s="29" t="s">
        <v>362</v>
      </c>
      <c r="C249" s="16">
        <f>'Медикаменты Апрель'!L247</f>
        <v>0</v>
      </c>
      <c r="D249" s="17"/>
      <c r="E249" s="14"/>
      <c r="F249" s="18"/>
      <c r="G249" s="19"/>
      <c r="H249" s="20"/>
      <c r="I249" s="21"/>
      <c r="J249" s="14"/>
      <c r="K249" s="14">
        <f t="shared" si="6"/>
        <v>0</v>
      </c>
      <c r="L249" s="16">
        <f t="shared" si="7"/>
        <v>0</v>
      </c>
      <c r="M249" s="22">
        <v>45200</v>
      </c>
      <c r="N249" s="44"/>
      <c r="O249" s="23" t="s">
        <v>16</v>
      </c>
      <c r="P249" s="24"/>
      <c r="Q249" s="23" t="s">
        <v>363</v>
      </c>
    </row>
    <row r="250" spans="1:17">
      <c r="A250" s="14">
        <v>246</v>
      </c>
      <c r="B250" s="29" t="s">
        <v>364</v>
      </c>
      <c r="C250" s="16">
        <f>'Медикаменты Апрель'!L248</f>
        <v>0</v>
      </c>
      <c r="D250" s="17"/>
      <c r="E250" s="14"/>
      <c r="F250" s="18"/>
      <c r="G250" s="19"/>
      <c r="H250" s="20"/>
      <c r="I250" s="21"/>
      <c r="J250" s="14"/>
      <c r="K250" s="14">
        <f t="shared" si="6"/>
        <v>0</v>
      </c>
      <c r="L250" s="16">
        <f t="shared" si="7"/>
        <v>0</v>
      </c>
      <c r="M250" s="22">
        <v>44378</v>
      </c>
      <c r="N250" s="44"/>
      <c r="O250" s="23" t="s">
        <v>26</v>
      </c>
      <c r="P250" s="24"/>
      <c r="Q250" s="25"/>
    </row>
    <row r="251" spans="1:17">
      <c r="A251" s="14">
        <v>247</v>
      </c>
      <c r="B251" s="29" t="s">
        <v>365</v>
      </c>
      <c r="C251" s="16">
        <f>'Медикаменты Апрель'!L249</f>
        <v>0</v>
      </c>
      <c r="D251" s="17"/>
      <c r="E251" s="14"/>
      <c r="F251" s="18"/>
      <c r="G251" s="19"/>
      <c r="H251" s="20"/>
      <c r="I251" s="21"/>
      <c r="J251" s="14"/>
      <c r="K251" s="14">
        <f t="shared" si="6"/>
        <v>0</v>
      </c>
      <c r="L251" s="16">
        <f t="shared" si="7"/>
        <v>0</v>
      </c>
      <c r="M251" s="22"/>
      <c r="N251" s="44"/>
      <c r="O251" s="23" t="s">
        <v>16</v>
      </c>
      <c r="P251" s="24"/>
      <c r="Q251" s="25"/>
    </row>
    <row r="252" spans="1:17">
      <c r="A252" s="14">
        <v>248</v>
      </c>
      <c r="B252" s="29" t="s">
        <v>556</v>
      </c>
      <c r="C252" s="16">
        <f>'Медикаменты Апрель'!L250</f>
        <v>10</v>
      </c>
      <c r="D252" s="17"/>
      <c r="E252" s="14"/>
      <c r="F252" s="18">
        <f>1</f>
        <v>1</v>
      </c>
      <c r="G252" s="19"/>
      <c r="H252" s="20"/>
      <c r="I252" s="21"/>
      <c r="J252" s="14"/>
      <c r="K252" s="14">
        <f t="shared" si="6"/>
        <v>1</v>
      </c>
      <c r="L252" s="16">
        <f t="shared" si="7"/>
        <v>9</v>
      </c>
      <c r="M252" s="22">
        <v>45231</v>
      </c>
      <c r="N252" s="44" t="s">
        <v>551</v>
      </c>
      <c r="O252" s="23" t="s">
        <v>16</v>
      </c>
      <c r="P252" s="24" t="s">
        <v>17</v>
      </c>
      <c r="Q252" s="23" t="s">
        <v>557</v>
      </c>
    </row>
    <row r="253" spans="1:17">
      <c r="A253" s="14">
        <v>249</v>
      </c>
      <c r="B253" s="29" t="s">
        <v>556</v>
      </c>
      <c r="C253" s="16">
        <f>'Медикаменты Апрель'!L251</f>
        <v>0</v>
      </c>
      <c r="D253" s="17"/>
      <c r="E253" s="14"/>
      <c r="F253" s="18"/>
      <c r="G253" s="19"/>
      <c r="H253" s="20"/>
      <c r="I253" s="21"/>
      <c r="J253" s="14"/>
      <c r="K253" s="14">
        <f t="shared" si="6"/>
        <v>0</v>
      </c>
      <c r="L253" s="16">
        <f t="shared" si="7"/>
        <v>0</v>
      </c>
      <c r="M253" s="22">
        <v>45231</v>
      </c>
      <c r="N253" s="44" t="s">
        <v>551</v>
      </c>
      <c r="O253" s="23" t="s">
        <v>26</v>
      </c>
      <c r="P253" s="24" t="s">
        <v>17</v>
      </c>
      <c r="Q253" s="23" t="s">
        <v>557</v>
      </c>
    </row>
    <row r="254" spans="1:17">
      <c r="A254" s="14">
        <v>250</v>
      </c>
      <c r="B254" s="29" t="s">
        <v>367</v>
      </c>
      <c r="C254" s="16">
        <f>'Медикаменты Апрель'!L252</f>
        <v>10</v>
      </c>
      <c r="D254" s="17"/>
      <c r="E254" s="14"/>
      <c r="F254" s="18">
        <f>5+3</f>
        <v>8</v>
      </c>
      <c r="G254" s="19"/>
      <c r="H254" s="20"/>
      <c r="I254" s="21"/>
      <c r="J254" s="14"/>
      <c r="K254" s="14">
        <f t="shared" si="6"/>
        <v>8</v>
      </c>
      <c r="L254" s="16">
        <f t="shared" si="7"/>
        <v>2</v>
      </c>
      <c r="M254" s="22">
        <v>45261</v>
      </c>
      <c r="N254" s="44" t="s">
        <v>45</v>
      </c>
      <c r="O254" s="23" t="s">
        <v>16</v>
      </c>
      <c r="P254" s="24" t="s">
        <v>17</v>
      </c>
      <c r="Q254" s="23" t="s">
        <v>368</v>
      </c>
    </row>
    <row r="255" spans="1:17">
      <c r="A255" s="14">
        <v>251</v>
      </c>
      <c r="B255" s="29" t="s">
        <v>369</v>
      </c>
      <c r="C255" s="16">
        <f>'Медикаменты Апрель'!L253</f>
        <v>0</v>
      </c>
      <c r="D255" s="17"/>
      <c r="E255" s="14"/>
      <c r="F255" s="18"/>
      <c r="G255" s="19"/>
      <c r="H255" s="20"/>
      <c r="I255" s="21"/>
      <c r="J255" s="14"/>
      <c r="K255" s="14">
        <f t="shared" si="6"/>
        <v>0</v>
      </c>
      <c r="L255" s="16">
        <f t="shared" si="7"/>
        <v>0</v>
      </c>
      <c r="M255" s="22">
        <v>44927</v>
      </c>
      <c r="N255" s="44" t="s">
        <v>45</v>
      </c>
      <c r="O255" s="23" t="s">
        <v>16</v>
      </c>
      <c r="P255" s="24" t="s">
        <v>45</v>
      </c>
      <c r="Q255" s="28" t="s">
        <v>370</v>
      </c>
    </row>
    <row r="256" spans="1:17">
      <c r="A256" s="14">
        <v>252</v>
      </c>
      <c r="B256" s="29" t="s">
        <v>371</v>
      </c>
      <c r="C256" s="16">
        <f>'Медикаменты Апрель'!L254</f>
        <v>0</v>
      </c>
      <c r="D256" s="17"/>
      <c r="E256" s="14"/>
      <c r="F256" s="18"/>
      <c r="G256" s="19"/>
      <c r="H256" s="20"/>
      <c r="I256" s="21"/>
      <c r="J256" s="14"/>
      <c r="K256" s="14">
        <f t="shared" si="6"/>
        <v>0</v>
      </c>
      <c r="L256" s="16">
        <f t="shared" si="7"/>
        <v>0</v>
      </c>
      <c r="M256" s="22">
        <v>45413</v>
      </c>
      <c r="N256" s="44"/>
      <c r="O256" s="23" t="s">
        <v>16</v>
      </c>
      <c r="P256" s="24" t="s">
        <v>17</v>
      </c>
      <c r="Q256" s="23" t="s">
        <v>372</v>
      </c>
    </row>
    <row r="257" spans="1:17">
      <c r="A257" s="14">
        <v>253</v>
      </c>
      <c r="B257" s="29" t="s">
        <v>371</v>
      </c>
      <c r="C257" s="16">
        <f>'Медикаменты Апрель'!L255</f>
        <v>0</v>
      </c>
      <c r="D257" s="17"/>
      <c r="E257" s="14"/>
      <c r="F257" s="18"/>
      <c r="G257" s="19"/>
      <c r="H257" s="20"/>
      <c r="I257" s="21"/>
      <c r="J257" s="14"/>
      <c r="K257" s="14">
        <f t="shared" si="6"/>
        <v>0</v>
      </c>
      <c r="L257" s="16">
        <f t="shared" si="7"/>
        <v>0</v>
      </c>
      <c r="M257" s="22">
        <v>45413</v>
      </c>
      <c r="N257" s="44"/>
      <c r="O257" s="23" t="s">
        <v>26</v>
      </c>
      <c r="P257" s="24"/>
      <c r="Q257" s="23" t="s">
        <v>372</v>
      </c>
    </row>
    <row r="258" spans="1:17">
      <c r="A258" s="14">
        <v>254</v>
      </c>
      <c r="B258" s="29" t="s">
        <v>373</v>
      </c>
      <c r="C258" s="16">
        <f>'Медикаменты Апрель'!L256</f>
        <v>0</v>
      </c>
      <c r="D258" s="17"/>
      <c r="E258" s="14"/>
      <c r="F258" s="18"/>
      <c r="G258" s="19"/>
      <c r="H258" s="20"/>
      <c r="I258" s="21"/>
      <c r="J258" s="14"/>
      <c r="K258" s="14">
        <f t="shared" si="6"/>
        <v>0</v>
      </c>
      <c r="L258" s="16">
        <f t="shared" si="7"/>
        <v>0</v>
      </c>
      <c r="M258" s="22">
        <v>45108</v>
      </c>
      <c r="N258" s="44"/>
      <c r="O258" s="23" t="s">
        <v>16</v>
      </c>
      <c r="P258" s="24"/>
      <c r="Q258" s="23" t="s">
        <v>374</v>
      </c>
    </row>
    <row r="259" spans="1:17">
      <c r="A259" s="14">
        <v>255</v>
      </c>
      <c r="B259" s="29" t="s">
        <v>373</v>
      </c>
      <c r="C259" s="16">
        <f>'Медикаменты Апрель'!L257</f>
        <v>0</v>
      </c>
      <c r="D259" s="17"/>
      <c r="E259" s="14"/>
      <c r="F259" s="18"/>
      <c r="G259" s="19"/>
      <c r="H259" s="20"/>
      <c r="I259" s="21"/>
      <c r="J259" s="14"/>
      <c r="K259" s="14">
        <f t="shared" si="6"/>
        <v>0</v>
      </c>
      <c r="L259" s="16">
        <f t="shared" si="7"/>
        <v>0</v>
      </c>
      <c r="M259" s="22">
        <v>45108</v>
      </c>
      <c r="N259" s="44"/>
      <c r="O259" s="23" t="s">
        <v>26</v>
      </c>
      <c r="P259" s="24"/>
      <c r="Q259" s="23" t="s">
        <v>374</v>
      </c>
    </row>
    <row r="260" spans="1:17">
      <c r="A260" s="14">
        <v>256</v>
      </c>
      <c r="B260" s="29" t="s">
        <v>375</v>
      </c>
      <c r="C260" s="16">
        <f>'Медикаменты Апрель'!L258</f>
        <v>0</v>
      </c>
      <c r="D260" s="17"/>
      <c r="E260" s="14"/>
      <c r="F260" s="18"/>
      <c r="G260" s="19"/>
      <c r="H260" s="20"/>
      <c r="I260" s="21"/>
      <c r="J260" s="14"/>
      <c r="K260" s="14">
        <f t="shared" si="6"/>
        <v>0</v>
      </c>
      <c r="L260" s="16">
        <f t="shared" si="7"/>
        <v>0</v>
      </c>
      <c r="M260" s="22">
        <v>44805</v>
      </c>
      <c r="N260" s="44"/>
      <c r="O260" s="23" t="s">
        <v>16</v>
      </c>
      <c r="P260" s="24" t="s">
        <v>17</v>
      </c>
      <c r="Q260" s="28" t="s">
        <v>376</v>
      </c>
    </row>
    <row r="261" spans="1:17">
      <c r="A261" s="14">
        <v>257</v>
      </c>
      <c r="B261" s="29" t="s">
        <v>375</v>
      </c>
      <c r="C261" s="16">
        <f>'Медикаменты Апрель'!L259</f>
        <v>0</v>
      </c>
      <c r="D261" s="17"/>
      <c r="E261" s="14"/>
      <c r="F261" s="18"/>
      <c r="G261" s="19"/>
      <c r="H261" s="20"/>
      <c r="I261" s="21"/>
      <c r="J261" s="14"/>
      <c r="K261" s="14">
        <f t="shared" ref="K261:K324" si="8">SUM(F261:J261)</f>
        <v>0</v>
      </c>
      <c r="L261" s="16">
        <f t="shared" ref="L261:L324" si="9">(C261+E261)-K261</f>
        <v>0</v>
      </c>
      <c r="M261" s="22">
        <v>44958</v>
      </c>
      <c r="N261" s="44"/>
      <c r="O261" s="23" t="s">
        <v>26</v>
      </c>
      <c r="P261" s="24"/>
      <c r="Q261" s="28" t="s">
        <v>376</v>
      </c>
    </row>
    <row r="262" spans="1:17">
      <c r="A262" s="14">
        <v>258</v>
      </c>
      <c r="B262" s="29" t="s">
        <v>377</v>
      </c>
      <c r="C262" s="16">
        <f>'Медикаменты Апрель'!L260</f>
        <v>84</v>
      </c>
      <c r="D262" s="17"/>
      <c r="E262" s="14"/>
      <c r="F262" s="18">
        <f>5+5</f>
        <v>10</v>
      </c>
      <c r="G262" s="19"/>
      <c r="H262" s="20">
        <f>20</f>
        <v>20</v>
      </c>
      <c r="I262" s="21"/>
      <c r="J262" s="14"/>
      <c r="K262" s="14">
        <f t="shared" si="8"/>
        <v>30</v>
      </c>
      <c r="L262" s="16">
        <f t="shared" si="9"/>
        <v>54</v>
      </c>
      <c r="M262" s="22">
        <v>45170</v>
      </c>
      <c r="N262" s="44" t="s">
        <v>45</v>
      </c>
      <c r="O262" s="23" t="s">
        <v>16</v>
      </c>
      <c r="P262" s="24" t="s">
        <v>17</v>
      </c>
      <c r="Q262" s="23" t="s">
        <v>378</v>
      </c>
    </row>
    <row r="263" spans="1:17">
      <c r="A263" s="14">
        <v>259</v>
      </c>
      <c r="B263" s="29" t="s">
        <v>377</v>
      </c>
      <c r="C263" s="16">
        <f>'Медикаменты Апрель'!L261</f>
        <v>0</v>
      </c>
      <c r="D263" s="17"/>
      <c r="E263" s="14"/>
      <c r="F263" s="18"/>
      <c r="G263" s="19"/>
      <c r="H263" s="20"/>
      <c r="I263" s="21"/>
      <c r="J263" s="14"/>
      <c r="K263" s="14">
        <f t="shared" si="8"/>
        <v>0</v>
      </c>
      <c r="L263" s="16">
        <f t="shared" si="9"/>
        <v>0</v>
      </c>
      <c r="M263" s="22">
        <v>45170</v>
      </c>
      <c r="N263" s="44"/>
      <c r="O263" s="23" t="s">
        <v>26</v>
      </c>
      <c r="P263" s="24" t="s">
        <v>17</v>
      </c>
      <c r="Q263" s="23" t="s">
        <v>378</v>
      </c>
    </row>
    <row r="264" spans="1:17">
      <c r="A264" s="14">
        <v>260</v>
      </c>
      <c r="B264" s="29" t="s">
        <v>379</v>
      </c>
      <c r="C264" s="16">
        <f>'Медикаменты Апрель'!L262</f>
        <v>0</v>
      </c>
      <c r="D264" s="17"/>
      <c r="E264" s="14"/>
      <c r="F264" s="18"/>
      <c r="G264" s="19"/>
      <c r="H264" s="20"/>
      <c r="I264" s="21"/>
      <c r="J264" s="14"/>
      <c r="K264" s="14">
        <f t="shared" si="8"/>
        <v>0</v>
      </c>
      <c r="L264" s="16">
        <f t="shared" si="9"/>
        <v>0</v>
      </c>
      <c r="M264" s="22"/>
      <c r="N264" s="44"/>
      <c r="O264" s="23" t="s">
        <v>16</v>
      </c>
      <c r="P264" s="24"/>
      <c r="Q264" s="25"/>
    </row>
    <row r="265" spans="1:17">
      <c r="A265" s="14">
        <v>261</v>
      </c>
      <c r="B265" s="29" t="s">
        <v>380</v>
      </c>
      <c r="C265" s="16">
        <f>'Медикаменты Апрель'!L263</f>
        <v>0</v>
      </c>
      <c r="D265" s="17"/>
      <c r="E265" s="14"/>
      <c r="F265" s="18"/>
      <c r="G265" s="19"/>
      <c r="H265" s="20"/>
      <c r="I265" s="21"/>
      <c r="J265" s="14"/>
      <c r="K265" s="14">
        <f t="shared" si="8"/>
        <v>0</v>
      </c>
      <c r="L265" s="16">
        <f t="shared" si="9"/>
        <v>0</v>
      </c>
      <c r="M265" s="22">
        <v>44682</v>
      </c>
      <c r="N265" s="44"/>
      <c r="O265" s="23" t="s">
        <v>16</v>
      </c>
      <c r="P265" s="24" t="s">
        <v>45</v>
      </c>
      <c r="Q265" s="23" t="s">
        <v>381</v>
      </c>
    </row>
    <row r="266" spans="1:17">
      <c r="A266" s="14">
        <v>262</v>
      </c>
      <c r="B266" s="29" t="s">
        <v>382</v>
      </c>
      <c r="C266" s="16">
        <f>'Медикаменты Апрель'!L264</f>
        <v>0</v>
      </c>
      <c r="D266" s="17"/>
      <c r="E266" s="14"/>
      <c r="F266" s="18"/>
      <c r="G266" s="19"/>
      <c r="H266" s="20"/>
      <c r="I266" s="21"/>
      <c r="J266" s="14"/>
      <c r="K266" s="14">
        <f t="shared" si="8"/>
        <v>0</v>
      </c>
      <c r="L266" s="16">
        <f t="shared" si="9"/>
        <v>0</v>
      </c>
      <c r="M266" s="22">
        <v>44743</v>
      </c>
      <c r="N266" s="44"/>
      <c r="O266" s="23" t="s">
        <v>16</v>
      </c>
      <c r="P266" s="24"/>
      <c r="Q266" s="23" t="s">
        <v>383</v>
      </c>
    </row>
    <row r="267" spans="1:17">
      <c r="A267" s="14">
        <v>263</v>
      </c>
      <c r="B267" s="29" t="s">
        <v>384</v>
      </c>
      <c r="C267" s="16">
        <f>'Медикаменты Апрель'!L265</f>
        <v>0</v>
      </c>
      <c r="D267" s="17"/>
      <c r="E267" s="14"/>
      <c r="F267" s="18"/>
      <c r="G267" s="19"/>
      <c r="H267" s="20"/>
      <c r="I267" s="21"/>
      <c r="J267" s="14"/>
      <c r="K267" s="14">
        <f t="shared" si="8"/>
        <v>0</v>
      </c>
      <c r="L267" s="16">
        <f t="shared" si="9"/>
        <v>0</v>
      </c>
      <c r="M267" s="22"/>
      <c r="N267" s="44"/>
      <c r="O267" s="23" t="s">
        <v>16</v>
      </c>
      <c r="P267" s="24"/>
      <c r="Q267" s="25"/>
    </row>
    <row r="268" spans="1:17">
      <c r="A268" s="14">
        <v>264</v>
      </c>
      <c r="B268" s="29" t="s">
        <v>385</v>
      </c>
      <c r="C268" s="16">
        <f>'Медикаменты Апрель'!L266</f>
        <v>0</v>
      </c>
      <c r="D268" s="17"/>
      <c r="E268" s="14"/>
      <c r="F268" s="18"/>
      <c r="G268" s="19"/>
      <c r="H268" s="20"/>
      <c r="I268" s="21"/>
      <c r="J268" s="14"/>
      <c r="K268" s="14">
        <f t="shared" si="8"/>
        <v>0</v>
      </c>
      <c r="L268" s="16">
        <f t="shared" si="9"/>
        <v>0</v>
      </c>
      <c r="M268" s="22"/>
      <c r="N268" s="44"/>
      <c r="O268" s="23" t="s">
        <v>16</v>
      </c>
      <c r="P268" s="24"/>
      <c r="Q268" s="25"/>
    </row>
    <row r="269" spans="1:17">
      <c r="A269" s="14">
        <v>265</v>
      </c>
      <c r="B269" s="29" t="s">
        <v>386</v>
      </c>
      <c r="C269" s="16">
        <f>'Медикаменты Апрель'!L267</f>
        <v>0</v>
      </c>
      <c r="D269" s="17"/>
      <c r="E269" s="14"/>
      <c r="F269" s="18"/>
      <c r="G269" s="19"/>
      <c r="H269" s="20"/>
      <c r="I269" s="21"/>
      <c r="J269" s="14"/>
      <c r="K269" s="14">
        <f t="shared" si="8"/>
        <v>0</v>
      </c>
      <c r="L269" s="16">
        <f t="shared" si="9"/>
        <v>0</v>
      </c>
      <c r="M269" s="22"/>
      <c r="N269" s="44"/>
      <c r="O269" s="23" t="s">
        <v>16</v>
      </c>
      <c r="P269" s="24"/>
      <c r="Q269" s="25"/>
    </row>
    <row r="270" spans="1:17">
      <c r="A270" s="14">
        <v>266</v>
      </c>
      <c r="B270" s="29" t="s">
        <v>387</v>
      </c>
      <c r="C270" s="16">
        <f>'Медикаменты Апрель'!L268</f>
        <v>0</v>
      </c>
      <c r="D270" s="17"/>
      <c r="E270" s="14"/>
      <c r="F270" s="18"/>
      <c r="G270" s="19"/>
      <c r="H270" s="20"/>
      <c r="I270" s="21"/>
      <c r="J270" s="14"/>
      <c r="K270" s="14">
        <f t="shared" si="8"/>
        <v>0</v>
      </c>
      <c r="L270" s="16">
        <f t="shared" si="9"/>
        <v>0</v>
      </c>
      <c r="M270" s="22"/>
      <c r="N270" s="44"/>
      <c r="O270" s="23" t="s">
        <v>16</v>
      </c>
      <c r="P270" s="24"/>
      <c r="Q270" s="25"/>
    </row>
    <row r="271" spans="1:17">
      <c r="A271" s="14">
        <v>267</v>
      </c>
      <c r="B271" s="29" t="s">
        <v>388</v>
      </c>
      <c r="C271" s="16">
        <f>'Медикаменты Апрель'!L269</f>
        <v>0</v>
      </c>
      <c r="D271" s="17"/>
      <c r="E271" s="14"/>
      <c r="F271" s="18"/>
      <c r="G271" s="19"/>
      <c r="H271" s="20"/>
      <c r="I271" s="21"/>
      <c r="J271" s="14"/>
      <c r="K271" s="14">
        <f t="shared" si="8"/>
        <v>0</v>
      </c>
      <c r="L271" s="16">
        <f t="shared" si="9"/>
        <v>0</v>
      </c>
      <c r="M271" s="22">
        <v>45139</v>
      </c>
      <c r="N271" s="44"/>
      <c r="O271" s="23" t="s">
        <v>16</v>
      </c>
      <c r="P271" s="24"/>
      <c r="Q271" s="23" t="s">
        <v>389</v>
      </c>
    </row>
    <row r="272" spans="1:17">
      <c r="A272" s="14">
        <v>268</v>
      </c>
      <c r="B272" s="29" t="s">
        <v>390</v>
      </c>
      <c r="C272" s="16">
        <f>'Медикаменты Апрель'!L270</f>
        <v>0</v>
      </c>
      <c r="D272" s="26"/>
      <c r="E272" s="14"/>
      <c r="F272" s="18"/>
      <c r="G272" s="19"/>
      <c r="H272" s="20"/>
      <c r="I272" s="21"/>
      <c r="J272" s="14"/>
      <c r="K272" s="14">
        <f t="shared" si="8"/>
        <v>0</v>
      </c>
      <c r="L272" s="16">
        <f t="shared" si="9"/>
        <v>0</v>
      </c>
      <c r="M272" s="22"/>
      <c r="N272" s="44"/>
      <c r="O272" s="23" t="s">
        <v>16</v>
      </c>
      <c r="P272" s="24"/>
      <c r="Q272" s="23" t="s">
        <v>391</v>
      </c>
    </row>
    <row r="273" spans="1:17">
      <c r="A273" s="14">
        <v>269</v>
      </c>
      <c r="B273" s="29" t="s">
        <v>392</v>
      </c>
      <c r="C273" s="16">
        <f>'Медикаменты Апрель'!L271</f>
        <v>0</v>
      </c>
      <c r="D273" s="17"/>
      <c r="E273" s="14"/>
      <c r="F273" s="18"/>
      <c r="G273" s="19"/>
      <c r="H273" s="20"/>
      <c r="I273" s="21"/>
      <c r="J273" s="14"/>
      <c r="K273" s="14">
        <f t="shared" si="8"/>
        <v>0</v>
      </c>
      <c r="L273" s="16">
        <f t="shared" si="9"/>
        <v>0</v>
      </c>
      <c r="M273" s="22"/>
      <c r="N273" s="44"/>
      <c r="O273" s="23" t="s">
        <v>16</v>
      </c>
      <c r="P273" s="24"/>
      <c r="Q273" s="25"/>
    </row>
    <row r="274" spans="1:17">
      <c r="A274" s="14">
        <v>270</v>
      </c>
      <c r="B274" s="29" t="s">
        <v>573</v>
      </c>
      <c r="C274" s="16"/>
      <c r="D274" s="17"/>
      <c r="E274" s="14">
        <f>6</f>
        <v>6</v>
      </c>
      <c r="F274" s="18"/>
      <c r="G274" s="19"/>
      <c r="H274" s="20"/>
      <c r="I274" s="21"/>
      <c r="J274" s="14"/>
      <c r="K274" s="14">
        <f t="shared" si="8"/>
        <v>0</v>
      </c>
      <c r="L274" s="16">
        <f t="shared" si="9"/>
        <v>6</v>
      </c>
      <c r="M274" s="22">
        <v>45047</v>
      </c>
      <c r="N274" s="44" t="s">
        <v>45</v>
      </c>
      <c r="O274" s="23" t="s">
        <v>16</v>
      </c>
      <c r="P274" s="24" t="s">
        <v>17</v>
      </c>
      <c r="Q274" s="23" t="s">
        <v>574</v>
      </c>
    </row>
    <row r="275" spans="1:17">
      <c r="A275" s="14">
        <v>271</v>
      </c>
      <c r="B275" s="29" t="s">
        <v>393</v>
      </c>
      <c r="C275" s="16">
        <f>'Медикаменты Апрель'!L272</f>
        <v>69</v>
      </c>
      <c r="D275" s="17"/>
      <c r="E275" s="14"/>
      <c r="F275" s="18"/>
      <c r="G275" s="19"/>
      <c r="H275" s="20"/>
      <c r="I275" s="21"/>
      <c r="J275" s="14"/>
      <c r="K275" s="14">
        <f t="shared" si="8"/>
        <v>0</v>
      </c>
      <c r="L275" s="16">
        <f t="shared" si="9"/>
        <v>69</v>
      </c>
      <c r="M275" s="22">
        <v>44652</v>
      </c>
      <c r="N275" s="44" t="s">
        <v>45</v>
      </c>
      <c r="O275" s="23" t="s">
        <v>16</v>
      </c>
      <c r="P275" s="24" t="s">
        <v>17</v>
      </c>
      <c r="Q275" s="23" t="s">
        <v>394</v>
      </c>
    </row>
    <row r="276" spans="1:17">
      <c r="A276" s="14">
        <v>272</v>
      </c>
      <c r="B276" s="29" t="s">
        <v>395</v>
      </c>
      <c r="C276" s="16">
        <f>'Медикаменты Апрель'!L273</f>
        <v>0</v>
      </c>
      <c r="D276" s="17"/>
      <c r="E276" s="14"/>
      <c r="F276" s="18"/>
      <c r="G276" s="19"/>
      <c r="H276" s="20"/>
      <c r="I276" s="21"/>
      <c r="J276" s="14"/>
      <c r="K276" s="14">
        <f t="shared" si="8"/>
        <v>0</v>
      </c>
      <c r="L276" s="16">
        <f t="shared" si="9"/>
        <v>0</v>
      </c>
      <c r="M276" s="22">
        <v>44378</v>
      </c>
      <c r="N276" s="44"/>
      <c r="O276" s="23" t="s">
        <v>16</v>
      </c>
      <c r="P276" s="24"/>
      <c r="Q276" s="23" t="s">
        <v>396</v>
      </c>
    </row>
    <row r="277" spans="1:17">
      <c r="A277" s="14">
        <v>273</v>
      </c>
      <c r="B277" s="29" t="s">
        <v>397</v>
      </c>
      <c r="C277" s="16">
        <f>'Медикаменты Апрель'!L274</f>
        <v>0</v>
      </c>
      <c r="D277" s="17"/>
      <c r="E277" s="14"/>
      <c r="F277" s="18"/>
      <c r="G277" s="19"/>
      <c r="H277" s="20"/>
      <c r="I277" s="21"/>
      <c r="J277" s="14"/>
      <c r="K277" s="14">
        <f t="shared" si="8"/>
        <v>0</v>
      </c>
      <c r="L277" s="16">
        <f t="shared" si="9"/>
        <v>0</v>
      </c>
      <c r="M277" s="22"/>
      <c r="N277" s="44"/>
      <c r="O277" s="23" t="s">
        <v>16</v>
      </c>
      <c r="P277" s="24"/>
      <c r="Q277" s="25"/>
    </row>
    <row r="278" spans="1:17">
      <c r="A278" s="14">
        <v>274</v>
      </c>
      <c r="B278" s="29" t="s">
        <v>398</v>
      </c>
      <c r="C278" s="16">
        <f>'Медикаменты Апрель'!L275</f>
        <v>0</v>
      </c>
      <c r="D278" s="17"/>
      <c r="E278" s="14"/>
      <c r="F278" s="18"/>
      <c r="G278" s="19"/>
      <c r="H278" s="20"/>
      <c r="I278" s="21"/>
      <c r="J278" s="14"/>
      <c r="K278" s="14">
        <f t="shared" si="8"/>
        <v>0</v>
      </c>
      <c r="L278" s="16">
        <f t="shared" si="9"/>
        <v>0</v>
      </c>
      <c r="M278" s="22">
        <v>44256</v>
      </c>
      <c r="N278" s="44"/>
      <c r="O278" s="23" t="s">
        <v>16</v>
      </c>
      <c r="P278" s="24"/>
      <c r="Q278" s="28" t="s">
        <v>399</v>
      </c>
    </row>
    <row r="279" spans="1:17">
      <c r="A279" s="14">
        <v>275</v>
      </c>
      <c r="B279" s="29" t="s">
        <v>400</v>
      </c>
      <c r="C279" s="16">
        <f>'Медикаменты Апрель'!L276</f>
        <v>0</v>
      </c>
      <c r="D279" s="17"/>
      <c r="E279" s="14"/>
      <c r="F279" s="18"/>
      <c r="G279" s="19"/>
      <c r="H279" s="20"/>
      <c r="I279" s="21"/>
      <c r="J279" s="14"/>
      <c r="K279" s="14">
        <f t="shared" si="8"/>
        <v>0</v>
      </c>
      <c r="L279" s="16">
        <f t="shared" si="9"/>
        <v>0</v>
      </c>
      <c r="M279" s="22">
        <v>44531</v>
      </c>
      <c r="N279" s="44"/>
      <c r="O279" s="23" t="s">
        <v>16</v>
      </c>
      <c r="P279" s="24" t="s">
        <v>45</v>
      </c>
      <c r="Q279" s="28" t="s">
        <v>401</v>
      </c>
    </row>
    <row r="280" spans="1:17">
      <c r="A280" s="14">
        <v>276</v>
      </c>
      <c r="B280" s="29" t="s">
        <v>402</v>
      </c>
      <c r="C280" s="16">
        <f>'Медикаменты Апрель'!L277</f>
        <v>0</v>
      </c>
      <c r="D280" s="17"/>
      <c r="E280" s="14"/>
      <c r="F280" s="18"/>
      <c r="G280" s="19"/>
      <c r="H280" s="20"/>
      <c r="I280" s="21"/>
      <c r="J280" s="14"/>
      <c r="K280" s="14">
        <f t="shared" si="8"/>
        <v>0</v>
      </c>
      <c r="L280" s="16">
        <f t="shared" si="9"/>
        <v>0</v>
      </c>
      <c r="M280" s="22">
        <v>45108</v>
      </c>
      <c r="N280" s="44"/>
      <c r="O280" s="23" t="s">
        <v>26</v>
      </c>
      <c r="P280" s="24" t="s">
        <v>45</v>
      </c>
      <c r="Q280" s="23" t="s">
        <v>403</v>
      </c>
    </row>
    <row r="281" spans="1:17">
      <c r="A281" s="14">
        <v>277</v>
      </c>
      <c r="B281" s="29" t="s">
        <v>404</v>
      </c>
      <c r="C281" s="16">
        <f>'Медикаменты Апрель'!L278</f>
        <v>0</v>
      </c>
      <c r="D281" s="17"/>
      <c r="E281" s="14"/>
      <c r="F281" s="18"/>
      <c r="G281" s="19"/>
      <c r="H281" s="20"/>
      <c r="I281" s="21"/>
      <c r="J281" s="14"/>
      <c r="K281" s="14">
        <f t="shared" si="8"/>
        <v>0</v>
      </c>
      <c r="L281" s="16">
        <f t="shared" si="9"/>
        <v>0</v>
      </c>
      <c r="M281" s="22"/>
      <c r="N281" s="44"/>
      <c r="O281" s="23" t="s">
        <v>16</v>
      </c>
      <c r="P281" s="24"/>
      <c r="Q281" s="25"/>
    </row>
    <row r="282" spans="1:17">
      <c r="A282" s="14">
        <v>278</v>
      </c>
      <c r="B282" s="29" t="s">
        <v>549</v>
      </c>
      <c r="C282" s="16">
        <f>'Медикаменты Апрель'!L279</f>
        <v>0</v>
      </c>
      <c r="D282" s="17"/>
      <c r="E282" s="14"/>
      <c r="F282" s="18"/>
      <c r="G282" s="19"/>
      <c r="H282" s="20"/>
      <c r="I282" s="21"/>
      <c r="J282" s="14"/>
      <c r="K282" s="14">
        <f t="shared" si="8"/>
        <v>0</v>
      </c>
      <c r="L282" s="16">
        <f t="shared" si="9"/>
        <v>0</v>
      </c>
      <c r="M282" s="22">
        <v>44287</v>
      </c>
      <c r="N282" s="44"/>
      <c r="O282" s="23" t="s">
        <v>16</v>
      </c>
      <c r="P282" s="24" t="s">
        <v>45</v>
      </c>
      <c r="Q282" s="23" t="s">
        <v>406</v>
      </c>
    </row>
    <row r="283" spans="1:17">
      <c r="A283" s="14">
        <v>279</v>
      </c>
      <c r="B283" s="29" t="s">
        <v>407</v>
      </c>
      <c r="C283" s="16">
        <f>'Медикаменты Апрель'!L280</f>
        <v>0</v>
      </c>
      <c r="D283" s="17"/>
      <c r="E283" s="14"/>
      <c r="F283" s="18"/>
      <c r="G283" s="19"/>
      <c r="H283" s="20"/>
      <c r="I283" s="21"/>
      <c r="J283" s="14"/>
      <c r="K283" s="14">
        <f t="shared" si="8"/>
        <v>0</v>
      </c>
      <c r="L283" s="16">
        <f t="shared" si="9"/>
        <v>0</v>
      </c>
      <c r="M283" s="22">
        <v>44562</v>
      </c>
      <c r="N283" s="44"/>
      <c r="O283" s="23" t="s">
        <v>16</v>
      </c>
      <c r="P283" s="24" t="s">
        <v>17</v>
      </c>
      <c r="Q283" s="28" t="s">
        <v>408</v>
      </c>
    </row>
    <row r="284" spans="1:17">
      <c r="A284" s="14">
        <v>280</v>
      </c>
      <c r="B284" s="29" t="s">
        <v>409</v>
      </c>
      <c r="C284" s="16">
        <f>'Медикаменты Апрель'!L281</f>
        <v>290</v>
      </c>
      <c r="D284" s="17"/>
      <c r="E284" s="14"/>
      <c r="F284" s="18">
        <f>5</f>
        <v>5</v>
      </c>
      <c r="G284" s="19"/>
      <c r="H284" s="20"/>
      <c r="I284" s="21"/>
      <c r="J284" s="14"/>
      <c r="K284" s="14">
        <f t="shared" si="8"/>
        <v>5</v>
      </c>
      <c r="L284" s="16">
        <f t="shared" si="9"/>
        <v>285</v>
      </c>
      <c r="M284" s="22">
        <v>45139</v>
      </c>
      <c r="N284" s="44" t="s">
        <v>45</v>
      </c>
      <c r="O284" s="23" t="s">
        <v>16</v>
      </c>
      <c r="P284" s="24" t="s">
        <v>17</v>
      </c>
      <c r="Q284" s="28" t="s">
        <v>410</v>
      </c>
    </row>
    <row r="285" spans="1:17">
      <c r="A285" s="14">
        <v>281</v>
      </c>
      <c r="B285" s="29" t="s">
        <v>411</v>
      </c>
      <c r="C285" s="16">
        <f>'Медикаменты Апрель'!L282</f>
        <v>17</v>
      </c>
      <c r="D285" s="17"/>
      <c r="E285" s="14"/>
      <c r="F285" s="18">
        <f>5+12</f>
        <v>17</v>
      </c>
      <c r="G285" s="19"/>
      <c r="H285" s="20"/>
      <c r="I285" s="21"/>
      <c r="J285" s="14"/>
      <c r="K285" s="14">
        <f t="shared" si="8"/>
        <v>17</v>
      </c>
      <c r="L285" s="16">
        <f t="shared" si="9"/>
        <v>0</v>
      </c>
      <c r="M285" s="22">
        <v>45413</v>
      </c>
      <c r="N285" s="44" t="s">
        <v>45</v>
      </c>
      <c r="O285" s="23" t="s">
        <v>16</v>
      </c>
      <c r="P285" s="24" t="s">
        <v>45</v>
      </c>
      <c r="Q285" s="23" t="s">
        <v>412</v>
      </c>
    </row>
    <row r="286" spans="1:17">
      <c r="A286" s="14">
        <v>282</v>
      </c>
      <c r="B286" s="29" t="s">
        <v>413</v>
      </c>
      <c r="C286" s="16">
        <f>'Медикаменты Апрель'!L283</f>
        <v>0</v>
      </c>
      <c r="D286" s="17"/>
      <c r="E286" s="14"/>
      <c r="F286" s="18"/>
      <c r="G286" s="19"/>
      <c r="H286" s="20"/>
      <c r="I286" s="21"/>
      <c r="J286" s="14"/>
      <c r="K286" s="14">
        <f t="shared" si="8"/>
        <v>0</v>
      </c>
      <c r="L286" s="16">
        <f t="shared" si="9"/>
        <v>0</v>
      </c>
      <c r="M286" s="22">
        <v>45474</v>
      </c>
      <c r="N286" s="44"/>
      <c r="O286" s="23" t="s">
        <v>16</v>
      </c>
      <c r="P286" s="24"/>
      <c r="Q286" s="23"/>
    </row>
    <row r="287" spans="1:17">
      <c r="A287" s="14">
        <v>283</v>
      </c>
      <c r="B287" s="29" t="s">
        <v>414</v>
      </c>
      <c r="C287" s="16">
        <f>'Медикаменты Апрель'!L284</f>
        <v>0</v>
      </c>
      <c r="D287" s="17"/>
      <c r="E287" s="14"/>
      <c r="F287" s="18"/>
      <c r="G287" s="19"/>
      <c r="H287" s="20"/>
      <c r="I287" s="21"/>
      <c r="J287" s="14"/>
      <c r="K287" s="14">
        <f t="shared" si="8"/>
        <v>0</v>
      </c>
      <c r="L287" s="16">
        <f t="shared" si="9"/>
        <v>0</v>
      </c>
      <c r="M287" s="22"/>
      <c r="N287" s="44"/>
      <c r="O287" s="23" t="s">
        <v>16</v>
      </c>
      <c r="P287" s="24"/>
      <c r="Q287" s="23"/>
    </row>
    <row r="288" spans="1:17">
      <c r="A288" s="14">
        <v>284</v>
      </c>
      <c r="B288" s="29" t="s">
        <v>415</v>
      </c>
      <c r="C288" s="16">
        <f>'Медикаменты Апрель'!L285</f>
        <v>0</v>
      </c>
      <c r="D288" s="17"/>
      <c r="E288" s="14"/>
      <c r="F288" s="18"/>
      <c r="G288" s="19"/>
      <c r="H288" s="20"/>
      <c r="I288" s="21"/>
      <c r="J288" s="14"/>
      <c r="K288" s="14">
        <f t="shared" si="8"/>
        <v>0</v>
      </c>
      <c r="L288" s="16">
        <f t="shared" si="9"/>
        <v>0</v>
      </c>
      <c r="M288" s="22">
        <v>44986</v>
      </c>
      <c r="N288" s="44"/>
      <c r="O288" s="23" t="s">
        <v>16</v>
      </c>
      <c r="P288" s="24" t="s">
        <v>17</v>
      </c>
      <c r="Q288" s="23" t="s">
        <v>416</v>
      </c>
    </row>
    <row r="289" spans="1:17">
      <c r="A289" s="14">
        <v>285</v>
      </c>
      <c r="B289" s="29" t="s">
        <v>415</v>
      </c>
      <c r="C289" s="16">
        <f>'Медикаменты Апрель'!L286</f>
        <v>0</v>
      </c>
      <c r="D289" s="17"/>
      <c r="E289" s="14"/>
      <c r="F289" s="18"/>
      <c r="G289" s="19"/>
      <c r="H289" s="20"/>
      <c r="I289" s="21"/>
      <c r="J289" s="14"/>
      <c r="K289" s="14">
        <f t="shared" si="8"/>
        <v>0</v>
      </c>
      <c r="L289" s="16">
        <f t="shared" si="9"/>
        <v>0</v>
      </c>
      <c r="M289" s="22">
        <v>44986</v>
      </c>
      <c r="N289" s="44"/>
      <c r="O289" s="23" t="s">
        <v>26</v>
      </c>
      <c r="P289" s="24"/>
      <c r="Q289" s="23" t="s">
        <v>416</v>
      </c>
    </row>
    <row r="290" spans="1:17">
      <c r="A290" s="14">
        <v>286</v>
      </c>
      <c r="B290" s="31" t="s">
        <v>417</v>
      </c>
      <c r="C290" s="16">
        <f>'Медикаменты Апрель'!L287</f>
        <v>0</v>
      </c>
      <c r="D290" s="17"/>
      <c r="E290" s="14"/>
      <c r="F290" s="18"/>
      <c r="G290" s="19"/>
      <c r="H290" s="20"/>
      <c r="I290" s="21"/>
      <c r="J290" s="14"/>
      <c r="K290" s="14">
        <f t="shared" si="8"/>
        <v>0</v>
      </c>
      <c r="L290" s="16">
        <f t="shared" si="9"/>
        <v>0</v>
      </c>
      <c r="M290" s="22">
        <v>44136</v>
      </c>
      <c r="N290" s="44"/>
      <c r="O290" s="23" t="s">
        <v>16</v>
      </c>
      <c r="P290" s="24"/>
      <c r="Q290" s="23" t="s">
        <v>418</v>
      </c>
    </row>
    <row r="291" spans="1:17">
      <c r="A291" s="14">
        <v>287</v>
      </c>
      <c r="B291" s="29" t="s">
        <v>419</v>
      </c>
      <c r="C291" s="16">
        <f>'Медикаменты Апрель'!L288</f>
        <v>0</v>
      </c>
      <c r="D291" s="17"/>
      <c r="E291" s="14"/>
      <c r="F291" s="18"/>
      <c r="G291" s="19"/>
      <c r="H291" s="20"/>
      <c r="I291" s="21"/>
      <c r="J291" s="14"/>
      <c r="K291" s="14">
        <f t="shared" si="8"/>
        <v>0</v>
      </c>
      <c r="L291" s="16">
        <f t="shared" si="9"/>
        <v>0</v>
      </c>
      <c r="M291" s="22"/>
      <c r="N291" s="44"/>
      <c r="O291" s="23" t="s">
        <v>16</v>
      </c>
      <c r="P291" s="24"/>
      <c r="Q291" s="25"/>
    </row>
    <row r="292" spans="1:17">
      <c r="A292" s="14">
        <v>288</v>
      </c>
      <c r="B292" s="29" t="s">
        <v>420</v>
      </c>
      <c r="C292" s="16">
        <f>'Медикаменты Апрель'!L289</f>
        <v>16</v>
      </c>
      <c r="D292" s="17"/>
      <c r="E292" s="14"/>
      <c r="F292" s="18"/>
      <c r="G292" s="19"/>
      <c r="H292" s="20">
        <f>16</f>
        <v>16</v>
      </c>
      <c r="I292" s="21"/>
      <c r="J292" s="14"/>
      <c r="K292" s="14">
        <f t="shared" si="8"/>
        <v>16</v>
      </c>
      <c r="L292" s="16">
        <f t="shared" si="9"/>
        <v>0</v>
      </c>
      <c r="M292" s="22">
        <v>45047</v>
      </c>
      <c r="N292" s="44" t="s">
        <v>45</v>
      </c>
      <c r="O292" s="23" t="s">
        <v>16</v>
      </c>
      <c r="P292" s="24" t="s">
        <v>17</v>
      </c>
      <c r="Q292" s="23" t="s">
        <v>421</v>
      </c>
    </row>
    <row r="293" spans="1:17">
      <c r="A293" s="14">
        <v>289</v>
      </c>
      <c r="B293" s="29" t="s">
        <v>420</v>
      </c>
      <c r="C293" s="16">
        <f>'Медикаменты Апрель'!L290</f>
        <v>0</v>
      </c>
      <c r="D293" s="17"/>
      <c r="E293" s="14"/>
      <c r="F293" s="18"/>
      <c r="G293" s="19"/>
      <c r="H293" s="20"/>
      <c r="I293" s="21"/>
      <c r="J293" s="14"/>
      <c r="K293" s="14">
        <f t="shared" si="8"/>
        <v>0</v>
      </c>
      <c r="L293" s="16">
        <f t="shared" si="9"/>
        <v>0</v>
      </c>
      <c r="M293" s="22">
        <v>45047</v>
      </c>
      <c r="N293" s="44"/>
      <c r="O293" s="23" t="s">
        <v>26</v>
      </c>
      <c r="P293" s="24"/>
      <c r="Q293" s="23" t="s">
        <v>421</v>
      </c>
    </row>
    <row r="294" spans="1:17">
      <c r="A294" s="14">
        <v>290</v>
      </c>
      <c r="B294" s="29" t="s">
        <v>422</v>
      </c>
      <c r="C294" s="16">
        <f>'Медикаменты Апрель'!L291</f>
        <v>0</v>
      </c>
      <c r="D294" s="17"/>
      <c r="E294" s="14"/>
      <c r="F294" s="18"/>
      <c r="G294" s="19"/>
      <c r="H294" s="20"/>
      <c r="I294" s="21"/>
      <c r="J294" s="14"/>
      <c r="K294" s="14">
        <f t="shared" si="8"/>
        <v>0</v>
      </c>
      <c r="L294" s="16">
        <f t="shared" si="9"/>
        <v>0</v>
      </c>
      <c r="M294" s="22"/>
      <c r="N294" s="44"/>
      <c r="O294" s="23" t="s">
        <v>26</v>
      </c>
      <c r="P294" s="24"/>
      <c r="Q294" s="25"/>
    </row>
    <row r="295" spans="1:17">
      <c r="A295" s="14">
        <v>291</v>
      </c>
      <c r="B295" s="29" t="s">
        <v>422</v>
      </c>
      <c r="C295" s="16">
        <f>'Медикаменты Апрель'!L292</f>
        <v>48</v>
      </c>
      <c r="D295" s="17"/>
      <c r="E295" s="14"/>
      <c r="F295" s="18"/>
      <c r="G295" s="19"/>
      <c r="H295" s="20">
        <f>15</f>
        <v>15</v>
      </c>
      <c r="I295" s="21"/>
      <c r="J295" s="14"/>
      <c r="K295" s="14">
        <f t="shared" si="8"/>
        <v>15</v>
      </c>
      <c r="L295" s="16">
        <f t="shared" si="9"/>
        <v>33</v>
      </c>
      <c r="M295" s="22">
        <v>44531</v>
      </c>
      <c r="N295" s="44" t="s">
        <v>45</v>
      </c>
      <c r="O295" s="23" t="s">
        <v>16</v>
      </c>
      <c r="P295" s="24" t="s">
        <v>17</v>
      </c>
      <c r="Q295" s="28" t="s">
        <v>423</v>
      </c>
    </row>
    <row r="296" spans="1:17">
      <c r="A296" s="14">
        <v>292</v>
      </c>
      <c r="B296" s="29" t="s">
        <v>424</v>
      </c>
      <c r="C296" s="16">
        <f>'Медикаменты Апрель'!L293</f>
        <v>12</v>
      </c>
      <c r="D296" s="17"/>
      <c r="E296" s="14"/>
      <c r="F296" s="18">
        <f>5</f>
        <v>5</v>
      </c>
      <c r="G296" s="19"/>
      <c r="H296" s="20"/>
      <c r="I296" s="21"/>
      <c r="J296" s="14"/>
      <c r="K296" s="14">
        <f t="shared" si="8"/>
        <v>5</v>
      </c>
      <c r="L296" s="16">
        <f t="shared" si="9"/>
        <v>7</v>
      </c>
      <c r="M296" s="22">
        <v>44986</v>
      </c>
      <c r="N296" s="44" t="s">
        <v>551</v>
      </c>
      <c r="O296" s="23" t="s">
        <v>16</v>
      </c>
      <c r="P296" s="24" t="s">
        <v>17</v>
      </c>
      <c r="Q296" s="28" t="s">
        <v>425</v>
      </c>
    </row>
    <row r="297" spans="1:17">
      <c r="A297" s="14">
        <v>293</v>
      </c>
      <c r="B297" s="29" t="s">
        <v>426</v>
      </c>
      <c r="C297" s="16">
        <f>'Медикаменты Апрель'!L294</f>
        <v>0</v>
      </c>
      <c r="D297" s="17"/>
      <c r="E297" s="14"/>
      <c r="F297" s="18"/>
      <c r="G297" s="19"/>
      <c r="H297" s="20"/>
      <c r="I297" s="21"/>
      <c r="J297" s="14"/>
      <c r="K297" s="14">
        <f t="shared" si="8"/>
        <v>0</v>
      </c>
      <c r="L297" s="16">
        <f t="shared" si="9"/>
        <v>0</v>
      </c>
      <c r="M297" s="22"/>
      <c r="N297" s="44"/>
      <c r="O297" s="23" t="s">
        <v>16</v>
      </c>
      <c r="P297" s="24"/>
      <c r="Q297" s="25"/>
    </row>
    <row r="298" spans="1:17">
      <c r="A298" s="14">
        <v>294</v>
      </c>
      <c r="B298" s="29" t="s">
        <v>427</v>
      </c>
      <c r="C298" s="16">
        <f>'Медикаменты Апрель'!L295</f>
        <v>0</v>
      </c>
      <c r="D298" s="17"/>
      <c r="E298" s="14"/>
      <c r="F298" s="18"/>
      <c r="G298" s="19"/>
      <c r="H298" s="20"/>
      <c r="I298" s="21"/>
      <c r="J298" s="14"/>
      <c r="K298" s="14">
        <f t="shared" si="8"/>
        <v>0</v>
      </c>
      <c r="L298" s="16">
        <f t="shared" si="9"/>
        <v>0</v>
      </c>
      <c r="M298" s="22"/>
      <c r="N298" s="44"/>
      <c r="O298" s="23" t="s">
        <v>16</v>
      </c>
      <c r="P298" s="24"/>
      <c r="Q298" s="25"/>
    </row>
    <row r="299" spans="1:17">
      <c r="A299" s="14">
        <v>295</v>
      </c>
      <c r="B299" s="29" t="s">
        <v>428</v>
      </c>
      <c r="C299" s="16">
        <f>'Медикаменты Апрель'!L296</f>
        <v>42</v>
      </c>
      <c r="D299" s="17"/>
      <c r="E299" s="14"/>
      <c r="F299" s="18"/>
      <c r="G299" s="19"/>
      <c r="H299" s="20"/>
      <c r="I299" s="21"/>
      <c r="J299" s="14"/>
      <c r="K299" s="14">
        <f t="shared" si="8"/>
        <v>0</v>
      </c>
      <c r="L299" s="16">
        <f t="shared" si="9"/>
        <v>42</v>
      </c>
      <c r="M299" s="22">
        <v>44501</v>
      </c>
      <c r="N299" s="44" t="s">
        <v>45</v>
      </c>
      <c r="O299" s="23" t="s">
        <v>16</v>
      </c>
      <c r="P299" s="24" t="s">
        <v>17</v>
      </c>
      <c r="Q299" s="28" t="s">
        <v>429</v>
      </c>
    </row>
    <row r="300" spans="1:17">
      <c r="A300" s="14">
        <v>296</v>
      </c>
      <c r="B300" s="29" t="s">
        <v>430</v>
      </c>
      <c r="C300" s="16">
        <f>'Медикаменты Апрель'!L297</f>
        <v>18</v>
      </c>
      <c r="D300" s="26"/>
      <c r="E300" s="14"/>
      <c r="F300" s="18">
        <f>1</f>
        <v>1</v>
      </c>
      <c r="G300" s="19"/>
      <c r="H300" s="20"/>
      <c r="I300" s="21"/>
      <c r="J300" s="14"/>
      <c r="K300" s="14">
        <f t="shared" si="8"/>
        <v>1</v>
      </c>
      <c r="L300" s="16">
        <f t="shared" si="9"/>
        <v>17</v>
      </c>
      <c r="M300" s="22">
        <v>44835</v>
      </c>
      <c r="N300" s="44" t="s">
        <v>45</v>
      </c>
      <c r="O300" s="23" t="s">
        <v>16</v>
      </c>
      <c r="P300" s="24" t="s">
        <v>17</v>
      </c>
      <c r="Q300" s="28" t="s">
        <v>431</v>
      </c>
    </row>
    <row r="301" spans="1:17">
      <c r="A301" s="14">
        <v>297</v>
      </c>
      <c r="B301" s="29" t="s">
        <v>430</v>
      </c>
      <c r="C301" s="16">
        <f>'Медикаменты Апрель'!L298</f>
        <v>0</v>
      </c>
      <c r="D301" s="26"/>
      <c r="E301" s="14"/>
      <c r="F301" s="18"/>
      <c r="G301" s="19"/>
      <c r="H301" s="20"/>
      <c r="I301" s="21"/>
      <c r="J301" s="14"/>
      <c r="K301" s="14">
        <f t="shared" si="8"/>
        <v>0</v>
      </c>
      <c r="L301" s="16">
        <f t="shared" si="9"/>
        <v>0</v>
      </c>
      <c r="M301" s="22">
        <v>44835</v>
      </c>
      <c r="N301" s="44"/>
      <c r="O301" s="23" t="s">
        <v>26</v>
      </c>
      <c r="P301" s="24" t="s">
        <v>17</v>
      </c>
      <c r="Q301" s="28" t="s">
        <v>431</v>
      </c>
    </row>
    <row r="302" spans="1:17">
      <c r="A302" s="14">
        <v>298</v>
      </c>
      <c r="B302" s="29" t="s">
        <v>432</v>
      </c>
      <c r="C302" s="16">
        <f>'Медикаменты Апрель'!L299</f>
        <v>0</v>
      </c>
      <c r="D302" s="17"/>
      <c r="E302" s="14"/>
      <c r="F302" s="18"/>
      <c r="G302" s="19"/>
      <c r="H302" s="20"/>
      <c r="I302" s="21"/>
      <c r="J302" s="14"/>
      <c r="K302" s="14">
        <f t="shared" si="8"/>
        <v>0</v>
      </c>
      <c r="L302" s="16">
        <f t="shared" si="9"/>
        <v>0</v>
      </c>
      <c r="M302" s="22"/>
      <c r="N302" s="44"/>
      <c r="O302" s="23" t="s">
        <v>16</v>
      </c>
      <c r="P302" s="24"/>
      <c r="Q302" s="25"/>
    </row>
    <row r="303" spans="1:17">
      <c r="A303" s="14">
        <v>299</v>
      </c>
      <c r="B303" s="29" t="s">
        <v>433</v>
      </c>
      <c r="C303" s="16">
        <f>'Медикаменты Апрель'!L300</f>
        <v>0</v>
      </c>
      <c r="D303" s="17"/>
      <c r="E303" s="14"/>
      <c r="F303" s="18"/>
      <c r="G303" s="19"/>
      <c r="H303" s="20"/>
      <c r="I303" s="21"/>
      <c r="J303" s="14"/>
      <c r="K303" s="14">
        <f t="shared" si="8"/>
        <v>0</v>
      </c>
      <c r="L303" s="16">
        <f t="shared" si="9"/>
        <v>0</v>
      </c>
      <c r="M303" s="22"/>
      <c r="N303" s="44"/>
      <c r="O303" s="23" t="s">
        <v>16</v>
      </c>
      <c r="P303" s="24"/>
      <c r="Q303" s="25"/>
    </row>
    <row r="304" spans="1:17">
      <c r="A304" s="14">
        <v>300</v>
      </c>
      <c r="B304" s="29" t="s">
        <v>434</v>
      </c>
      <c r="C304" s="16">
        <f>'Медикаменты Апрель'!L301</f>
        <v>0</v>
      </c>
      <c r="D304" s="17"/>
      <c r="E304" s="14"/>
      <c r="F304" s="18"/>
      <c r="G304" s="19"/>
      <c r="H304" s="20"/>
      <c r="I304" s="21"/>
      <c r="J304" s="14"/>
      <c r="K304" s="14">
        <f t="shared" si="8"/>
        <v>0</v>
      </c>
      <c r="L304" s="16">
        <f t="shared" si="9"/>
        <v>0</v>
      </c>
      <c r="M304" s="22"/>
      <c r="N304" s="44"/>
      <c r="O304" s="23" t="s">
        <v>16</v>
      </c>
      <c r="P304" s="24"/>
      <c r="Q304" s="25"/>
    </row>
    <row r="305" spans="1:17">
      <c r="A305" s="14">
        <v>301</v>
      </c>
      <c r="B305" s="29" t="s">
        <v>435</v>
      </c>
      <c r="C305" s="16">
        <f>'Медикаменты Апрель'!L302</f>
        <v>0</v>
      </c>
      <c r="D305" s="17"/>
      <c r="E305" s="14"/>
      <c r="F305" s="18"/>
      <c r="G305" s="19"/>
      <c r="H305" s="20"/>
      <c r="I305" s="21"/>
      <c r="J305" s="14"/>
      <c r="K305" s="14">
        <f t="shared" si="8"/>
        <v>0</v>
      </c>
      <c r="L305" s="16">
        <f t="shared" si="9"/>
        <v>0</v>
      </c>
      <c r="M305" s="22"/>
      <c r="N305" s="44"/>
      <c r="O305" s="23" t="s">
        <v>16</v>
      </c>
      <c r="P305" s="24"/>
      <c r="Q305" s="25"/>
    </row>
    <row r="306" spans="1:17">
      <c r="A306" s="14">
        <v>302</v>
      </c>
      <c r="B306" s="29" t="s">
        <v>436</v>
      </c>
      <c r="C306" s="16">
        <f>'Медикаменты Апрель'!L303</f>
        <v>0</v>
      </c>
      <c r="D306" s="17"/>
      <c r="E306" s="14"/>
      <c r="F306" s="18"/>
      <c r="G306" s="19"/>
      <c r="H306" s="20"/>
      <c r="I306" s="21"/>
      <c r="J306" s="14"/>
      <c r="K306" s="14">
        <f t="shared" si="8"/>
        <v>0</v>
      </c>
      <c r="L306" s="16">
        <f t="shared" si="9"/>
        <v>0</v>
      </c>
      <c r="M306" s="22"/>
      <c r="N306" s="44"/>
      <c r="O306" s="23" t="s">
        <v>16</v>
      </c>
      <c r="P306" s="24"/>
      <c r="Q306" s="25"/>
    </row>
    <row r="307" spans="1:17">
      <c r="A307" s="14">
        <v>303</v>
      </c>
      <c r="B307" s="29" t="s">
        <v>437</v>
      </c>
      <c r="C307" s="16">
        <f>'Медикаменты Апрель'!L304</f>
        <v>0</v>
      </c>
      <c r="D307" s="17"/>
      <c r="E307" s="14"/>
      <c r="F307" s="18"/>
      <c r="G307" s="19"/>
      <c r="H307" s="20"/>
      <c r="I307" s="21"/>
      <c r="J307" s="14"/>
      <c r="K307" s="14">
        <f t="shared" si="8"/>
        <v>0</v>
      </c>
      <c r="L307" s="16">
        <f t="shared" si="9"/>
        <v>0</v>
      </c>
      <c r="M307" s="22">
        <v>44440</v>
      </c>
      <c r="N307" s="44"/>
      <c r="O307" s="23" t="s">
        <v>16</v>
      </c>
      <c r="P307" s="24"/>
      <c r="Q307" s="23" t="s">
        <v>438</v>
      </c>
    </row>
    <row r="308" spans="1:17" ht="25.5">
      <c r="A308" s="14">
        <v>304</v>
      </c>
      <c r="B308" s="29" t="s">
        <v>439</v>
      </c>
      <c r="C308" s="16">
        <f>'Медикаменты Апрель'!L305</f>
        <v>0</v>
      </c>
      <c r="D308" s="17"/>
      <c r="E308" s="14"/>
      <c r="F308" s="18"/>
      <c r="G308" s="19"/>
      <c r="H308" s="20"/>
      <c r="I308" s="21"/>
      <c r="J308" s="14"/>
      <c r="K308" s="14">
        <f t="shared" si="8"/>
        <v>0</v>
      </c>
      <c r="L308" s="16">
        <f t="shared" si="9"/>
        <v>0</v>
      </c>
      <c r="M308" s="22">
        <v>45047</v>
      </c>
      <c r="N308" s="44" t="s">
        <v>45</v>
      </c>
      <c r="O308" s="23" t="s">
        <v>16</v>
      </c>
      <c r="P308" s="24" t="s">
        <v>45</v>
      </c>
      <c r="Q308" s="23" t="s">
        <v>438</v>
      </c>
    </row>
    <row r="309" spans="1:17">
      <c r="A309" s="14">
        <v>305</v>
      </c>
      <c r="B309" s="29" t="s">
        <v>437</v>
      </c>
      <c r="C309" s="16">
        <f>'Медикаменты Апрель'!L306</f>
        <v>0</v>
      </c>
      <c r="D309" s="17"/>
      <c r="E309" s="14"/>
      <c r="F309" s="18"/>
      <c r="G309" s="19"/>
      <c r="H309" s="20"/>
      <c r="I309" s="21"/>
      <c r="J309" s="14"/>
      <c r="K309" s="14">
        <f t="shared" si="8"/>
        <v>0</v>
      </c>
      <c r="L309" s="16">
        <f t="shared" si="9"/>
        <v>0</v>
      </c>
      <c r="M309" s="22">
        <v>45047</v>
      </c>
      <c r="N309" s="44"/>
      <c r="O309" s="23" t="s">
        <v>26</v>
      </c>
      <c r="P309" s="24"/>
      <c r="Q309" s="23" t="s">
        <v>438</v>
      </c>
    </row>
    <row r="310" spans="1:17">
      <c r="A310" s="14">
        <v>306</v>
      </c>
      <c r="B310" s="29" t="s">
        <v>440</v>
      </c>
      <c r="C310" s="16">
        <f>'Медикаменты Апрель'!L307</f>
        <v>0</v>
      </c>
      <c r="D310" s="17"/>
      <c r="E310" s="14"/>
      <c r="F310" s="18"/>
      <c r="G310" s="19"/>
      <c r="H310" s="20"/>
      <c r="I310" s="21"/>
      <c r="J310" s="14"/>
      <c r="K310" s="14">
        <f t="shared" si="8"/>
        <v>0</v>
      </c>
      <c r="L310" s="16">
        <f t="shared" si="9"/>
        <v>0</v>
      </c>
      <c r="M310" s="22"/>
      <c r="N310" s="44"/>
      <c r="O310" s="23" t="s">
        <v>16</v>
      </c>
      <c r="P310" s="24"/>
      <c r="Q310" s="25"/>
    </row>
    <row r="311" spans="1:17">
      <c r="A311" s="14">
        <v>307</v>
      </c>
      <c r="B311" s="29" t="s">
        <v>441</v>
      </c>
      <c r="C311" s="16">
        <f>'Медикаменты Апрель'!L308</f>
        <v>0</v>
      </c>
      <c r="D311" s="17"/>
      <c r="E311" s="14"/>
      <c r="F311" s="18"/>
      <c r="G311" s="19"/>
      <c r="H311" s="20"/>
      <c r="I311" s="21"/>
      <c r="J311" s="14"/>
      <c r="K311" s="14">
        <f t="shared" si="8"/>
        <v>0</v>
      </c>
      <c r="L311" s="16">
        <f t="shared" si="9"/>
        <v>0</v>
      </c>
      <c r="M311" s="22"/>
      <c r="N311" s="44"/>
      <c r="O311" s="23" t="s">
        <v>16</v>
      </c>
      <c r="P311" s="24"/>
      <c r="Q311" s="25"/>
    </row>
    <row r="312" spans="1:17">
      <c r="A312" s="14">
        <v>308</v>
      </c>
      <c r="B312" s="29" t="s">
        <v>442</v>
      </c>
      <c r="C312" s="16">
        <f>'Медикаменты Апрель'!L309</f>
        <v>0</v>
      </c>
      <c r="D312" s="17"/>
      <c r="E312" s="14"/>
      <c r="F312" s="18"/>
      <c r="G312" s="19"/>
      <c r="H312" s="20"/>
      <c r="I312" s="21"/>
      <c r="J312" s="14"/>
      <c r="K312" s="14">
        <f t="shared" si="8"/>
        <v>0</v>
      </c>
      <c r="L312" s="16">
        <f t="shared" si="9"/>
        <v>0</v>
      </c>
      <c r="M312" s="22"/>
      <c r="N312" s="44"/>
      <c r="O312" s="23" t="s">
        <v>16</v>
      </c>
      <c r="P312" s="24"/>
      <c r="Q312" s="25"/>
    </row>
    <row r="313" spans="1:17">
      <c r="A313" s="14">
        <v>309</v>
      </c>
      <c r="B313" s="29" t="s">
        <v>443</v>
      </c>
      <c r="C313" s="16">
        <f>'Медикаменты Апрель'!L310</f>
        <v>0</v>
      </c>
      <c r="D313" s="17"/>
      <c r="E313" s="14"/>
      <c r="F313" s="18"/>
      <c r="G313" s="19"/>
      <c r="H313" s="20"/>
      <c r="I313" s="21"/>
      <c r="J313" s="14"/>
      <c r="K313" s="14">
        <f t="shared" si="8"/>
        <v>0</v>
      </c>
      <c r="L313" s="16">
        <f t="shared" si="9"/>
        <v>0</v>
      </c>
      <c r="M313" s="22"/>
      <c r="N313" s="44"/>
      <c r="O313" s="23" t="s">
        <v>16</v>
      </c>
      <c r="P313" s="24"/>
      <c r="Q313" s="25"/>
    </row>
    <row r="314" spans="1:17">
      <c r="A314" s="14">
        <v>310</v>
      </c>
      <c r="B314" s="29" t="s">
        <v>444</v>
      </c>
      <c r="C314" s="16">
        <f>'Медикаменты Апрель'!L311</f>
        <v>30</v>
      </c>
      <c r="D314" s="17"/>
      <c r="E314" s="14"/>
      <c r="F314" s="18">
        <f>5+5</f>
        <v>10</v>
      </c>
      <c r="G314" s="19"/>
      <c r="H314" s="20"/>
      <c r="I314" s="21"/>
      <c r="J314" s="14"/>
      <c r="K314" s="14">
        <f t="shared" si="8"/>
        <v>10</v>
      </c>
      <c r="L314" s="16">
        <f t="shared" si="9"/>
        <v>20</v>
      </c>
      <c r="M314" s="22">
        <v>44501</v>
      </c>
      <c r="N314" s="44" t="s">
        <v>45</v>
      </c>
      <c r="O314" s="23" t="s">
        <v>16</v>
      </c>
      <c r="P314" s="24" t="s">
        <v>17</v>
      </c>
      <c r="Q314" s="23" t="s">
        <v>445</v>
      </c>
    </row>
    <row r="315" spans="1:17">
      <c r="A315" s="14">
        <v>311</v>
      </c>
      <c r="B315" s="29" t="s">
        <v>446</v>
      </c>
      <c r="C315" s="16">
        <f>'Медикаменты Апрель'!L312</f>
        <v>0</v>
      </c>
      <c r="D315" s="17"/>
      <c r="E315" s="14"/>
      <c r="F315" s="18"/>
      <c r="G315" s="19"/>
      <c r="H315" s="20"/>
      <c r="I315" s="21"/>
      <c r="J315" s="14"/>
      <c r="K315" s="14">
        <f t="shared" si="8"/>
        <v>0</v>
      </c>
      <c r="L315" s="16">
        <f t="shared" si="9"/>
        <v>0</v>
      </c>
      <c r="M315" s="22"/>
      <c r="N315" s="44"/>
      <c r="O315" s="23" t="s">
        <v>16</v>
      </c>
      <c r="P315" s="24"/>
      <c r="Q315" s="25"/>
    </row>
    <row r="316" spans="1:17">
      <c r="A316" s="14">
        <v>312</v>
      </c>
      <c r="B316" s="29" t="s">
        <v>447</v>
      </c>
      <c r="C316" s="16">
        <f>'Медикаменты Апрель'!L313</f>
        <v>0</v>
      </c>
      <c r="D316" s="17"/>
      <c r="E316" s="14"/>
      <c r="F316" s="18"/>
      <c r="G316" s="19"/>
      <c r="H316" s="20"/>
      <c r="I316" s="21"/>
      <c r="J316" s="14"/>
      <c r="K316" s="14">
        <f t="shared" si="8"/>
        <v>0</v>
      </c>
      <c r="L316" s="16">
        <f t="shared" si="9"/>
        <v>0</v>
      </c>
      <c r="M316" s="22">
        <v>44593</v>
      </c>
      <c r="N316" s="44"/>
      <c r="O316" s="23" t="s">
        <v>16</v>
      </c>
      <c r="P316" s="24"/>
      <c r="Q316" s="23" t="s">
        <v>448</v>
      </c>
    </row>
    <row r="317" spans="1:17">
      <c r="A317" s="14">
        <v>313</v>
      </c>
      <c r="B317" s="29" t="s">
        <v>449</v>
      </c>
      <c r="C317" s="16">
        <f>'Медикаменты Апрель'!L314</f>
        <v>0</v>
      </c>
      <c r="D317" s="17"/>
      <c r="E317" s="14"/>
      <c r="F317" s="18"/>
      <c r="G317" s="19"/>
      <c r="H317" s="20"/>
      <c r="I317" s="21"/>
      <c r="J317" s="14"/>
      <c r="K317" s="14">
        <f t="shared" si="8"/>
        <v>0</v>
      </c>
      <c r="L317" s="16">
        <f t="shared" si="9"/>
        <v>0</v>
      </c>
      <c r="M317" s="22">
        <v>44228</v>
      </c>
      <c r="N317" s="44"/>
      <c r="O317" s="23" t="s">
        <v>16</v>
      </c>
      <c r="P317" s="24" t="s">
        <v>17</v>
      </c>
      <c r="Q317" s="23" t="s">
        <v>450</v>
      </c>
    </row>
    <row r="318" spans="1:17">
      <c r="A318" s="14">
        <v>314</v>
      </c>
      <c r="B318" s="29" t="s">
        <v>451</v>
      </c>
      <c r="C318" s="16">
        <f>'Медикаменты Апрель'!L315</f>
        <v>0</v>
      </c>
      <c r="D318" s="17"/>
      <c r="E318" s="14"/>
      <c r="F318" s="18"/>
      <c r="G318" s="19"/>
      <c r="H318" s="20"/>
      <c r="I318" s="21"/>
      <c r="J318" s="14"/>
      <c r="K318" s="14">
        <f t="shared" si="8"/>
        <v>0</v>
      </c>
      <c r="L318" s="16">
        <f t="shared" si="9"/>
        <v>0</v>
      </c>
      <c r="M318" s="22">
        <v>44317</v>
      </c>
      <c r="N318" s="44"/>
      <c r="O318" s="23" t="s">
        <v>16</v>
      </c>
      <c r="P318" s="24" t="s">
        <v>17</v>
      </c>
      <c r="Q318" s="23" t="s">
        <v>452</v>
      </c>
    </row>
    <row r="319" spans="1:17" ht="25.5">
      <c r="A319" s="14">
        <v>315</v>
      </c>
      <c r="B319" s="29" t="s">
        <v>453</v>
      </c>
      <c r="C319" s="16">
        <f>'Медикаменты Апрель'!L316</f>
        <v>19</v>
      </c>
      <c r="D319" s="17"/>
      <c r="E319" s="14"/>
      <c r="F319" s="18"/>
      <c r="G319" s="19"/>
      <c r="H319" s="20"/>
      <c r="I319" s="21"/>
      <c r="J319" s="14"/>
      <c r="K319" s="14">
        <f t="shared" si="8"/>
        <v>0</v>
      </c>
      <c r="L319" s="16">
        <f t="shared" si="9"/>
        <v>19</v>
      </c>
      <c r="M319" s="22">
        <v>44470</v>
      </c>
      <c r="N319" s="44" t="s">
        <v>45</v>
      </c>
      <c r="O319" s="23" t="s">
        <v>16</v>
      </c>
      <c r="P319" s="24" t="s">
        <v>17</v>
      </c>
      <c r="Q319" s="28" t="s">
        <v>454</v>
      </c>
    </row>
    <row r="320" spans="1:17">
      <c r="A320" s="14">
        <v>316</v>
      </c>
      <c r="B320" s="29" t="s">
        <v>575</v>
      </c>
      <c r="C320" s="16"/>
      <c r="D320" s="17"/>
      <c r="E320" s="14">
        <f>2</f>
        <v>2</v>
      </c>
      <c r="F320" s="18"/>
      <c r="G320" s="19"/>
      <c r="H320" s="20"/>
      <c r="I320" s="21"/>
      <c r="J320" s="14"/>
      <c r="K320" s="14">
        <f t="shared" si="8"/>
        <v>0</v>
      </c>
      <c r="L320" s="16">
        <f t="shared" si="9"/>
        <v>2</v>
      </c>
      <c r="M320" s="22">
        <v>45444</v>
      </c>
      <c r="N320" s="44" t="s">
        <v>45</v>
      </c>
      <c r="O320" s="23" t="s">
        <v>16</v>
      </c>
      <c r="P320" s="24" t="s">
        <v>17</v>
      </c>
      <c r="Q320" s="23" t="s">
        <v>576</v>
      </c>
    </row>
    <row r="321" spans="1:17">
      <c r="A321" s="14">
        <v>317</v>
      </c>
      <c r="B321" s="29" t="s">
        <v>455</v>
      </c>
      <c r="C321" s="16">
        <f>'Медикаменты Апрель'!L317</f>
        <v>0</v>
      </c>
      <c r="D321" s="17"/>
      <c r="E321" s="14"/>
      <c r="F321" s="18"/>
      <c r="G321" s="19"/>
      <c r="H321" s="20"/>
      <c r="I321" s="21"/>
      <c r="J321" s="14"/>
      <c r="K321" s="14">
        <f t="shared" si="8"/>
        <v>0</v>
      </c>
      <c r="L321" s="16">
        <f t="shared" si="9"/>
        <v>0</v>
      </c>
      <c r="M321" s="22"/>
      <c r="N321" s="44"/>
      <c r="O321" s="23" t="s">
        <v>16</v>
      </c>
      <c r="P321" s="24"/>
      <c r="Q321" s="25"/>
    </row>
    <row r="322" spans="1:17">
      <c r="A322" s="14">
        <v>318</v>
      </c>
      <c r="B322" s="29" t="s">
        <v>456</v>
      </c>
      <c r="C322" s="16">
        <f>'Медикаменты Апрель'!L318</f>
        <v>0</v>
      </c>
      <c r="D322" s="17"/>
      <c r="E322" s="14"/>
      <c r="F322" s="18"/>
      <c r="G322" s="19"/>
      <c r="H322" s="20"/>
      <c r="I322" s="21"/>
      <c r="J322" s="14"/>
      <c r="K322" s="14">
        <f t="shared" si="8"/>
        <v>0</v>
      </c>
      <c r="L322" s="16">
        <f t="shared" si="9"/>
        <v>0</v>
      </c>
      <c r="M322" s="22">
        <v>44287</v>
      </c>
      <c r="N322" s="44"/>
      <c r="O322" s="23" t="s">
        <v>16</v>
      </c>
      <c r="P322" s="24"/>
      <c r="Q322" s="23" t="s">
        <v>457</v>
      </c>
    </row>
    <row r="323" spans="1:17">
      <c r="A323" s="14">
        <v>319</v>
      </c>
      <c r="B323" s="29" t="s">
        <v>458</v>
      </c>
      <c r="C323" s="16">
        <f>'Медикаменты Апрель'!L319</f>
        <v>0</v>
      </c>
      <c r="D323" s="17"/>
      <c r="E323" s="14"/>
      <c r="F323" s="18"/>
      <c r="G323" s="19"/>
      <c r="H323" s="20"/>
      <c r="I323" s="21"/>
      <c r="J323" s="14"/>
      <c r="K323" s="14">
        <f t="shared" si="8"/>
        <v>0</v>
      </c>
      <c r="L323" s="16">
        <f t="shared" si="9"/>
        <v>0</v>
      </c>
      <c r="M323" s="22">
        <v>44287</v>
      </c>
      <c r="N323" s="44" t="s">
        <v>45</v>
      </c>
      <c r="O323" s="23" t="s">
        <v>16</v>
      </c>
      <c r="P323" s="24" t="s">
        <v>45</v>
      </c>
      <c r="Q323" s="28" t="s">
        <v>459</v>
      </c>
    </row>
    <row r="324" spans="1:17">
      <c r="A324" s="14">
        <v>320</v>
      </c>
      <c r="B324" s="29" t="s">
        <v>460</v>
      </c>
      <c r="C324" s="16">
        <f>'Медикаменты Апрель'!L320</f>
        <v>0</v>
      </c>
      <c r="D324" s="17"/>
      <c r="E324" s="14"/>
      <c r="F324" s="18"/>
      <c r="G324" s="19"/>
      <c r="H324" s="20"/>
      <c r="I324" s="21"/>
      <c r="J324" s="14"/>
      <c r="K324" s="14">
        <f t="shared" si="8"/>
        <v>0</v>
      </c>
      <c r="L324" s="16">
        <f t="shared" si="9"/>
        <v>0</v>
      </c>
      <c r="M324" s="22">
        <v>45597</v>
      </c>
      <c r="N324" s="44"/>
      <c r="O324" s="23" t="s">
        <v>16</v>
      </c>
      <c r="P324" s="24" t="s">
        <v>45</v>
      </c>
      <c r="Q324" s="23" t="s">
        <v>461</v>
      </c>
    </row>
    <row r="325" spans="1:17">
      <c r="A325" s="14">
        <v>321</v>
      </c>
      <c r="B325" s="29" t="s">
        <v>462</v>
      </c>
      <c r="C325" s="16">
        <f>'Медикаменты Апрель'!L321</f>
        <v>0</v>
      </c>
      <c r="D325" s="17"/>
      <c r="E325" s="14"/>
      <c r="F325" s="18"/>
      <c r="G325" s="19"/>
      <c r="H325" s="20"/>
      <c r="I325" s="21"/>
      <c r="J325" s="14"/>
      <c r="K325" s="14">
        <f t="shared" ref="K325:K388" si="10">SUM(F325:J325)</f>
        <v>0</v>
      </c>
      <c r="L325" s="16">
        <f t="shared" ref="L325:L388" si="11">(C325+E325)-K325</f>
        <v>0</v>
      </c>
      <c r="M325" s="22">
        <v>43952</v>
      </c>
      <c r="N325" s="44"/>
      <c r="O325" s="23" t="s">
        <v>16</v>
      </c>
      <c r="P325" s="24"/>
      <c r="Q325" s="25"/>
    </row>
    <row r="326" spans="1:17">
      <c r="A326" s="14">
        <v>322</v>
      </c>
      <c r="B326" s="29" t="s">
        <v>463</v>
      </c>
      <c r="C326" s="16">
        <f>'Медикаменты Апрель'!L322</f>
        <v>0</v>
      </c>
      <c r="D326" s="17"/>
      <c r="E326" s="14"/>
      <c r="F326" s="18"/>
      <c r="G326" s="19"/>
      <c r="H326" s="20"/>
      <c r="I326" s="21"/>
      <c r="J326" s="14"/>
      <c r="K326" s="14">
        <f t="shared" si="10"/>
        <v>0</v>
      </c>
      <c r="L326" s="16">
        <f t="shared" si="11"/>
        <v>0</v>
      </c>
      <c r="M326" s="22"/>
      <c r="N326" s="44"/>
      <c r="O326" s="23" t="s">
        <v>16</v>
      </c>
      <c r="P326" s="24"/>
      <c r="Q326" s="25"/>
    </row>
    <row r="327" spans="1:17">
      <c r="A327" s="14">
        <v>323</v>
      </c>
      <c r="B327" s="29" t="s">
        <v>464</v>
      </c>
      <c r="C327" s="16">
        <f>'Медикаменты Апрель'!L323</f>
        <v>0</v>
      </c>
      <c r="D327" s="17"/>
      <c r="E327" s="14"/>
      <c r="F327" s="18"/>
      <c r="G327" s="19"/>
      <c r="H327" s="20"/>
      <c r="I327" s="21"/>
      <c r="J327" s="14"/>
      <c r="K327" s="14">
        <f t="shared" si="10"/>
        <v>0</v>
      </c>
      <c r="L327" s="16">
        <f t="shared" si="11"/>
        <v>0</v>
      </c>
      <c r="M327" s="22"/>
      <c r="N327" s="44"/>
      <c r="O327" s="23" t="s">
        <v>16</v>
      </c>
      <c r="P327" s="24"/>
      <c r="Q327" s="25"/>
    </row>
    <row r="328" spans="1:17">
      <c r="A328" s="14">
        <v>324</v>
      </c>
      <c r="B328" s="29" t="s">
        <v>465</v>
      </c>
      <c r="C328" s="16">
        <f>'Медикаменты Апрель'!L324</f>
        <v>0</v>
      </c>
      <c r="D328" s="17"/>
      <c r="E328" s="14"/>
      <c r="F328" s="18"/>
      <c r="G328" s="19"/>
      <c r="H328" s="20"/>
      <c r="I328" s="21"/>
      <c r="J328" s="14"/>
      <c r="K328" s="14">
        <f t="shared" si="10"/>
        <v>0</v>
      </c>
      <c r="L328" s="16">
        <f t="shared" si="11"/>
        <v>0</v>
      </c>
      <c r="M328" s="22"/>
      <c r="N328" s="44"/>
      <c r="O328" s="23" t="s">
        <v>16</v>
      </c>
      <c r="P328" s="24"/>
      <c r="Q328" s="25"/>
    </row>
    <row r="329" spans="1:17">
      <c r="A329" s="14">
        <v>325</v>
      </c>
      <c r="B329" s="29" t="s">
        <v>466</v>
      </c>
      <c r="C329" s="16">
        <f>'Медикаменты Апрель'!L325</f>
        <v>0</v>
      </c>
      <c r="D329" s="17"/>
      <c r="E329" s="14"/>
      <c r="F329" s="18"/>
      <c r="G329" s="19"/>
      <c r="H329" s="20"/>
      <c r="I329" s="21"/>
      <c r="J329" s="14"/>
      <c r="K329" s="14">
        <f t="shared" si="10"/>
        <v>0</v>
      </c>
      <c r="L329" s="16">
        <f t="shared" si="11"/>
        <v>0</v>
      </c>
      <c r="M329" s="22">
        <v>44835</v>
      </c>
      <c r="N329" s="44"/>
      <c r="O329" s="23" t="s">
        <v>16</v>
      </c>
      <c r="P329" s="24"/>
      <c r="Q329" s="25"/>
    </row>
    <row r="330" spans="1:17">
      <c r="A330" s="14">
        <v>326</v>
      </c>
      <c r="B330" s="29" t="s">
        <v>467</v>
      </c>
      <c r="C330" s="16">
        <f>'Медикаменты Апрель'!L326</f>
        <v>0</v>
      </c>
      <c r="D330" s="26"/>
      <c r="E330" s="14"/>
      <c r="F330" s="18"/>
      <c r="G330" s="19"/>
      <c r="H330" s="20"/>
      <c r="I330" s="21"/>
      <c r="J330" s="14"/>
      <c r="K330" s="14">
        <f t="shared" si="10"/>
        <v>0</v>
      </c>
      <c r="L330" s="16">
        <f t="shared" si="11"/>
        <v>0</v>
      </c>
      <c r="M330" s="22"/>
      <c r="N330" s="44"/>
      <c r="O330" s="23" t="s">
        <v>16</v>
      </c>
      <c r="P330" s="24"/>
      <c r="Q330" s="25"/>
    </row>
    <row r="331" spans="1:17">
      <c r="A331" s="14">
        <v>327</v>
      </c>
      <c r="B331" s="29" t="s">
        <v>468</v>
      </c>
      <c r="C331" s="16">
        <f>'Медикаменты Апрель'!L327</f>
        <v>0</v>
      </c>
      <c r="D331" s="17"/>
      <c r="E331" s="14"/>
      <c r="F331" s="18"/>
      <c r="G331" s="19"/>
      <c r="H331" s="20"/>
      <c r="I331" s="21"/>
      <c r="J331" s="14"/>
      <c r="K331" s="14">
        <f t="shared" si="10"/>
        <v>0</v>
      </c>
      <c r="L331" s="16">
        <f t="shared" si="11"/>
        <v>0</v>
      </c>
      <c r="M331" s="22"/>
      <c r="N331" s="44"/>
      <c r="O331" s="23" t="s">
        <v>16</v>
      </c>
      <c r="P331" s="24"/>
      <c r="Q331" s="25"/>
    </row>
    <row r="332" spans="1:17">
      <c r="A332" s="14">
        <v>328</v>
      </c>
      <c r="B332" s="29" t="s">
        <v>469</v>
      </c>
      <c r="C332" s="16">
        <f>'Медикаменты Апрель'!L328</f>
        <v>27</v>
      </c>
      <c r="D332" s="17"/>
      <c r="E332" s="14"/>
      <c r="F332" s="18">
        <f>2</f>
        <v>2</v>
      </c>
      <c r="G332" s="19"/>
      <c r="H332" s="20"/>
      <c r="I332" s="21"/>
      <c r="J332" s="14"/>
      <c r="K332" s="14">
        <f t="shared" si="10"/>
        <v>2</v>
      </c>
      <c r="L332" s="16">
        <f t="shared" si="11"/>
        <v>25</v>
      </c>
      <c r="M332" s="22">
        <v>44652</v>
      </c>
      <c r="N332" s="44" t="s">
        <v>45</v>
      </c>
      <c r="O332" s="23" t="s">
        <v>16</v>
      </c>
      <c r="P332" s="24" t="s">
        <v>17</v>
      </c>
      <c r="Q332" s="28" t="s">
        <v>470</v>
      </c>
    </row>
    <row r="333" spans="1:17">
      <c r="A333" s="14">
        <v>329</v>
      </c>
      <c r="B333" s="29" t="s">
        <v>577</v>
      </c>
      <c r="C333" s="16"/>
      <c r="D333" s="17"/>
      <c r="E333" s="14">
        <f>500</f>
        <v>500</v>
      </c>
      <c r="F333" s="18">
        <f>25+10</f>
        <v>35</v>
      </c>
      <c r="G333" s="19"/>
      <c r="H333" s="20"/>
      <c r="I333" s="21"/>
      <c r="J333" s="14"/>
      <c r="K333" s="14">
        <f t="shared" si="10"/>
        <v>35</v>
      </c>
      <c r="L333" s="16">
        <f t="shared" si="11"/>
        <v>465</v>
      </c>
      <c r="M333" s="22">
        <v>44927</v>
      </c>
      <c r="N333" s="44" t="s">
        <v>551</v>
      </c>
      <c r="O333" s="23" t="s">
        <v>16</v>
      </c>
      <c r="P333" s="24" t="s">
        <v>17</v>
      </c>
      <c r="Q333" s="28" t="s">
        <v>578</v>
      </c>
    </row>
    <row r="334" spans="1:17">
      <c r="A334" s="14">
        <v>330</v>
      </c>
      <c r="B334" s="29" t="s">
        <v>577</v>
      </c>
      <c r="C334" s="16"/>
      <c r="D334" s="17"/>
      <c r="E334" s="14">
        <f>53</f>
        <v>53</v>
      </c>
      <c r="F334" s="18"/>
      <c r="G334" s="19"/>
      <c r="H334" s="20"/>
      <c r="I334" s="21"/>
      <c r="J334" s="14"/>
      <c r="K334" s="14">
        <f t="shared" si="10"/>
        <v>0</v>
      </c>
      <c r="L334" s="16">
        <f t="shared" si="11"/>
        <v>53</v>
      </c>
      <c r="M334" s="22">
        <v>44927</v>
      </c>
      <c r="N334" s="44" t="s">
        <v>551</v>
      </c>
      <c r="O334" s="23" t="s">
        <v>26</v>
      </c>
      <c r="P334" s="24" t="s">
        <v>17</v>
      </c>
      <c r="Q334" s="28" t="s">
        <v>578</v>
      </c>
    </row>
    <row r="335" spans="1:17">
      <c r="A335" s="14">
        <v>331</v>
      </c>
      <c r="B335" s="29" t="s">
        <v>579</v>
      </c>
      <c r="C335" s="16"/>
      <c r="D335" s="17"/>
      <c r="E335" s="14">
        <f>400</f>
        <v>400</v>
      </c>
      <c r="F335" s="18">
        <f>25+20</f>
        <v>45</v>
      </c>
      <c r="G335" s="19"/>
      <c r="H335" s="20"/>
      <c r="I335" s="21"/>
      <c r="J335" s="14"/>
      <c r="K335" s="14">
        <f t="shared" si="10"/>
        <v>45</v>
      </c>
      <c r="L335" s="16">
        <f t="shared" si="11"/>
        <v>355</v>
      </c>
      <c r="M335" s="22">
        <v>44927</v>
      </c>
      <c r="N335" s="44" t="s">
        <v>551</v>
      </c>
      <c r="O335" s="23" t="s">
        <v>16</v>
      </c>
      <c r="P335" s="24" t="s">
        <v>17</v>
      </c>
      <c r="Q335" s="28" t="s">
        <v>580</v>
      </c>
    </row>
    <row r="336" spans="1:17">
      <c r="A336" s="14">
        <v>332</v>
      </c>
      <c r="B336" s="29" t="s">
        <v>581</v>
      </c>
      <c r="C336" s="16"/>
      <c r="D336" s="17"/>
      <c r="E336" s="14">
        <f>135</f>
        <v>135</v>
      </c>
      <c r="F336" s="18"/>
      <c r="G336" s="19"/>
      <c r="H336" s="20"/>
      <c r="I336" s="21"/>
      <c r="J336" s="14"/>
      <c r="K336" s="14">
        <f t="shared" si="10"/>
        <v>0</v>
      </c>
      <c r="L336" s="16">
        <f t="shared" si="11"/>
        <v>135</v>
      </c>
      <c r="M336" s="22">
        <v>44927</v>
      </c>
      <c r="N336" s="44" t="s">
        <v>551</v>
      </c>
      <c r="O336" s="23" t="s">
        <v>16</v>
      </c>
      <c r="P336" s="24" t="s">
        <v>17</v>
      </c>
      <c r="Q336" s="28" t="s">
        <v>582</v>
      </c>
    </row>
    <row r="337" spans="1:17">
      <c r="A337" s="14">
        <v>333</v>
      </c>
      <c r="B337" s="29" t="s">
        <v>471</v>
      </c>
      <c r="C337" s="16">
        <f>'Медикаменты Апрель'!L329</f>
        <v>0</v>
      </c>
      <c r="D337" s="17"/>
      <c r="E337" s="14"/>
      <c r="F337" s="18"/>
      <c r="G337" s="19"/>
      <c r="H337" s="20"/>
      <c r="I337" s="21"/>
      <c r="J337" s="14"/>
      <c r="K337" s="14">
        <f t="shared" si="10"/>
        <v>0</v>
      </c>
      <c r="L337" s="16">
        <f t="shared" si="11"/>
        <v>0</v>
      </c>
      <c r="M337" s="22"/>
      <c r="N337" s="44"/>
      <c r="O337" s="23" t="s">
        <v>16</v>
      </c>
      <c r="P337" s="24"/>
      <c r="Q337" s="25"/>
    </row>
    <row r="338" spans="1:17">
      <c r="A338" s="14">
        <v>334</v>
      </c>
      <c r="B338" s="29" t="s">
        <v>472</v>
      </c>
      <c r="C338" s="16">
        <f>'Медикаменты Апрель'!L330</f>
        <v>0</v>
      </c>
      <c r="D338" s="17"/>
      <c r="E338" s="14"/>
      <c r="F338" s="18"/>
      <c r="G338" s="19"/>
      <c r="H338" s="20"/>
      <c r="I338" s="21"/>
      <c r="J338" s="14"/>
      <c r="K338" s="14">
        <f t="shared" si="10"/>
        <v>0</v>
      </c>
      <c r="L338" s="16">
        <f t="shared" si="11"/>
        <v>0</v>
      </c>
      <c r="M338" s="22">
        <v>44562</v>
      </c>
      <c r="N338" s="44"/>
      <c r="O338" s="23" t="s">
        <v>16</v>
      </c>
      <c r="P338" s="24"/>
      <c r="Q338" s="23" t="s">
        <v>473</v>
      </c>
    </row>
    <row r="339" spans="1:17">
      <c r="A339" s="14">
        <v>335</v>
      </c>
      <c r="B339" s="29" t="s">
        <v>474</v>
      </c>
      <c r="C339" s="16">
        <f>'Медикаменты Апрель'!L331</f>
        <v>0</v>
      </c>
      <c r="D339" s="17"/>
      <c r="E339" s="14"/>
      <c r="F339" s="18"/>
      <c r="G339" s="19"/>
      <c r="H339" s="20"/>
      <c r="I339" s="21"/>
      <c r="J339" s="14"/>
      <c r="K339" s="14">
        <f t="shared" si="10"/>
        <v>0</v>
      </c>
      <c r="L339" s="16">
        <f t="shared" si="11"/>
        <v>0</v>
      </c>
      <c r="M339" s="22">
        <v>44743</v>
      </c>
      <c r="N339" s="44"/>
      <c r="O339" s="23" t="s">
        <v>16</v>
      </c>
      <c r="P339" s="24"/>
      <c r="Q339" s="23" t="s">
        <v>475</v>
      </c>
    </row>
    <row r="340" spans="1:17">
      <c r="A340" s="14">
        <v>336</v>
      </c>
      <c r="B340" s="29" t="s">
        <v>476</v>
      </c>
      <c r="C340" s="16">
        <f>'Медикаменты Апрель'!L332</f>
        <v>0</v>
      </c>
      <c r="D340" s="17"/>
      <c r="E340" s="14"/>
      <c r="F340" s="18"/>
      <c r="G340" s="19"/>
      <c r="H340" s="20"/>
      <c r="I340" s="21"/>
      <c r="J340" s="14"/>
      <c r="K340" s="14">
        <f t="shared" si="10"/>
        <v>0</v>
      </c>
      <c r="L340" s="16">
        <f t="shared" si="11"/>
        <v>0</v>
      </c>
      <c r="M340" s="22">
        <v>44531</v>
      </c>
      <c r="N340" s="44"/>
      <c r="O340" s="23" t="s">
        <v>16</v>
      </c>
      <c r="P340" s="24" t="s">
        <v>45</v>
      </c>
      <c r="Q340" s="23" t="s">
        <v>477</v>
      </c>
    </row>
    <row r="341" spans="1:17">
      <c r="A341" s="14">
        <v>337</v>
      </c>
      <c r="B341" s="29" t="s">
        <v>478</v>
      </c>
      <c r="C341" s="16">
        <f>'Медикаменты Апрель'!L333</f>
        <v>0</v>
      </c>
      <c r="D341" s="17"/>
      <c r="E341" s="14"/>
      <c r="F341" s="18"/>
      <c r="G341" s="19"/>
      <c r="H341" s="20"/>
      <c r="I341" s="21"/>
      <c r="J341" s="14"/>
      <c r="K341" s="14">
        <f t="shared" si="10"/>
        <v>0</v>
      </c>
      <c r="L341" s="16">
        <f t="shared" si="11"/>
        <v>0</v>
      </c>
      <c r="M341" s="22"/>
      <c r="N341" s="44"/>
      <c r="O341" s="23" t="s">
        <v>16</v>
      </c>
      <c r="P341" s="24"/>
      <c r="Q341" s="25"/>
    </row>
    <row r="342" spans="1:17">
      <c r="A342" s="14">
        <v>338</v>
      </c>
      <c r="B342" s="29" t="s">
        <v>479</v>
      </c>
      <c r="C342" s="16">
        <f>'Медикаменты Апрель'!L334</f>
        <v>0</v>
      </c>
      <c r="D342" s="17"/>
      <c r="E342" s="14"/>
      <c r="F342" s="18"/>
      <c r="G342" s="19"/>
      <c r="H342" s="20"/>
      <c r="I342" s="21"/>
      <c r="J342" s="14"/>
      <c r="K342" s="14">
        <f t="shared" si="10"/>
        <v>0</v>
      </c>
      <c r="L342" s="16">
        <f t="shared" si="11"/>
        <v>0</v>
      </c>
      <c r="M342" s="22">
        <v>44743</v>
      </c>
      <c r="N342" s="44"/>
      <c r="O342" s="23" t="s">
        <v>16</v>
      </c>
      <c r="P342" s="24"/>
      <c r="Q342" s="28" t="s">
        <v>480</v>
      </c>
    </row>
    <row r="343" spans="1:17">
      <c r="A343" s="14">
        <v>339</v>
      </c>
      <c r="B343" s="29" t="s">
        <v>481</v>
      </c>
      <c r="C343" s="16">
        <f>'Медикаменты Апрель'!L335</f>
        <v>80</v>
      </c>
      <c r="D343" s="17"/>
      <c r="E343" s="14"/>
      <c r="F343" s="18">
        <f>10+5+5+5</f>
        <v>25</v>
      </c>
      <c r="G343" s="19"/>
      <c r="H343" s="20"/>
      <c r="I343" s="21"/>
      <c r="J343" s="14"/>
      <c r="K343" s="14">
        <f t="shared" si="10"/>
        <v>25</v>
      </c>
      <c r="L343" s="16">
        <f t="shared" si="11"/>
        <v>55</v>
      </c>
      <c r="M343" s="22">
        <v>45078</v>
      </c>
      <c r="N343" s="44" t="s">
        <v>45</v>
      </c>
      <c r="O343" s="23" t="s">
        <v>16</v>
      </c>
      <c r="P343" s="24" t="s">
        <v>17</v>
      </c>
      <c r="Q343" s="28" t="s">
        <v>558</v>
      </c>
    </row>
    <row r="344" spans="1:17">
      <c r="A344" s="14">
        <v>340</v>
      </c>
      <c r="B344" s="29" t="s">
        <v>481</v>
      </c>
      <c r="C344" s="16">
        <f>'Медикаменты Апрель'!L336</f>
        <v>0</v>
      </c>
      <c r="D344" s="17"/>
      <c r="E344" s="14"/>
      <c r="F344" s="18"/>
      <c r="G344" s="19"/>
      <c r="H344" s="20"/>
      <c r="I344" s="21"/>
      <c r="J344" s="14"/>
      <c r="K344" s="14">
        <f t="shared" si="10"/>
        <v>0</v>
      </c>
      <c r="L344" s="16">
        <f t="shared" si="11"/>
        <v>0</v>
      </c>
      <c r="M344" s="22">
        <v>45078</v>
      </c>
      <c r="N344" s="44" t="s">
        <v>45</v>
      </c>
      <c r="O344" s="23" t="s">
        <v>26</v>
      </c>
      <c r="P344" s="24" t="s">
        <v>17</v>
      </c>
      <c r="Q344" s="28" t="s">
        <v>558</v>
      </c>
    </row>
    <row r="345" spans="1:17">
      <c r="A345" s="14">
        <v>341</v>
      </c>
      <c r="B345" s="29" t="s">
        <v>483</v>
      </c>
      <c r="C345" s="16">
        <f>'Медикаменты Апрель'!L337</f>
        <v>10</v>
      </c>
      <c r="D345" s="17"/>
      <c r="E345" s="14"/>
      <c r="F345" s="18">
        <f>10</f>
        <v>10</v>
      </c>
      <c r="G345" s="19"/>
      <c r="H345" s="20"/>
      <c r="I345" s="21"/>
      <c r="J345" s="14"/>
      <c r="K345" s="14">
        <f t="shared" si="10"/>
        <v>10</v>
      </c>
      <c r="L345" s="16">
        <f t="shared" si="11"/>
        <v>0</v>
      </c>
      <c r="M345" s="22">
        <v>45689</v>
      </c>
      <c r="N345" s="44" t="s">
        <v>45</v>
      </c>
      <c r="O345" s="23" t="s">
        <v>16</v>
      </c>
      <c r="P345" s="24" t="s">
        <v>17</v>
      </c>
      <c r="Q345" s="28" t="s">
        <v>484</v>
      </c>
    </row>
    <row r="346" spans="1:17">
      <c r="A346" s="14">
        <v>342</v>
      </c>
      <c r="B346" s="29" t="s">
        <v>483</v>
      </c>
      <c r="C346" s="16">
        <f>'Медикаменты Апрель'!L338</f>
        <v>0</v>
      </c>
      <c r="D346" s="17"/>
      <c r="E346" s="14"/>
      <c r="F346" s="18"/>
      <c r="G346" s="19"/>
      <c r="H346" s="20"/>
      <c r="I346" s="21"/>
      <c r="J346" s="14"/>
      <c r="K346" s="14">
        <f t="shared" si="10"/>
        <v>0</v>
      </c>
      <c r="L346" s="16">
        <f t="shared" si="11"/>
        <v>0</v>
      </c>
      <c r="M346" s="22">
        <v>45689</v>
      </c>
      <c r="N346" s="44" t="s">
        <v>45</v>
      </c>
      <c r="O346" s="23" t="s">
        <v>26</v>
      </c>
      <c r="P346" s="24" t="s">
        <v>17</v>
      </c>
      <c r="Q346" s="28" t="s">
        <v>484</v>
      </c>
    </row>
    <row r="347" spans="1:17">
      <c r="A347" s="14">
        <v>343</v>
      </c>
      <c r="B347" s="29" t="s">
        <v>485</v>
      </c>
      <c r="C347" s="16">
        <f>'Медикаменты Апрель'!L339</f>
        <v>0</v>
      </c>
      <c r="D347" s="17"/>
      <c r="E347" s="14"/>
      <c r="F347" s="18"/>
      <c r="G347" s="19"/>
      <c r="H347" s="20"/>
      <c r="I347" s="21"/>
      <c r="J347" s="14"/>
      <c r="K347" s="14">
        <f t="shared" si="10"/>
        <v>0</v>
      </c>
      <c r="L347" s="16">
        <f t="shared" si="11"/>
        <v>0</v>
      </c>
      <c r="M347" s="22">
        <v>45597</v>
      </c>
      <c r="N347" s="44"/>
      <c r="O347" s="23" t="s">
        <v>16</v>
      </c>
      <c r="P347" s="24"/>
      <c r="Q347" s="28" t="s">
        <v>486</v>
      </c>
    </row>
    <row r="348" spans="1:17">
      <c r="A348" s="14">
        <v>344</v>
      </c>
      <c r="B348" s="29" t="s">
        <v>487</v>
      </c>
      <c r="C348" s="16">
        <f>'Медикаменты Апрель'!L340</f>
        <v>0</v>
      </c>
      <c r="D348" s="17"/>
      <c r="E348" s="14"/>
      <c r="F348" s="18"/>
      <c r="G348" s="19"/>
      <c r="H348" s="20"/>
      <c r="I348" s="21"/>
      <c r="J348" s="14"/>
      <c r="K348" s="14">
        <f t="shared" si="10"/>
        <v>0</v>
      </c>
      <c r="L348" s="16">
        <f t="shared" si="11"/>
        <v>0</v>
      </c>
      <c r="M348" s="22"/>
      <c r="N348" s="44"/>
      <c r="O348" s="23" t="s">
        <v>16</v>
      </c>
      <c r="P348" s="24"/>
      <c r="Q348" s="25"/>
    </row>
    <row r="349" spans="1:17">
      <c r="A349" s="14">
        <v>345</v>
      </c>
      <c r="B349" s="29" t="s">
        <v>488</v>
      </c>
      <c r="C349" s="16">
        <f>'Медикаменты Апрель'!L341</f>
        <v>36</v>
      </c>
      <c r="D349" s="17"/>
      <c r="E349" s="14"/>
      <c r="F349" s="18">
        <f>5+3+3</f>
        <v>11</v>
      </c>
      <c r="G349" s="19"/>
      <c r="H349" s="20"/>
      <c r="I349" s="21"/>
      <c r="J349" s="14"/>
      <c r="K349" s="14">
        <f t="shared" si="10"/>
        <v>11</v>
      </c>
      <c r="L349" s="16">
        <f t="shared" si="11"/>
        <v>25</v>
      </c>
      <c r="M349" s="22">
        <v>45200</v>
      </c>
      <c r="N349" s="44" t="s">
        <v>551</v>
      </c>
      <c r="O349" s="23" t="s">
        <v>16</v>
      </c>
      <c r="P349" s="24" t="s">
        <v>17</v>
      </c>
      <c r="Q349" s="23" t="s">
        <v>489</v>
      </c>
    </row>
    <row r="350" spans="1:17">
      <c r="A350" s="14">
        <v>346</v>
      </c>
      <c r="B350" s="29" t="s">
        <v>490</v>
      </c>
      <c r="C350" s="16">
        <f>'Медикаменты Апрель'!L342</f>
        <v>0</v>
      </c>
      <c r="D350" s="17"/>
      <c r="E350" s="14"/>
      <c r="F350" s="18"/>
      <c r="G350" s="19"/>
      <c r="H350" s="20"/>
      <c r="I350" s="21"/>
      <c r="J350" s="14"/>
      <c r="K350" s="14">
        <f t="shared" si="10"/>
        <v>0</v>
      </c>
      <c r="L350" s="16">
        <f t="shared" si="11"/>
        <v>0</v>
      </c>
      <c r="M350" s="22"/>
      <c r="N350" s="44"/>
      <c r="O350" s="23" t="s">
        <v>16</v>
      </c>
      <c r="P350" s="24"/>
      <c r="Q350" s="25"/>
    </row>
    <row r="351" spans="1:17" ht="25.5">
      <c r="A351" s="14">
        <v>347</v>
      </c>
      <c r="B351" s="29" t="s">
        <v>491</v>
      </c>
      <c r="C351" s="16">
        <f>'Медикаменты Апрель'!L343</f>
        <v>50</v>
      </c>
      <c r="D351" s="17"/>
      <c r="E351" s="14"/>
      <c r="F351" s="18"/>
      <c r="G351" s="19"/>
      <c r="H351" s="20"/>
      <c r="I351" s="21"/>
      <c r="J351" s="14"/>
      <c r="K351" s="14">
        <f t="shared" si="10"/>
        <v>0</v>
      </c>
      <c r="L351" s="16">
        <f t="shared" si="11"/>
        <v>50</v>
      </c>
      <c r="M351" s="22">
        <v>45231</v>
      </c>
      <c r="N351" s="44" t="s">
        <v>551</v>
      </c>
      <c r="O351" s="23" t="s">
        <v>16</v>
      </c>
      <c r="P351" s="24" t="s">
        <v>17</v>
      </c>
      <c r="Q351" s="23" t="s">
        <v>492</v>
      </c>
    </row>
    <row r="352" spans="1:17" ht="25.5">
      <c r="A352" s="14">
        <v>348</v>
      </c>
      <c r="B352" s="29" t="s">
        <v>491</v>
      </c>
      <c r="C352" s="16">
        <f>'Медикаменты Апрель'!L344</f>
        <v>350</v>
      </c>
      <c r="D352" s="17"/>
      <c r="E352" s="14"/>
      <c r="F352" s="18"/>
      <c r="G352" s="19"/>
      <c r="H352" s="20"/>
      <c r="I352" s="21"/>
      <c r="J352" s="14"/>
      <c r="K352" s="14">
        <f t="shared" si="10"/>
        <v>0</v>
      </c>
      <c r="L352" s="16">
        <f t="shared" si="11"/>
        <v>350</v>
      </c>
      <c r="M352" s="22">
        <v>44896</v>
      </c>
      <c r="N352" s="44" t="s">
        <v>551</v>
      </c>
      <c r="O352" s="23" t="s">
        <v>16</v>
      </c>
      <c r="P352" s="24" t="s">
        <v>17</v>
      </c>
      <c r="Q352" s="23" t="s">
        <v>492</v>
      </c>
    </row>
    <row r="353" spans="1:17">
      <c r="A353" s="14">
        <v>349</v>
      </c>
      <c r="B353" s="29" t="s">
        <v>493</v>
      </c>
      <c r="C353" s="16">
        <f>'Медикаменты Апрель'!L345</f>
        <v>100</v>
      </c>
      <c r="D353" s="17"/>
      <c r="E353" s="14"/>
      <c r="F353" s="18"/>
      <c r="G353" s="19"/>
      <c r="H353" s="20"/>
      <c r="I353" s="21"/>
      <c r="J353" s="14"/>
      <c r="K353" s="14">
        <f t="shared" si="10"/>
        <v>0</v>
      </c>
      <c r="L353" s="16">
        <f t="shared" si="11"/>
        <v>100</v>
      </c>
      <c r="M353" s="22">
        <v>44774</v>
      </c>
      <c r="N353" s="44" t="s">
        <v>551</v>
      </c>
      <c r="O353" s="23" t="s">
        <v>16</v>
      </c>
      <c r="P353" s="24" t="s">
        <v>17</v>
      </c>
      <c r="Q353" s="23" t="s">
        <v>494</v>
      </c>
    </row>
    <row r="354" spans="1:17">
      <c r="A354" s="14">
        <v>350</v>
      </c>
      <c r="B354" s="29" t="s">
        <v>495</v>
      </c>
      <c r="C354" s="16">
        <f>'Медикаменты Апрель'!L346</f>
        <v>0</v>
      </c>
      <c r="D354" s="17"/>
      <c r="E354" s="14"/>
      <c r="F354" s="18"/>
      <c r="G354" s="19"/>
      <c r="H354" s="20"/>
      <c r="I354" s="21"/>
      <c r="J354" s="14"/>
      <c r="K354" s="14">
        <f t="shared" si="10"/>
        <v>0</v>
      </c>
      <c r="L354" s="16">
        <f t="shared" si="11"/>
        <v>0</v>
      </c>
      <c r="M354" s="22"/>
      <c r="N354" s="44"/>
      <c r="O354" s="23" t="s">
        <v>16</v>
      </c>
      <c r="P354" s="24"/>
      <c r="Q354" s="25"/>
    </row>
    <row r="355" spans="1:17">
      <c r="A355" s="14">
        <v>351</v>
      </c>
      <c r="B355" s="29" t="s">
        <v>583</v>
      </c>
      <c r="C355" s="16">
        <f>'Медикаменты Апрель'!L347</f>
        <v>0</v>
      </c>
      <c r="D355" s="17"/>
      <c r="E355" s="14">
        <f>10</f>
        <v>10</v>
      </c>
      <c r="F355" s="18"/>
      <c r="G355" s="19"/>
      <c r="H355" s="20"/>
      <c r="I355" s="21"/>
      <c r="J355" s="14"/>
      <c r="K355" s="14">
        <f t="shared" si="10"/>
        <v>0</v>
      </c>
      <c r="L355" s="16">
        <f t="shared" si="11"/>
        <v>10</v>
      </c>
      <c r="M355" s="22">
        <v>44896</v>
      </c>
      <c r="N355" s="44" t="s">
        <v>551</v>
      </c>
      <c r="O355" s="23" t="s">
        <v>16</v>
      </c>
      <c r="P355" s="24" t="s">
        <v>17</v>
      </c>
      <c r="Q355" s="28" t="s">
        <v>497</v>
      </c>
    </row>
    <row r="356" spans="1:17">
      <c r="A356" s="14">
        <v>352</v>
      </c>
      <c r="B356" s="29" t="s">
        <v>498</v>
      </c>
      <c r="C356" s="16">
        <f>'Медикаменты Апрель'!L348</f>
        <v>100</v>
      </c>
      <c r="D356" s="17"/>
      <c r="E356" s="14"/>
      <c r="F356" s="18"/>
      <c r="G356" s="19"/>
      <c r="H356" s="20"/>
      <c r="I356" s="21"/>
      <c r="J356" s="14"/>
      <c r="K356" s="14">
        <f t="shared" si="10"/>
        <v>0</v>
      </c>
      <c r="L356" s="16">
        <f t="shared" si="11"/>
        <v>100</v>
      </c>
      <c r="M356" s="22">
        <v>44805</v>
      </c>
      <c r="N356" s="44" t="s">
        <v>45</v>
      </c>
      <c r="O356" s="23" t="s">
        <v>16</v>
      </c>
      <c r="P356" s="24" t="s">
        <v>17</v>
      </c>
      <c r="Q356" s="23" t="s">
        <v>499</v>
      </c>
    </row>
    <row r="357" spans="1:17">
      <c r="A357" s="14">
        <v>353</v>
      </c>
      <c r="B357" s="29" t="s">
        <v>500</v>
      </c>
      <c r="C357" s="16">
        <f>'Медикаменты Апрель'!L349</f>
        <v>0</v>
      </c>
      <c r="D357" s="17"/>
      <c r="E357" s="14">
        <f>80</f>
        <v>80</v>
      </c>
      <c r="F357" s="18"/>
      <c r="G357" s="19"/>
      <c r="H357" s="20"/>
      <c r="I357" s="21"/>
      <c r="J357" s="14"/>
      <c r="K357" s="14">
        <f t="shared" si="10"/>
        <v>0</v>
      </c>
      <c r="L357" s="16">
        <f t="shared" si="11"/>
        <v>80</v>
      </c>
      <c r="M357" s="22">
        <v>45992</v>
      </c>
      <c r="N357" s="44" t="s">
        <v>551</v>
      </c>
      <c r="O357" s="23" t="s">
        <v>16</v>
      </c>
      <c r="P357" s="24" t="s">
        <v>17</v>
      </c>
      <c r="Q357" s="23" t="s">
        <v>584</v>
      </c>
    </row>
    <row r="358" spans="1:17">
      <c r="A358" s="14">
        <v>354</v>
      </c>
      <c r="B358" s="29" t="s">
        <v>501</v>
      </c>
      <c r="C358" s="16">
        <f>'Медикаменты Апрель'!L350</f>
        <v>0</v>
      </c>
      <c r="D358" s="17"/>
      <c r="E358" s="14"/>
      <c r="F358" s="18"/>
      <c r="G358" s="19"/>
      <c r="H358" s="20"/>
      <c r="I358" s="21"/>
      <c r="J358" s="14"/>
      <c r="K358" s="14">
        <f t="shared" si="10"/>
        <v>0</v>
      </c>
      <c r="L358" s="16">
        <f t="shared" si="11"/>
        <v>0</v>
      </c>
      <c r="M358" s="22"/>
      <c r="N358" s="44"/>
      <c r="O358" s="23" t="s">
        <v>16</v>
      </c>
      <c r="P358" s="24"/>
      <c r="Q358" s="25"/>
    </row>
    <row r="359" spans="1:17">
      <c r="A359" s="14">
        <v>355</v>
      </c>
      <c r="B359" s="29" t="s">
        <v>502</v>
      </c>
      <c r="C359" s="16">
        <f>'Медикаменты Апрель'!L351</f>
        <v>0</v>
      </c>
      <c r="D359" s="17"/>
      <c r="E359" s="14"/>
      <c r="F359" s="18"/>
      <c r="G359" s="19"/>
      <c r="H359" s="20"/>
      <c r="I359" s="21"/>
      <c r="J359" s="14"/>
      <c r="K359" s="14">
        <f t="shared" si="10"/>
        <v>0</v>
      </c>
      <c r="L359" s="16">
        <f t="shared" si="11"/>
        <v>0</v>
      </c>
      <c r="M359" s="22">
        <v>44866</v>
      </c>
      <c r="N359" s="44"/>
      <c r="O359" s="23" t="s">
        <v>26</v>
      </c>
      <c r="P359" s="24"/>
      <c r="Q359" s="25"/>
    </row>
    <row r="360" spans="1:17">
      <c r="A360" s="14">
        <v>356</v>
      </c>
      <c r="B360" s="29" t="s">
        <v>503</v>
      </c>
      <c r="C360" s="16">
        <f>'Медикаменты Апрель'!L352</f>
        <v>111</v>
      </c>
      <c r="D360" s="26"/>
      <c r="E360" s="14"/>
      <c r="F360" s="18">
        <f>5+5</f>
        <v>10</v>
      </c>
      <c r="G360" s="19"/>
      <c r="H360" s="20">
        <f>5</f>
        <v>5</v>
      </c>
      <c r="I360" s="21"/>
      <c r="J360" s="14"/>
      <c r="K360" s="14">
        <f t="shared" si="10"/>
        <v>15</v>
      </c>
      <c r="L360" s="16">
        <f t="shared" si="11"/>
        <v>96</v>
      </c>
      <c r="M360" s="22">
        <v>44713</v>
      </c>
      <c r="N360" s="44" t="s">
        <v>45</v>
      </c>
      <c r="O360" s="23" t="s">
        <v>16</v>
      </c>
      <c r="P360" s="24" t="s">
        <v>17</v>
      </c>
      <c r="Q360" s="28" t="s">
        <v>504</v>
      </c>
    </row>
    <row r="361" spans="1:17">
      <c r="A361" s="14">
        <v>357</v>
      </c>
      <c r="B361" s="29" t="s">
        <v>505</v>
      </c>
      <c r="C361" s="16">
        <f>'Медикаменты Апрель'!L353</f>
        <v>0</v>
      </c>
      <c r="D361" s="17"/>
      <c r="E361" s="14"/>
      <c r="F361" s="18"/>
      <c r="G361" s="19"/>
      <c r="H361" s="20"/>
      <c r="I361" s="21"/>
      <c r="J361" s="14"/>
      <c r="K361" s="14">
        <f t="shared" si="10"/>
        <v>0</v>
      </c>
      <c r="L361" s="16">
        <f t="shared" si="11"/>
        <v>0</v>
      </c>
      <c r="M361" s="22"/>
      <c r="N361" s="44"/>
      <c r="O361" s="23" t="s">
        <v>16</v>
      </c>
      <c r="P361" s="24"/>
      <c r="Q361" s="25"/>
    </row>
    <row r="362" spans="1:17">
      <c r="A362" s="14">
        <v>358</v>
      </c>
      <c r="B362" s="29" t="s">
        <v>506</v>
      </c>
      <c r="C362" s="16">
        <f>'Медикаменты Апрель'!L354</f>
        <v>41</v>
      </c>
      <c r="D362" s="26"/>
      <c r="E362" s="14"/>
      <c r="F362" s="18">
        <f>10+5+5</f>
        <v>20</v>
      </c>
      <c r="G362" s="19"/>
      <c r="H362" s="20"/>
      <c r="I362" s="21"/>
      <c r="J362" s="14"/>
      <c r="K362" s="14">
        <f t="shared" si="10"/>
        <v>20</v>
      </c>
      <c r="L362" s="16">
        <f t="shared" si="11"/>
        <v>21</v>
      </c>
      <c r="M362" s="22">
        <v>44531</v>
      </c>
      <c r="N362" s="44" t="s">
        <v>45</v>
      </c>
      <c r="O362" s="23" t="s">
        <v>16</v>
      </c>
      <c r="P362" s="24" t="s">
        <v>17</v>
      </c>
      <c r="Q362" s="28" t="s">
        <v>507</v>
      </c>
    </row>
    <row r="363" spans="1:17" ht="25.5">
      <c r="A363" s="14">
        <v>359</v>
      </c>
      <c r="B363" s="29" t="s">
        <v>508</v>
      </c>
      <c r="C363" s="16">
        <f>'Медикаменты Апрель'!L355</f>
        <v>412</v>
      </c>
      <c r="D363" s="17"/>
      <c r="E363" s="14"/>
      <c r="F363" s="18"/>
      <c r="G363" s="19"/>
      <c r="H363" s="20"/>
      <c r="I363" s="21"/>
      <c r="J363" s="14"/>
      <c r="K363" s="14">
        <f t="shared" si="10"/>
        <v>0</v>
      </c>
      <c r="L363" s="16">
        <f t="shared" si="11"/>
        <v>412</v>
      </c>
      <c r="M363" s="22">
        <v>45108</v>
      </c>
      <c r="N363" s="44" t="s">
        <v>551</v>
      </c>
      <c r="O363" s="23" t="s">
        <v>16</v>
      </c>
      <c r="P363" s="24" t="s">
        <v>17</v>
      </c>
      <c r="Q363" s="28" t="s">
        <v>509</v>
      </c>
    </row>
    <row r="364" spans="1:17">
      <c r="A364" s="14">
        <v>360</v>
      </c>
      <c r="B364" s="29" t="s">
        <v>510</v>
      </c>
      <c r="C364" s="16">
        <f>'Медикаменты Апрель'!L356</f>
        <v>0</v>
      </c>
      <c r="D364" s="17"/>
      <c r="E364" s="14"/>
      <c r="F364" s="18"/>
      <c r="G364" s="19"/>
      <c r="H364" s="20"/>
      <c r="I364" s="21"/>
      <c r="J364" s="14"/>
      <c r="K364" s="14">
        <f t="shared" si="10"/>
        <v>0</v>
      </c>
      <c r="L364" s="16">
        <f t="shared" si="11"/>
        <v>0</v>
      </c>
      <c r="M364" s="22"/>
      <c r="N364" s="44"/>
      <c r="O364" s="23" t="s">
        <v>16</v>
      </c>
      <c r="P364" s="24"/>
      <c r="Q364" s="25"/>
    </row>
    <row r="365" spans="1:17">
      <c r="A365" s="14">
        <v>361</v>
      </c>
      <c r="B365" s="29" t="s">
        <v>511</v>
      </c>
      <c r="C365" s="16">
        <f>'Медикаменты Апрель'!L357</f>
        <v>0</v>
      </c>
      <c r="D365" s="17"/>
      <c r="E365" s="14"/>
      <c r="F365" s="18"/>
      <c r="G365" s="19"/>
      <c r="H365" s="20"/>
      <c r="I365" s="21"/>
      <c r="J365" s="14"/>
      <c r="K365" s="14">
        <f t="shared" si="10"/>
        <v>0</v>
      </c>
      <c r="L365" s="16">
        <f t="shared" si="11"/>
        <v>0</v>
      </c>
      <c r="M365" s="22"/>
      <c r="N365" s="44"/>
      <c r="O365" s="23" t="s">
        <v>16</v>
      </c>
      <c r="P365" s="24"/>
      <c r="Q365" s="25"/>
    </row>
    <row r="366" spans="1:17">
      <c r="A366" s="14">
        <v>362</v>
      </c>
      <c r="B366" s="29" t="s">
        <v>512</v>
      </c>
      <c r="C366" s="16">
        <f>'Медикаменты Апрель'!L358</f>
        <v>8</v>
      </c>
      <c r="D366" s="17"/>
      <c r="E366" s="14"/>
      <c r="F366" s="18">
        <f>8</f>
        <v>8</v>
      </c>
      <c r="G366" s="19"/>
      <c r="H366" s="20"/>
      <c r="I366" s="21"/>
      <c r="J366" s="14"/>
      <c r="K366" s="14">
        <f t="shared" si="10"/>
        <v>8</v>
      </c>
      <c r="L366" s="16">
        <f t="shared" si="11"/>
        <v>0</v>
      </c>
      <c r="M366" s="22">
        <v>44682</v>
      </c>
      <c r="N366" s="44" t="s">
        <v>45</v>
      </c>
      <c r="O366" s="23" t="s">
        <v>16</v>
      </c>
      <c r="P366" s="24" t="s">
        <v>17</v>
      </c>
      <c r="Q366" s="23" t="s">
        <v>513</v>
      </c>
    </row>
    <row r="367" spans="1:17">
      <c r="A367" s="14">
        <v>363</v>
      </c>
      <c r="B367" s="29" t="s">
        <v>514</v>
      </c>
      <c r="C367" s="16">
        <f>'Медикаменты Апрель'!L359</f>
        <v>55</v>
      </c>
      <c r="D367" s="17"/>
      <c r="E367" s="14"/>
      <c r="F367" s="18">
        <f>8+7</f>
        <v>15</v>
      </c>
      <c r="G367" s="19"/>
      <c r="H367" s="20">
        <f>20</f>
        <v>20</v>
      </c>
      <c r="I367" s="21"/>
      <c r="J367" s="14">
        <f>1</f>
        <v>1</v>
      </c>
      <c r="K367" s="14">
        <f t="shared" si="10"/>
        <v>36</v>
      </c>
      <c r="L367" s="16">
        <f t="shared" si="11"/>
        <v>19</v>
      </c>
      <c r="M367" s="22">
        <v>44652</v>
      </c>
      <c r="N367" s="44" t="s">
        <v>45</v>
      </c>
      <c r="O367" s="23" t="s">
        <v>16</v>
      </c>
      <c r="P367" s="24" t="s">
        <v>17</v>
      </c>
      <c r="Q367" s="23" t="s">
        <v>515</v>
      </c>
    </row>
    <row r="368" spans="1:17">
      <c r="A368" s="14">
        <v>364</v>
      </c>
      <c r="B368" s="29" t="s">
        <v>516</v>
      </c>
      <c r="C368" s="16">
        <f>'Медикаменты Апрель'!L360</f>
        <v>0</v>
      </c>
      <c r="D368" s="17"/>
      <c r="E368" s="14"/>
      <c r="F368" s="18"/>
      <c r="G368" s="19"/>
      <c r="H368" s="20"/>
      <c r="I368" s="21"/>
      <c r="J368" s="14"/>
      <c r="K368" s="14">
        <f t="shared" si="10"/>
        <v>0</v>
      </c>
      <c r="L368" s="16">
        <f t="shared" si="11"/>
        <v>0</v>
      </c>
      <c r="M368" s="22"/>
      <c r="N368" s="44"/>
      <c r="O368" s="23" t="s">
        <v>16</v>
      </c>
      <c r="P368" s="24"/>
      <c r="Q368" s="25"/>
    </row>
    <row r="369" spans="1:17">
      <c r="A369" s="14">
        <v>365</v>
      </c>
      <c r="B369" s="29" t="s">
        <v>517</v>
      </c>
      <c r="C369" s="16">
        <f>'Медикаменты Апрель'!L361</f>
        <v>0</v>
      </c>
      <c r="D369" s="17"/>
      <c r="E369" s="14"/>
      <c r="F369" s="18"/>
      <c r="G369" s="19"/>
      <c r="H369" s="20"/>
      <c r="I369" s="21"/>
      <c r="J369" s="14"/>
      <c r="K369" s="14">
        <f t="shared" si="10"/>
        <v>0</v>
      </c>
      <c r="L369" s="16">
        <f t="shared" si="11"/>
        <v>0</v>
      </c>
      <c r="M369" s="22">
        <v>44682</v>
      </c>
      <c r="N369" s="44"/>
      <c r="O369" s="23" t="s">
        <v>26</v>
      </c>
      <c r="P369" s="24" t="s">
        <v>17</v>
      </c>
      <c r="Q369" s="23" t="s">
        <v>518</v>
      </c>
    </row>
    <row r="370" spans="1:17">
      <c r="A370" s="14">
        <v>366</v>
      </c>
      <c r="B370" s="29" t="s">
        <v>519</v>
      </c>
      <c r="C370" s="16">
        <f>'Медикаменты Апрель'!L362</f>
        <v>0</v>
      </c>
      <c r="D370" s="17"/>
      <c r="E370" s="14"/>
      <c r="F370" s="18"/>
      <c r="G370" s="19"/>
      <c r="H370" s="20"/>
      <c r="I370" s="21"/>
      <c r="J370" s="14"/>
      <c r="K370" s="14">
        <f t="shared" si="10"/>
        <v>0</v>
      </c>
      <c r="L370" s="16">
        <f t="shared" si="11"/>
        <v>0</v>
      </c>
      <c r="M370" s="22">
        <v>44409</v>
      </c>
      <c r="N370" s="44"/>
      <c r="O370" s="23" t="s">
        <v>16</v>
      </c>
      <c r="P370" s="24"/>
      <c r="Q370" s="25"/>
    </row>
    <row r="371" spans="1:17">
      <c r="A371" s="14">
        <v>367</v>
      </c>
      <c r="B371" s="29" t="s">
        <v>520</v>
      </c>
      <c r="C371" s="16">
        <f>'Медикаменты Апрель'!L363</f>
        <v>0</v>
      </c>
      <c r="D371" s="17"/>
      <c r="E371" s="14"/>
      <c r="F371" s="18"/>
      <c r="G371" s="19"/>
      <c r="H371" s="20"/>
      <c r="I371" s="21"/>
      <c r="J371" s="14"/>
      <c r="K371" s="14">
        <f t="shared" si="10"/>
        <v>0</v>
      </c>
      <c r="L371" s="16">
        <f t="shared" si="11"/>
        <v>0</v>
      </c>
      <c r="M371" s="22">
        <v>44805</v>
      </c>
      <c r="N371" s="44"/>
      <c r="O371" s="23" t="s">
        <v>26</v>
      </c>
      <c r="P371" s="24" t="s">
        <v>17</v>
      </c>
      <c r="Q371" s="23" t="s">
        <v>521</v>
      </c>
    </row>
    <row r="372" spans="1:17">
      <c r="A372" s="14">
        <v>368</v>
      </c>
      <c r="B372" s="29" t="s">
        <v>522</v>
      </c>
      <c r="C372" s="16">
        <f>'Медикаменты Апрель'!L364</f>
        <v>0</v>
      </c>
      <c r="D372" s="17"/>
      <c r="E372" s="14"/>
      <c r="F372" s="18"/>
      <c r="G372" s="19"/>
      <c r="H372" s="20"/>
      <c r="I372" s="21"/>
      <c r="J372" s="14"/>
      <c r="K372" s="14">
        <f t="shared" si="10"/>
        <v>0</v>
      </c>
      <c r="L372" s="16">
        <f t="shared" si="11"/>
        <v>0</v>
      </c>
      <c r="M372" s="22"/>
      <c r="N372" s="44"/>
      <c r="O372" s="23" t="s">
        <v>16</v>
      </c>
      <c r="P372" s="24"/>
      <c r="Q372" s="25"/>
    </row>
    <row r="373" spans="1:17">
      <c r="A373" s="14">
        <v>369</v>
      </c>
      <c r="B373" s="29" t="s">
        <v>523</v>
      </c>
      <c r="C373" s="16">
        <f>'Медикаменты Апрель'!L365</f>
        <v>0</v>
      </c>
      <c r="D373" s="17"/>
      <c r="E373" s="14"/>
      <c r="F373" s="18"/>
      <c r="G373" s="19"/>
      <c r="H373" s="20"/>
      <c r="I373" s="21"/>
      <c r="J373" s="14"/>
      <c r="K373" s="14">
        <f t="shared" si="10"/>
        <v>0</v>
      </c>
      <c r="L373" s="16">
        <f t="shared" si="11"/>
        <v>0</v>
      </c>
      <c r="M373" s="22">
        <v>44228</v>
      </c>
      <c r="N373" s="44"/>
      <c r="O373" s="23" t="s">
        <v>16</v>
      </c>
      <c r="P373" s="24"/>
      <c r="Q373" s="23" t="s">
        <v>524</v>
      </c>
    </row>
    <row r="374" spans="1:17">
      <c r="A374" s="14">
        <v>370</v>
      </c>
      <c r="B374" s="29" t="s">
        <v>525</v>
      </c>
      <c r="C374" s="16">
        <f>'Медикаменты Апрель'!L366</f>
        <v>86</v>
      </c>
      <c r="D374" s="17"/>
      <c r="E374" s="14"/>
      <c r="F374" s="18"/>
      <c r="G374" s="19"/>
      <c r="H374" s="20"/>
      <c r="I374" s="21"/>
      <c r="J374" s="14"/>
      <c r="K374" s="14">
        <f t="shared" si="10"/>
        <v>0</v>
      </c>
      <c r="L374" s="16">
        <f t="shared" si="11"/>
        <v>86</v>
      </c>
      <c r="M374" s="22">
        <v>44958</v>
      </c>
      <c r="N374" s="44" t="s">
        <v>45</v>
      </c>
      <c r="O374" s="23" t="s">
        <v>16</v>
      </c>
      <c r="P374" s="24" t="s">
        <v>17</v>
      </c>
      <c r="Q374" s="23" t="s">
        <v>526</v>
      </c>
    </row>
    <row r="375" spans="1:17">
      <c r="A375" s="14">
        <v>371</v>
      </c>
      <c r="B375" s="29" t="s">
        <v>527</v>
      </c>
      <c r="C375" s="16">
        <f>'Медикаменты Апрель'!L367</f>
        <v>6</v>
      </c>
      <c r="D375" s="17"/>
      <c r="E375" s="14"/>
      <c r="F375" s="18">
        <f>5</f>
        <v>5</v>
      </c>
      <c r="G375" s="19"/>
      <c r="H375" s="20"/>
      <c r="I375" s="21"/>
      <c r="J375" s="14">
        <f>1</f>
        <v>1</v>
      </c>
      <c r="K375" s="14">
        <f t="shared" si="10"/>
        <v>6</v>
      </c>
      <c r="L375" s="16">
        <f t="shared" si="11"/>
        <v>0</v>
      </c>
      <c r="M375" s="22">
        <v>44652</v>
      </c>
      <c r="N375" s="44" t="s">
        <v>45</v>
      </c>
      <c r="O375" s="23" t="s">
        <v>16</v>
      </c>
      <c r="P375" s="24" t="s">
        <v>17</v>
      </c>
      <c r="Q375" s="28" t="s">
        <v>528</v>
      </c>
    </row>
    <row r="376" spans="1:17">
      <c r="A376" s="14">
        <v>372</v>
      </c>
      <c r="B376" s="29" t="s">
        <v>527</v>
      </c>
      <c r="C376" s="16">
        <f>'Медикаменты Апрель'!L368</f>
        <v>25</v>
      </c>
      <c r="D376" s="17"/>
      <c r="E376" s="14"/>
      <c r="F376" s="18"/>
      <c r="G376" s="19"/>
      <c r="H376" s="20"/>
      <c r="I376" s="21"/>
      <c r="J376" s="14"/>
      <c r="K376" s="14">
        <f t="shared" si="10"/>
        <v>0</v>
      </c>
      <c r="L376" s="16">
        <f t="shared" si="11"/>
        <v>25</v>
      </c>
      <c r="M376" s="22">
        <v>44896</v>
      </c>
      <c r="N376" s="44" t="s">
        <v>45</v>
      </c>
      <c r="O376" s="23" t="s">
        <v>16</v>
      </c>
      <c r="P376" s="24" t="s">
        <v>17</v>
      </c>
      <c r="Q376" s="28" t="s">
        <v>528</v>
      </c>
    </row>
  </sheetData>
  <autoFilter ref="A2:Q376"/>
  <mergeCells count="18">
    <mergeCell ref="P2:P4"/>
    <mergeCell ref="Q2:Q4"/>
    <mergeCell ref="A1:Q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2:M4"/>
    <mergeCell ref="N2:N4"/>
    <mergeCell ref="O2:O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0000"/>
  </sheetPr>
  <dimension ref="A1:O24"/>
  <sheetViews>
    <sheetView zoomScaleNormal="100" workbookViewId="0">
      <pane ySplit="4" topLeftCell="A5" activePane="bottomLeft" state="frozen"/>
      <selection pane="bottomLeft" activeCell="B12" sqref="B12"/>
    </sheetView>
  </sheetViews>
  <sheetFormatPr defaultRowHeight="15"/>
  <cols>
    <col min="1" max="1" width="12.5703125" customWidth="1"/>
    <col min="2" max="2" width="45.85546875" customWidth="1"/>
    <col min="3" max="13" width="13.28515625" customWidth="1"/>
    <col min="14" max="14" width="13.7109375" customWidth="1"/>
    <col min="15" max="1022" width="9.140625" customWidth="1"/>
    <col min="1023" max="1025" width="11.5703125" customWidth="1"/>
  </cols>
  <sheetData>
    <row r="1" spans="1:15" ht="51.75" customHeight="1">
      <c r="A1" s="3" t="s">
        <v>529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s="33" customFormat="1" ht="13.9" customHeight="1">
      <c r="A2" s="11" t="s">
        <v>1</v>
      </c>
      <c r="B2" s="10" t="s">
        <v>2</v>
      </c>
      <c r="C2" s="9">
        <v>44317</v>
      </c>
      <c r="D2" s="11" t="s">
        <v>3</v>
      </c>
      <c r="E2" s="11" t="s">
        <v>4</v>
      </c>
      <c r="F2" s="8" t="s">
        <v>5</v>
      </c>
      <c r="G2" s="2" t="s">
        <v>6</v>
      </c>
      <c r="H2" s="6" t="s">
        <v>7</v>
      </c>
      <c r="I2" s="5" t="s">
        <v>8</v>
      </c>
      <c r="J2" s="11" t="s">
        <v>9</v>
      </c>
      <c r="K2" s="11" t="s">
        <v>10</v>
      </c>
      <c r="L2" s="9">
        <v>44346</v>
      </c>
      <c r="M2" s="1" t="s">
        <v>11</v>
      </c>
      <c r="N2" s="1" t="s">
        <v>12</v>
      </c>
      <c r="O2" s="32"/>
    </row>
    <row r="3" spans="1:15" s="33" customFormat="1" ht="14.25">
      <c r="A3" s="11"/>
      <c r="B3" s="10"/>
      <c r="C3" s="9"/>
      <c r="D3" s="9"/>
      <c r="E3" s="9"/>
      <c r="F3" s="8"/>
      <c r="G3" s="2"/>
      <c r="H3" s="6"/>
      <c r="I3" s="5"/>
      <c r="J3" s="11"/>
      <c r="K3" s="11"/>
      <c r="L3" s="11"/>
      <c r="M3" s="1"/>
      <c r="N3" s="1"/>
      <c r="O3" s="32"/>
    </row>
    <row r="4" spans="1:15" s="33" customFormat="1" ht="24.75" customHeight="1">
      <c r="A4" s="11"/>
      <c r="B4" s="10"/>
      <c r="C4" s="9"/>
      <c r="D4" s="9"/>
      <c r="E4" s="9"/>
      <c r="F4" s="8"/>
      <c r="G4" s="2"/>
      <c r="H4" s="6"/>
      <c r="I4" s="5"/>
      <c r="J4" s="11"/>
      <c r="K4" s="11"/>
      <c r="L4" s="11"/>
      <c r="M4" s="1"/>
      <c r="N4" s="1"/>
      <c r="O4" s="32"/>
    </row>
    <row r="5" spans="1:15">
      <c r="A5" s="34">
        <v>1</v>
      </c>
      <c r="B5" s="35" t="s">
        <v>530</v>
      </c>
      <c r="C5" s="14">
        <f>'Перевязочные Апрель'!L5</f>
        <v>540</v>
      </c>
      <c r="D5" s="36"/>
      <c r="E5" s="36"/>
      <c r="F5" s="37">
        <f>20</f>
        <v>20</v>
      </c>
      <c r="G5" s="38"/>
      <c r="H5" s="39"/>
      <c r="I5" s="40"/>
      <c r="J5" s="36">
        <f>2</f>
        <v>2</v>
      </c>
      <c r="K5" s="14">
        <f t="shared" ref="K5:K24" si="0">SUM(F5:J5)</f>
        <v>22</v>
      </c>
      <c r="L5" s="16">
        <f t="shared" ref="L5:L24" si="1">(C5+E5)-K5</f>
        <v>518</v>
      </c>
      <c r="M5" s="41">
        <v>44652</v>
      </c>
      <c r="N5" s="42" t="s">
        <v>16</v>
      </c>
      <c r="O5" s="43"/>
    </row>
    <row r="6" spans="1:15">
      <c r="A6" s="34">
        <v>2</v>
      </c>
      <c r="B6" s="35" t="s">
        <v>531</v>
      </c>
      <c r="C6" s="14">
        <f>'Перевязочные Апрель'!L6</f>
        <v>85</v>
      </c>
      <c r="D6" s="36"/>
      <c r="E6" s="36"/>
      <c r="F6" s="37"/>
      <c r="G6" s="38"/>
      <c r="H6" s="39"/>
      <c r="I6" s="40"/>
      <c r="J6" s="36"/>
      <c r="K6" s="14">
        <f t="shared" si="0"/>
        <v>0</v>
      </c>
      <c r="L6" s="16">
        <f t="shared" si="1"/>
        <v>85</v>
      </c>
      <c r="M6" s="41">
        <v>45200</v>
      </c>
      <c r="N6" s="42" t="s">
        <v>16</v>
      </c>
      <c r="O6" s="43"/>
    </row>
    <row r="7" spans="1:15">
      <c r="A7" s="34">
        <v>3</v>
      </c>
      <c r="B7" s="35" t="s">
        <v>532</v>
      </c>
      <c r="C7" s="14">
        <f>'Перевязочные Апрель'!L7</f>
        <v>10</v>
      </c>
      <c r="D7" s="36"/>
      <c r="E7" s="36"/>
      <c r="F7" s="37"/>
      <c r="G7" s="38"/>
      <c r="H7" s="39"/>
      <c r="I7" s="40"/>
      <c r="J7" s="36"/>
      <c r="K7" s="14">
        <f t="shared" si="0"/>
        <v>0</v>
      </c>
      <c r="L7" s="16">
        <f t="shared" si="1"/>
        <v>10</v>
      </c>
      <c r="M7" s="41">
        <v>44958</v>
      </c>
      <c r="N7" s="42" t="s">
        <v>16</v>
      </c>
      <c r="O7" s="43"/>
    </row>
    <row r="8" spans="1:15">
      <c r="A8" s="34">
        <v>4</v>
      </c>
      <c r="B8" s="35" t="s">
        <v>533</v>
      </c>
      <c r="C8" s="14">
        <f>'Перевязочные Апрель'!L8</f>
        <v>0</v>
      </c>
      <c r="D8" s="36"/>
      <c r="E8" s="36"/>
      <c r="F8" s="37"/>
      <c r="G8" s="38"/>
      <c r="H8" s="39"/>
      <c r="I8" s="40"/>
      <c r="J8" s="36"/>
      <c r="K8" s="14">
        <f t="shared" si="0"/>
        <v>0</v>
      </c>
      <c r="L8" s="16">
        <f t="shared" si="1"/>
        <v>0</v>
      </c>
      <c r="M8" s="41"/>
      <c r="N8" s="42" t="s">
        <v>16</v>
      </c>
      <c r="O8" s="43"/>
    </row>
    <row r="9" spans="1:15">
      <c r="A9" s="34">
        <v>5</v>
      </c>
      <c r="B9" s="35" t="s">
        <v>534</v>
      </c>
      <c r="C9" s="14">
        <f>'Перевязочные Апрель'!L9</f>
        <v>0</v>
      </c>
      <c r="D9" s="36"/>
      <c r="E9" s="36"/>
      <c r="F9" s="37"/>
      <c r="G9" s="38"/>
      <c r="H9" s="39"/>
      <c r="I9" s="40"/>
      <c r="J9" s="36"/>
      <c r="K9" s="14">
        <f t="shared" si="0"/>
        <v>0</v>
      </c>
      <c r="L9" s="16">
        <f t="shared" si="1"/>
        <v>0</v>
      </c>
      <c r="M9" s="41"/>
      <c r="N9" s="42" t="s">
        <v>16</v>
      </c>
      <c r="O9" s="43"/>
    </row>
    <row r="10" spans="1:15">
      <c r="A10" s="34">
        <v>6</v>
      </c>
      <c r="B10" s="35" t="s">
        <v>535</v>
      </c>
      <c r="C10" s="14">
        <f>'Перевязочные Апрель'!L10</f>
        <v>10</v>
      </c>
      <c r="D10" s="36"/>
      <c r="E10" s="36"/>
      <c r="F10" s="37"/>
      <c r="G10" s="38"/>
      <c r="H10" s="39"/>
      <c r="I10" s="40"/>
      <c r="J10" s="36"/>
      <c r="K10" s="14">
        <f t="shared" si="0"/>
        <v>0</v>
      </c>
      <c r="L10" s="16">
        <f t="shared" si="1"/>
        <v>10</v>
      </c>
      <c r="M10" s="41">
        <v>45231</v>
      </c>
      <c r="N10" s="42" t="s">
        <v>16</v>
      </c>
      <c r="O10" s="43"/>
    </row>
    <row r="11" spans="1:15">
      <c r="A11" s="34">
        <v>7</v>
      </c>
      <c r="B11" s="35" t="s">
        <v>536</v>
      </c>
      <c r="C11" s="14">
        <f>'Перевязочные Апрель'!L11</f>
        <v>0</v>
      </c>
      <c r="D11" s="36"/>
      <c r="E11" s="36"/>
      <c r="F11" s="37"/>
      <c r="G11" s="38"/>
      <c r="H11" s="39"/>
      <c r="I11" s="40"/>
      <c r="J11" s="36"/>
      <c r="K11" s="14">
        <f t="shared" si="0"/>
        <v>0</v>
      </c>
      <c r="L11" s="16">
        <f t="shared" si="1"/>
        <v>0</v>
      </c>
      <c r="M11" s="41"/>
      <c r="N11" s="42" t="s">
        <v>16</v>
      </c>
      <c r="O11" s="43"/>
    </row>
    <row r="12" spans="1:15">
      <c r="A12" s="34">
        <v>8</v>
      </c>
      <c r="B12" s="35" t="s">
        <v>537</v>
      </c>
      <c r="C12" s="14">
        <f>'Перевязочные Апрель'!L12</f>
        <v>21</v>
      </c>
      <c r="D12" s="36"/>
      <c r="E12" s="36"/>
      <c r="F12" s="37">
        <f>4</f>
        <v>4</v>
      </c>
      <c r="G12" s="38"/>
      <c r="H12" s="39"/>
      <c r="I12" s="40"/>
      <c r="J12" s="36">
        <f>1</f>
        <v>1</v>
      </c>
      <c r="K12" s="14">
        <f t="shared" si="0"/>
        <v>5</v>
      </c>
      <c r="L12" s="16">
        <f t="shared" si="1"/>
        <v>16</v>
      </c>
      <c r="M12" s="41">
        <v>45658</v>
      </c>
      <c r="N12" s="42" t="s">
        <v>16</v>
      </c>
      <c r="O12" s="43"/>
    </row>
    <row r="13" spans="1:15">
      <c r="A13" s="34">
        <v>9</v>
      </c>
      <c r="B13" s="35" t="s">
        <v>538</v>
      </c>
      <c r="C13" s="14">
        <f>'Перевязочные Апрель'!L13</f>
        <v>800</v>
      </c>
      <c r="D13" s="36"/>
      <c r="E13" s="36"/>
      <c r="F13" s="37">
        <f>50</f>
        <v>50</v>
      </c>
      <c r="G13" s="38"/>
      <c r="H13" s="39"/>
      <c r="I13" s="40"/>
      <c r="J13" s="36">
        <f>10</f>
        <v>10</v>
      </c>
      <c r="K13" s="14">
        <f t="shared" si="0"/>
        <v>60</v>
      </c>
      <c r="L13" s="16">
        <f t="shared" si="1"/>
        <v>740</v>
      </c>
      <c r="M13" s="41">
        <v>44682</v>
      </c>
      <c r="N13" s="42" t="s">
        <v>16</v>
      </c>
      <c r="O13" s="43"/>
    </row>
    <row r="14" spans="1:15">
      <c r="A14" s="34">
        <v>10</v>
      </c>
      <c r="B14" s="35" t="s">
        <v>539</v>
      </c>
      <c r="C14" s="14">
        <f>'Перевязочные Апрель'!L14</f>
        <v>434</v>
      </c>
      <c r="D14" s="36"/>
      <c r="E14" s="36"/>
      <c r="F14" s="37"/>
      <c r="G14" s="38"/>
      <c r="H14" s="39"/>
      <c r="I14" s="40"/>
      <c r="J14" s="36"/>
      <c r="K14" s="14">
        <f t="shared" si="0"/>
        <v>0</v>
      </c>
      <c r="L14" s="16">
        <f t="shared" si="1"/>
        <v>434</v>
      </c>
      <c r="M14" s="41">
        <v>45261</v>
      </c>
      <c r="N14" s="42" t="s">
        <v>16</v>
      </c>
      <c r="O14" s="43"/>
    </row>
    <row r="15" spans="1:15">
      <c r="A15" s="34">
        <v>11</v>
      </c>
      <c r="B15" s="35" t="s">
        <v>540</v>
      </c>
      <c r="C15" s="14">
        <f>'Перевязочные Апрель'!L15</f>
        <v>141</v>
      </c>
      <c r="D15" s="36"/>
      <c r="E15" s="36"/>
      <c r="F15" s="37"/>
      <c r="G15" s="38"/>
      <c r="H15" s="39"/>
      <c r="I15" s="40"/>
      <c r="J15" s="36"/>
      <c r="K15" s="14">
        <f t="shared" si="0"/>
        <v>0</v>
      </c>
      <c r="L15" s="16">
        <f t="shared" si="1"/>
        <v>141</v>
      </c>
      <c r="M15" s="41">
        <v>44835</v>
      </c>
      <c r="N15" s="42" t="s">
        <v>16</v>
      </c>
      <c r="O15" s="43"/>
    </row>
    <row r="16" spans="1:15" ht="30">
      <c r="A16" s="34">
        <v>12</v>
      </c>
      <c r="B16" s="35" t="s">
        <v>541</v>
      </c>
      <c r="C16" s="14">
        <f>'Перевязочные Апрель'!L16</f>
        <v>285</v>
      </c>
      <c r="D16" s="36"/>
      <c r="E16" s="36"/>
      <c r="F16" s="37"/>
      <c r="G16" s="38"/>
      <c r="H16" s="39"/>
      <c r="I16" s="40"/>
      <c r="J16" s="36"/>
      <c r="K16" s="14">
        <f t="shared" si="0"/>
        <v>0</v>
      </c>
      <c r="L16" s="16">
        <f t="shared" si="1"/>
        <v>285</v>
      </c>
      <c r="M16" s="41">
        <v>45616</v>
      </c>
      <c r="N16" s="42" t="s">
        <v>16</v>
      </c>
      <c r="O16" s="43"/>
    </row>
    <row r="17" spans="1:15" ht="45">
      <c r="A17" s="34">
        <v>13</v>
      </c>
      <c r="B17" s="35" t="s">
        <v>542</v>
      </c>
      <c r="C17" s="14">
        <f>'Перевязочные Апрель'!L17</f>
        <v>480</v>
      </c>
      <c r="D17" s="36"/>
      <c r="E17" s="36"/>
      <c r="F17" s="37"/>
      <c r="G17" s="38"/>
      <c r="H17" s="39"/>
      <c r="I17" s="40"/>
      <c r="J17" s="36"/>
      <c r="K17" s="14">
        <f t="shared" si="0"/>
        <v>0</v>
      </c>
      <c r="L17" s="16">
        <f t="shared" si="1"/>
        <v>480</v>
      </c>
      <c r="M17" s="41">
        <v>44682</v>
      </c>
      <c r="N17" s="42" t="s">
        <v>16</v>
      </c>
      <c r="O17" s="43"/>
    </row>
    <row r="18" spans="1:15" ht="30">
      <c r="A18" s="34">
        <v>14</v>
      </c>
      <c r="B18" s="35" t="s">
        <v>543</v>
      </c>
      <c r="C18" s="14">
        <f>'Перевязочные Апрель'!L18</f>
        <v>7</v>
      </c>
      <c r="D18" s="36"/>
      <c r="E18" s="36"/>
      <c r="F18" s="37">
        <f>7</f>
        <v>7</v>
      </c>
      <c r="G18" s="38"/>
      <c r="H18" s="39"/>
      <c r="I18" s="40"/>
      <c r="J18" s="36"/>
      <c r="K18" s="14">
        <f t="shared" si="0"/>
        <v>7</v>
      </c>
      <c r="L18" s="16">
        <f t="shared" si="1"/>
        <v>0</v>
      </c>
      <c r="M18" s="41">
        <v>45778</v>
      </c>
      <c r="N18" s="42" t="s">
        <v>16</v>
      </c>
      <c r="O18" s="43"/>
    </row>
    <row r="19" spans="1:15" ht="30">
      <c r="A19" s="34">
        <v>15</v>
      </c>
      <c r="B19" s="35" t="s">
        <v>565</v>
      </c>
      <c r="C19" s="14">
        <f>'Перевязочные Апрель'!L19</f>
        <v>31250</v>
      </c>
      <c r="D19" s="36"/>
      <c r="E19" s="36"/>
      <c r="F19" s="37"/>
      <c r="G19" s="38"/>
      <c r="H19" s="39"/>
      <c r="I19" s="40"/>
      <c r="J19" s="36"/>
      <c r="K19" s="14">
        <f t="shared" si="0"/>
        <v>0</v>
      </c>
      <c r="L19" s="16">
        <f t="shared" si="1"/>
        <v>31250</v>
      </c>
      <c r="M19" s="41">
        <v>45992</v>
      </c>
      <c r="N19" s="42" t="s">
        <v>16</v>
      </c>
      <c r="O19" s="43"/>
    </row>
    <row r="20" spans="1:15" ht="30">
      <c r="A20" s="34">
        <v>16</v>
      </c>
      <c r="B20" s="35" t="s">
        <v>544</v>
      </c>
      <c r="C20" s="14">
        <f>'Перевязочные Апрель'!L20</f>
        <v>38</v>
      </c>
      <c r="D20" s="36"/>
      <c r="E20" s="36"/>
      <c r="F20" s="37"/>
      <c r="G20" s="38"/>
      <c r="H20" s="39"/>
      <c r="I20" s="40"/>
      <c r="J20" s="36"/>
      <c r="K20" s="14">
        <f t="shared" si="0"/>
        <v>0</v>
      </c>
      <c r="L20" s="16">
        <f t="shared" si="1"/>
        <v>38</v>
      </c>
      <c r="M20" s="41"/>
      <c r="N20" s="42" t="s">
        <v>16</v>
      </c>
      <c r="O20" s="43"/>
    </row>
    <row r="21" spans="1:15">
      <c r="A21" s="34">
        <v>17</v>
      </c>
      <c r="B21" s="35" t="s">
        <v>545</v>
      </c>
      <c r="C21" s="14">
        <f>'Перевязочные Апрель'!L21</f>
        <v>16</v>
      </c>
      <c r="D21" s="36"/>
      <c r="E21" s="36"/>
      <c r="F21" s="37"/>
      <c r="G21" s="38"/>
      <c r="H21" s="39"/>
      <c r="I21" s="40"/>
      <c r="J21" s="36">
        <f>1</f>
        <v>1</v>
      </c>
      <c r="K21" s="14">
        <f t="shared" si="0"/>
        <v>1</v>
      </c>
      <c r="L21" s="16">
        <f t="shared" si="1"/>
        <v>15</v>
      </c>
      <c r="M21" s="41">
        <v>45292</v>
      </c>
      <c r="N21" s="42" t="s">
        <v>16</v>
      </c>
      <c r="O21" s="43"/>
    </row>
    <row r="22" spans="1:15">
      <c r="A22" s="34">
        <v>18</v>
      </c>
      <c r="B22" s="35" t="s">
        <v>566</v>
      </c>
      <c r="C22" s="14">
        <f>'Перевязочные Апрель'!L22</f>
        <v>28</v>
      </c>
      <c r="D22" s="36"/>
      <c r="E22" s="36"/>
      <c r="F22" s="37"/>
      <c r="G22" s="38"/>
      <c r="H22" s="39"/>
      <c r="I22" s="40"/>
      <c r="J22" s="36"/>
      <c r="K22" s="14">
        <f t="shared" si="0"/>
        <v>0</v>
      </c>
      <c r="L22" s="16">
        <f t="shared" si="1"/>
        <v>28</v>
      </c>
      <c r="M22" s="41">
        <v>45717</v>
      </c>
      <c r="N22" s="42" t="s">
        <v>16</v>
      </c>
      <c r="O22" s="43"/>
    </row>
    <row r="23" spans="1:15" ht="30">
      <c r="A23" s="34">
        <v>19</v>
      </c>
      <c r="B23" s="35" t="s">
        <v>546</v>
      </c>
      <c r="C23" s="14">
        <f>'Перевязочные Апрель'!L23</f>
        <v>14</v>
      </c>
      <c r="D23" s="36"/>
      <c r="E23" s="36"/>
      <c r="F23" s="37"/>
      <c r="G23" s="38"/>
      <c r="H23" s="39"/>
      <c r="I23" s="40"/>
      <c r="J23" s="36"/>
      <c r="K23" s="14">
        <f t="shared" si="0"/>
        <v>0</v>
      </c>
      <c r="L23" s="16">
        <f t="shared" si="1"/>
        <v>14</v>
      </c>
      <c r="M23" s="41">
        <v>44682</v>
      </c>
      <c r="N23" s="42" t="s">
        <v>16</v>
      </c>
      <c r="O23" s="43"/>
    </row>
    <row r="24" spans="1:15" ht="45">
      <c r="A24" s="34">
        <v>20</v>
      </c>
      <c r="B24" s="35" t="s">
        <v>567</v>
      </c>
      <c r="C24" s="14">
        <f>'Перевязочные Апрель'!L24</f>
        <v>20</v>
      </c>
      <c r="D24" s="36"/>
      <c r="E24" s="36"/>
      <c r="F24" s="37"/>
      <c r="G24" s="38"/>
      <c r="H24" s="39"/>
      <c r="I24" s="40"/>
      <c r="J24" s="36"/>
      <c r="K24" s="14">
        <f t="shared" si="0"/>
        <v>0</v>
      </c>
      <c r="L24" s="16">
        <f t="shared" si="1"/>
        <v>20</v>
      </c>
      <c r="M24" s="41">
        <v>45292</v>
      </c>
      <c r="N24" s="42" t="s">
        <v>16</v>
      </c>
      <c r="O24" s="43"/>
    </row>
  </sheetData>
  <autoFilter ref="A2:N4"/>
  <mergeCells count="15">
    <mergeCell ref="A1:N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2:M4"/>
    <mergeCell ref="N2:N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4000"/>
  </sheetPr>
  <dimension ref="A1:Q379"/>
  <sheetViews>
    <sheetView zoomScaleNormal="100" workbookViewId="0">
      <pane ySplit="4" topLeftCell="A224" activePane="bottomLeft" state="frozen"/>
      <selection pane="bottomLeft" activeCell="B335" sqref="B335"/>
    </sheetView>
  </sheetViews>
  <sheetFormatPr defaultRowHeight="15"/>
  <cols>
    <col min="1" max="1" width="9.140625" customWidth="1"/>
    <col min="2" max="2" width="40.85546875" customWidth="1"/>
    <col min="3" max="13" width="13.28515625" customWidth="1"/>
    <col min="14" max="14" width="13.28515625" style="13" customWidth="1"/>
    <col min="15" max="15" width="13.28515625" customWidth="1"/>
    <col min="16" max="16" width="13.28515625" style="13" customWidth="1"/>
    <col min="17" max="17" width="43.5703125" customWidth="1"/>
    <col min="18" max="1025" width="9.140625" customWidth="1"/>
  </cols>
  <sheetData>
    <row r="1" spans="1:17" ht="52.5" customHeight="1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ht="13.9" customHeight="1">
      <c r="A2" s="11" t="s">
        <v>1</v>
      </c>
      <c r="B2" s="10" t="s">
        <v>2</v>
      </c>
      <c r="C2" s="9">
        <v>44348</v>
      </c>
      <c r="D2" s="11" t="s">
        <v>3</v>
      </c>
      <c r="E2" s="11" t="s">
        <v>4</v>
      </c>
      <c r="F2" s="8" t="s">
        <v>5</v>
      </c>
      <c r="G2" s="7" t="s">
        <v>6</v>
      </c>
      <c r="H2" s="6" t="s">
        <v>7</v>
      </c>
      <c r="I2" s="5" t="s">
        <v>8</v>
      </c>
      <c r="J2" s="11" t="s">
        <v>9</v>
      </c>
      <c r="K2" s="11" t="s">
        <v>10</v>
      </c>
      <c r="L2" s="9">
        <v>44377</v>
      </c>
      <c r="M2" s="4" t="s">
        <v>11</v>
      </c>
      <c r="N2" s="4" t="s">
        <v>550</v>
      </c>
      <c r="O2" s="4" t="s">
        <v>12</v>
      </c>
      <c r="P2" s="4" t="s">
        <v>13</v>
      </c>
      <c r="Q2" s="4" t="s">
        <v>14</v>
      </c>
    </row>
    <row r="3" spans="1:17">
      <c r="A3" s="11"/>
      <c r="B3" s="10"/>
      <c r="C3" s="9"/>
      <c r="D3" s="9"/>
      <c r="E3" s="9"/>
      <c r="F3" s="8"/>
      <c r="G3" s="7"/>
      <c r="H3" s="6"/>
      <c r="I3" s="5"/>
      <c r="J3" s="11"/>
      <c r="K3" s="11"/>
      <c r="L3" s="11"/>
      <c r="M3" s="4"/>
      <c r="N3" s="4"/>
      <c r="O3" s="4"/>
      <c r="P3" s="4"/>
      <c r="Q3" s="4"/>
    </row>
    <row r="4" spans="1:17" ht="34.5" customHeight="1">
      <c r="A4" s="11"/>
      <c r="B4" s="10"/>
      <c r="C4" s="9"/>
      <c r="D4" s="9"/>
      <c r="E4" s="9"/>
      <c r="F4" s="8"/>
      <c r="G4" s="7"/>
      <c r="H4" s="6"/>
      <c r="I4" s="5"/>
      <c r="J4" s="11"/>
      <c r="K4" s="11"/>
      <c r="L4" s="11"/>
      <c r="M4" s="4"/>
      <c r="N4" s="4"/>
      <c r="O4" s="4"/>
      <c r="P4" s="4"/>
      <c r="Q4" s="4"/>
    </row>
    <row r="5" spans="1:17">
      <c r="A5" s="14">
        <v>1</v>
      </c>
      <c r="B5" s="15" t="s">
        <v>15</v>
      </c>
      <c r="C5" s="16">
        <f>'Медикаменты Май'!L5</f>
        <v>17</v>
      </c>
      <c r="D5" s="17"/>
      <c r="E5" s="14"/>
      <c r="F5" s="18"/>
      <c r="G5" s="19"/>
      <c r="H5" s="20"/>
      <c r="I5" s="21"/>
      <c r="J5" s="14"/>
      <c r="K5" s="14">
        <f t="shared" ref="K5:K68" si="0">SUM(F5:J5)</f>
        <v>0</v>
      </c>
      <c r="L5" s="16">
        <f t="shared" ref="L5:L68" si="1">(C5+E5)-K5</f>
        <v>17</v>
      </c>
      <c r="M5" s="22">
        <v>44531</v>
      </c>
      <c r="N5" s="44" t="s">
        <v>45</v>
      </c>
      <c r="O5" s="23" t="s">
        <v>16</v>
      </c>
      <c r="P5" s="24" t="s">
        <v>17</v>
      </c>
      <c r="Q5" s="23" t="s">
        <v>18</v>
      </c>
    </row>
    <row r="6" spans="1:17">
      <c r="A6" s="14">
        <v>2</v>
      </c>
      <c r="B6" s="15" t="s">
        <v>19</v>
      </c>
      <c r="C6" s="16">
        <f>'Медикаменты Май'!L6</f>
        <v>11</v>
      </c>
      <c r="D6" s="17"/>
      <c r="E6" s="14"/>
      <c r="F6" s="18"/>
      <c r="G6" s="19"/>
      <c r="H6" s="20"/>
      <c r="I6" s="21"/>
      <c r="J6" s="14"/>
      <c r="K6" s="14">
        <f t="shared" si="0"/>
        <v>0</v>
      </c>
      <c r="L6" s="16">
        <f t="shared" si="1"/>
        <v>11</v>
      </c>
      <c r="M6" s="22">
        <v>44593</v>
      </c>
      <c r="N6" s="44" t="s">
        <v>45</v>
      </c>
      <c r="O6" s="23" t="s">
        <v>16</v>
      </c>
      <c r="P6" s="24" t="s">
        <v>17</v>
      </c>
      <c r="Q6" s="23" t="s">
        <v>20</v>
      </c>
    </row>
    <row r="7" spans="1:17">
      <c r="A7" s="14">
        <v>3</v>
      </c>
      <c r="B7" s="15" t="s">
        <v>21</v>
      </c>
      <c r="C7" s="16">
        <f>'Медикаменты Май'!L7</f>
        <v>177</v>
      </c>
      <c r="D7" s="17"/>
      <c r="E7" s="14"/>
      <c r="F7" s="18">
        <f>5+5+10</f>
        <v>20</v>
      </c>
      <c r="G7" s="19"/>
      <c r="H7" s="20"/>
      <c r="I7" s="21"/>
      <c r="J7" s="14"/>
      <c r="K7" s="14">
        <f t="shared" si="0"/>
        <v>20</v>
      </c>
      <c r="L7" s="16">
        <f t="shared" si="1"/>
        <v>157</v>
      </c>
      <c r="M7" s="22">
        <v>45566</v>
      </c>
      <c r="N7" s="44" t="s">
        <v>45</v>
      </c>
      <c r="O7" s="23" t="s">
        <v>16</v>
      </c>
      <c r="P7" s="24" t="s">
        <v>17</v>
      </c>
      <c r="Q7" s="23" t="s">
        <v>22</v>
      </c>
    </row>
    <row r="8" spans="1:17">
      <c r="A8" s="14">
        <v>4</v>
      </c>
      <c r="B8" s="15" t="s">
        <v>23</v>
      </c>
      <c r="C8" s="16">
        <f>'Медикаменты Май'!L8</f>
        <v>0</v>
      </c>
      <c r="D8" s="17"/>
      <c r="E8" s="14"/>
      <c r="F8" s="18"/>
      <c r="G8" s="19"/>
      <c r="H8" s="20"/>
      <c r="I8" s="21"/>
      <c r="J8" s="14"/>
      <c r="K8" s="14">
        <f t="shared" si="0"/>
        <v>0</v>
      </c>
      <c r="L8" s="16">
        <f t="shared" si="1"/>
        <v>0</v>
      </c>
      <c r="M8" s="22"/>
      <c r="N8" s="44"/>
      <c r="O8" s="23" t="s">
        <v>16</v>
      </c>
      <c r="P8" s="24"/>
      <c r="Q8" s="23"/>
    </row>
    <row r="9" spans="1:17">
      <c r="A9" s="14">
        <v>5</v>
      </c>
      <c r="B9" s="15" t="s">
        <v>24</v>
      </c>
      <c r="C9" s="16">
        <f>'Медикаменты Май'!L9</f>
        <v>0</v>
      </c>
      <c r="D9" s="17"/>
      <c r="E9" s="14"/>
      <c r="F9" s="18"/>
      <c r="G9" s="19"/>
      <c r="H9" s="20"/>
      <c r="I9" s="21"/>
      <c r="J9" s="14"/>
      <c r="K9" s="14">
        <f t="shared" si="0"/>
        <v>0</v>
      </c>
      <c r="L9" s="16">
        <f t="shared" si="1"/>
        <v>0</v>
      </c>
      <c r="M9" s="22">
        <v>44866</v>
      </c>
      <c r="N9" s="44"/>
      <c r="O9" s="23" t="s">
        <v>16</v>
      </c>
      <c r="P9" s="24" t="s">
        <v>17</v>
      </c>
      <c r="Q9" s="23" t="s">
        <v>25</v>
      </c>
    </row>
    <row r="10" spans="1:17">
      <c r="A10" s="14">
        <v>6</v>
      </c>
      <c r="B10" s="15" t="s">
        <v>24</v>
      </c>
      <c r="C10" s="16">
        <f>'Медикаменты Май'!L10</f>
        <v>0</v>
      </c>
      <c r="D10" s="17"/>
      <c r="E10" s="14"/>
      <c r="F10" s="18"/>
      <c r="G10" s="19"/>
      <c r="H10" s="20"/>
      <c r="I10" s="21"/>
      <c r="J10" s="14"/>
      <c r="K10" s="14">
        <f t="shared" si="0"/>
        <v>0</v>
      </c>
      <c r="L10" s="16">
        <f t="shared" si="1"/>
        <v>0</v>
      </c>
      <c r="M10" s="22"/>
      <c r="N10" s="44"/>
      <c r="O10" s="23" t="s">
        <v>26</v>
      </c>
      <c r="P10" s="24"/>
      <c r="Q10" s="25"/>
    </row>
    <row r="11" spans="1:17">
      <c r="A11" s="14">
        <v>7</v>
      </c>
      <c r="B11" s="15" t="s">
        <v>27</v>
      </c>
      <c r="C11" s="16">
        <f>'Медикаменты Май'!L11</f>
        <v>0</v>
      </c>
      <c r="D11" s="17"/>
      <c r="E11" s="14"/>
      <c r="F11" s="18"/>
      <c r="G11" s="19"/>
      <c r="H11" s="20"/>
      <c r="I11" s="21"/>
      <c r="J11" s="14"/>
      <c r="K11" s="14">
        <f t="shared" si="0"/>
        <v>0</v>
      </c>
      <c r="L11" s="16">
        <f t="shared" si="1"/>
        <v>0</v>
      </c>
      <c r="M11" s="22">
        <v>44805</v>
      </c>
      <c r="N11" s="44" t="s">
        <v>45</v>
      </c>
      <c r="O11" s="23" t="s">
        <v>16</v>
      </c>
      <c r="P11" s="24" t="s">
        <v>17</v>
      </c>
      <c r="Q11" s="23" t="s">
        <v>28</v>
      </c>
    </row>
    <row r="12" spans="1:17">
      <c r="A12" s="14">
        <v>8</v>
      </c>
      <c r="B12" s="15" t="s">
        <v>27</v>
      </c>
      <c r="C12" s="16">
        <f>'Медикаменты Май'!L12</f>
        <v>0</v>
      </c>
      <c r="D12" s="17"/>
      <c r="E12" s="14"/>
      <c r="F12" s="18"/>
      <c r="G12" s="19"/>
      <c r="H12" s="20"/>
      <c r="I12" s="21"/>
      <c r="J12" s="14"/>
      <c r="K12" s="14">
        <f t="shared" si="0"/>
        <v>0</v>
      </c>
      <c r="L12" s="16">
        <f t="shared" si="1"/>
        <v>0</v>
      </c>
      <c r="M12" s="22"/>
      <c r="N12" s="44"/>
      <c r="O12" s="23" t="s">
        <v>26</v>
      </c>
      <c r="P12" s="24"/>
      <c r="Q12" s="25"/>
    </row>
    <row r="13" spans="1:17">
      <c r="A13" s="14">
        <v>9</v>
      </c>
      <c r="B13" s="15" t="s">
        <v>29</v>
      </c>
      <c r="C13" s="16">
        <f>'Медикаменты Май'!L13</f>
        <v>17</v>
      </c>
      <c r="D13" s="17"/>
      <c r="E13" s="14"/>
      <c r="F13" s="18"/>
      <c r="G13" s="19"/>
      <c r="H13" s="20"/>
      <c r="I13" s="21"/>
      <c r="J13" s="14"/>
      <c r="K13" s="14">
        <f t="shared" si="0"/>
        <v>0</v>
      </c>
      <c r="L13" s="16">
        <f t="shared" si="1"/>
        <v>17</v>
      </c>
      <c r="M13" s="22">
        <v>44835</v>
      </c>
      <c r="N13" s="44" t="s">
        <v>45</v>
      </c>
      <c r="O13" s="23" t="s">
        <v>16</v>
      </c>
      <c r="P13" s="24" t="s">
        <v>17</v>
      </c>
      <c r="Q13" s="23" t="s">
        <v>30</v>
      </c>
    </row>
    <row r="14" spans="1:17">
      <c r="A14" s="14">
        <v>10</v>
      </c>
      <c r="B14" s="15" t="s">
        <v>31</v>
      </c>
      <c r="C14" s="16">
        <f>'Медикаменты Май'!L14</f>
        <v>71</v>
      </c>
      <c r="D14" s="26"/>
      <c r="E14" s="14"/>
      <c r="F14" s="18">
        <f>5+5</f>
        <v>10</v>
      </c>
      <c r="G14" s="19"/>
      <c r="H14" s="20"/>
      <c r="I14" s="21"/>
      <c r="J14" s="14"/>
      <c r="K14" s="14">
        <f t="shared" si="0"/>
        <v>10</v>
      </c>
      <c r="L14" s="16">
        <f t="shared" si="1"/>
        <v>61</v>
      </c>
      <c r="M14" s="22">
        <v>44621</v>
      </c>
      <c r="N14" s="44" t="s">
        <v>45</v>
      </c>
      <c r="O14" s="23" t="s">
        <v>16</v>
      </c>
      <c r="P14" s="24" t="s">
        <v>17</v>
      </c>
      <c r="Q14" s="23" t="s">
        <v>32</v>
      </c>
    </row>
    <row r="15" spans="1:17">
      <c r="A15" s="14">
        <v>11</v>
      </c>
      <c r="B15" s="15" t="s">
        <v>31</v>
      </c>
      <c r="C15" s="16">
        <f>'Медикаменты Май'!L15</f>
        <v>0</v>
      </c>
      <c r="D15" s="17"/>
      <c r="E15" s="14"/>
      <c r="F15" s="18"/>
      <c r="G15" s="19"/>
      <c r="H15" s="20"/>
      <c r="I15" s="21"/>
      <c r="J15" s="14"/>
      <c r="K15" s="14">
        <f t="shared" si="0"/>
        <v>0</v>
      </c>
      <c r="L15" s="16">
        <f t="shared" si="1"/>
        <v>0</v>
      </c>
      <c r="M15" s="22"/>
      <c r="N15" s="44"/>
      <c r="O15" s="23" t="s">
        <v>26</v>
      </c>
      <c r="P15" s="24"/>
      <c r="Q15" s="25"/>
    </row>
    <row r="16" spans="1:17" ht="25.5">
      <c r="A16" s="14">
        <v>12</v>
      </c>
      <c r="B16" s="15" t="s">
        <v>33</v>
      </c>
      <c r="C16" s="16">
        <f>'Медикаменты Май'!L16</f>
        <v>3</v>
      </c>
      <c r="D16" s="17"/>
      <c r="E16" s="14"/>
      <c r="F16" s="18"/>
      <c r="G16" s="19"/>
      <c r="H16" s="20"/>
      <c r="I16" s="21"/>
      <c r="J16" s="14"/>
      <c r="K16" s="14">
        <f t="shared" si="0"/>
        <v>0</v>
      </c>
      <c r="L16" s="16">
        <f t="shared" si="1"/>
        <v>3</v>
      </c>
      <c r="M16" s="22">
        <v>44501</v>
      </c>
      <c r="N16" s="44" t="s">
        <v>45</v>
      </c>
      <c r="O16" s="23" t="s">
        <v>16</v>
      </c>
      <c r="P16" s="24" t="s">
        <v>17</v>
      </c>
      <c r="Q16" s="23" t="s">
        <v>34</v>
      </c>
    </row>
    <row r="17" spans="1:17">
      <c r="A17" s="14">
        <v>13</v>
      </c>
      <c r="B17" s="15" t="s">
        <v>35</v>
      </c>
      <c r="C17" s="16">
        <f>'Медикаменты Май'!L17</f>
        <v>40</v>
      </c>
      <c r="D17" s="17"/>
      <c r="E17" s="14"/>
      <c r="F17" s="18">
        <f>3+5</f>
        <v>8</v>
      </c>
      <c r="G17" s="19"/>
      <c r="H17" s="20"/>
      <c r="I17" s="21"/>
      <c r="J17" s="14"/>
      <c r="K17" s="14">
        <f t="shared" si="0"/>
        <v>8</v>
      </c>
      <c r="L17" s="16">
        <f t="shared" si="1"/>
        <v>32</v>
      </c>
      <c r="M17" s="22">
        <v>44621</v>
      </c>
      <c r="N17" s="44" t="s">
        <v>45</v>
      </c>
      <c r="O17" s="23" t="s">
        <v>16</v>
      </c>
      <c r="P17" s="24" t="s">
        <v>17</v>
      </c>
      <c r="Q17" s="23" t="s">
        <v>36</v>
      </c>
    </row>
    <row r="18" spans="1:17">
      <c r="A18" s="14">
        <v>14</v>
      </c>
      <c r="B18" s="15" t="s">
        <v>37</v>
      </c>
      <c r="C18" s="16">
        <f>'Медикаменты Май'!L18</f>
        <v>120</v>
      </c>
      <c r="D18" s="17"/>
      <c r="E18" s="14"/>
      <c r="F18" s="18"/>
      <c r="G18" s="19">
        <f>20</f>
        <v>20</v>
      </c>
      <c r="H18" s="20"/>
      <c r="I18" s="21"/>
      <c r="J18" s="14"/>
      <c r="K18" s="14">
        <f t="shared" si="0"/>
        <v>20</v>
      </c>
      <c r="L18" s="16">
        <f t="shared" si="1"/>
        <v>100</v>
      </c>
      <c r="M18" s="22">
        <v>44348</v>
      </c>
      <c r="N18" s="44" t="s">
        <v>45</v>
      </c>
      <c r="O18" s="23" t="s">
        <v>16</v>
      </c>
      <c r="P18" s="24" t="s">
        <v>17</v>
      </c>
      <c r="Q18" s="23" t="s">
        <v>38</v>
      </c>
    </row>
    <row r="19" spans="1:17">
      <c r="A19" s="14">
        <v>15</v>
      </c>
      <c r="B19" s="15" t="s">
        <v>39</v>
      </c>
      <c r="C19" s="16">
        <f>'Медикаменты Май'!L19</f>
        <v>3</v>
      </c>
      <c r="D19" s="17"/>
      <c r="E19" s="14"/>
      <c r="F19" s="18"/>
      <c r="G19" s="19"/>
      <c r="H19" s="20"/>
      <c r="I19" s="21"/>
      <c r="J19" s="14"/>
      <c r="K19" s="14">
        <f t="shared" si="0"/>
        <v>0</v>
      </c>
      <c r="L19" s="16">
        <f t="shared" si="1"/>
        <v>3</v>
      </c>
      <c r="M19" s="22">
        <v>44409</v>
      </c>
      <c r="N19" s="44" t="s">
        <v>45</v>
      </c>
      <c r="O19" s="23" t="s">
        <v>16</v>
      </c>
      <c r="P19" s="24" t="s">
        <v>17</v>
      </c>
      <c r="Q19" s="23" t="s">
        <v>40</v>
      </c>
    </row>
    <row r="20" spans="1:17" ht="25.5">
      <c r="A20" s="14">
        <v>16</v>
      </c>
      <c r="B20" s="15" t="s">
        <v>41</v>
      </c>
      <c r="C20" s="16">
        <f>'Медикаменты Май'!L20</f>
        <v>0</v>
      </c>
      <c r="D20" s="17"/>
      <c r="E20" s="14"/>
      <c r="F20" s="18"/>
      <c r="G20" s="19"/>
      <c r="H20" s="20"/>
      <c r="I20" s="21"/>
      <c r="J20" s="14"/>
      <c r="K20" s="14">
        <f t="shared" si="0"/>
        <v>0</v>
      </c>
      <c r="L20" s="16">
        <f t="shared" si="1"/>
        <v>0</v>
      </c>
      <c r="M20" s="22">
        <v>44743</v>
      </c>
      <c r="N20" s="44" t="s">
        <v>551</v>
      </c>
      <c r="O20" s="23" t="s">
        <v>16</v>
      </c>
      <c r="P20" s="24" t="s">
        <v>17</v>
      </c>
      <c r="Q20" s="23" t="s">
        <v>42</v>
      </c>
    </row>
    <row r="21" spans="1:17">
      <c r="A21" s="14">
        <v>17</v>
      </c>
      <c r="B21" s="15" t="s">
        <v>43</v>
      </c>
      <c r="C21" s="16">
        <f>'Медикаменты Май'!L21</f>
        <v>0</v>
      </c>
      <c r="D21" s="17"/>
      <c r="E21" s="14"/>
      <c r="F21" s="18"/>
      <c r="G21" s="19"/>
      <c r="H21" s="20"/>
      <c r="I21" s="21"/>
      <c r="J21" s="14"/>
      <c r="K21" s="14">
        <f t="shared" si="0"/>
        <v>0</v>
      </c>
      <c r="L21" s="16">
        <f t="shared" si="1"/>
        <v>0</v>
      </c>
      <c r="M21" s="22"/>
      <c r="N21" s="44"/>
      <c r="O21" s="23" t="s">
        <v>16</v>
      </c>
      <c r="P21" s="24"/>
      <c r="Q21" s="25"/>
    </row>
    <row r="22" spans="1:17">
      <c r="A22" s="14">
        <v>18</v>
      </c>
      <c r="B22" s="15" t="s">
        <v>44</v>
      </c>
      <c r="C22" s="16">
        <f>'Медикаменты Май'!L22</f>
        <v>4</v>
      </c>
      <c r="D22" s="17"/>
      <c r="E22" s="14"/>
      <c r="F22" s="18"/>
      <c r="G22" s="19"/>
      <c r="H22" s="20"/>
      <c r="I22" s="21"/>
      <c r="J22" s="14"/>
      <c r="K22" s="14">
        <f t="shared" si="0"/>
        <v>0</v>
      </c>
      <c r="L22" s="16">
        <f t="shared" si="1"/>
        <v>4</v>
      </c>
      <c r="M22" s="22">
        <v>44621</v>
      </c>
      <c r="N22" s="44" t="s">
        <v>45</v>
      </c>
      <c r="O22" s="23" t="s">
        <v>16</v>
      </c>
      <c r="P22" s="24" t="s">
        <v>45</v>
      </c>
      <c r="Q22" s="23" t="s">
        <v>46</v>
      </c>
    </row>
    <row r="23" spans="1:17">
      <c r="A23" s="14">
        <v>19</v>
      </c>
      <c r="B23" s="15" t="s">
        <v>44</v>
      </c>
      <c r="C23" s="16">
        <f>'Медикаменты Май'!L23</f>
        <v>0</v>
      </c>
      <c r="D23" s="17"/>
      <c r="E23" s="14"/>
      <c r="F23" s="18"/>
      <c r="G23" s="19"/>
      <c r="H23" s="20"/>
      <c r="I23" s="21"/>
      <c r="J23" s="14"/>
      <c r="K23" s="14">
        <f t="shared" si="0"/>
        <v>0</v>
      </c>
      <c r="L23" s="16">
        <f t="shared" si="1"/>
        <v>0</v>
      </c>
      <c r="M23" s="22">
        <v>44621</v>
      </c>
      <c r="N23" s="44"/>
      <c r="O23" s="23" t="s">
        <v>26</v>
      </c>
      <c r="P23" s="24"/>
      <c r="Q23" s="23" t="s">
        <v>46</v>
      </c>
    </row>
    <row r="24" spans="1:17">
      <c r="A24" s="14">
        <v>20</v>
      </c>
      <c r="B24" s="15" t="s">
        <v>47</v>
      </c>
      <c r="C24" s="16">
        <f>'Медикаменты Май'!L24</f>
        <v>79</v>
      </c>
      <c r="D24" s="17"/>
      <c r="E24" s="14"/>
      <c r="F24" s="18">
        <f>5</f>
        <v>5</v>
      </c>
      <c r="G24" s="19"/>
      <c r="H24" s="20"/>
      <c r="I24" s="21"/>
      <c r="J24" s="14"/>
      <c r="K24" s="14">
        <f t="shared" si="0"/>
        <v>5</v>
      </c>
      <c r="L24" s="16">
        <f t="shared" si="1"/>
        <v>74</v>
      </c>
      <c r="M24" s="22">
        <v>44348</v>
      </c>
      <c r="N24" s="44" t="s">
        <v>45</v>
      </c>
      <c r="O24" s="23" t="s">
        <v>16</v>
      </c>
      <c r="P24" s="24" t="s">
        <v>45</v>
      </c>
      <c r="Q24" s="23" t="s">
        <v>48</v>
      </c>
    </row>
    <row r="25" spans="1:17">
      <c r="A25" s="14">
        <v>21</v>
      </c>
      <c r="B25" s="15" t="s">
        <v>49</v>
      </c>
      <c r="C25" s="16">
        <f>'Медикаменты Май'!L25</f>
        <v>0</v>
      </c>
      <c r="D25" s="17"/>
      <c r="E25" s="14"/>
      <c r="F25" s="18"/>
      <c r="G25" s="19"/>
      <c r="H25" s="20"/>
      <c r="I25" s="21"/>
      <c r="J25" s="14"/>
      <c r="K25" s="14">
        <f t="shared" si="0"/>
        <v>0</v>
      </c>
      <c r="L25" s="16">
        <f t="shared" si="1"/>
        <v>0</v>
      </c>
      <c r="M25" s="22">
        <v>44652</v>
      </c>
      <c r="N25" s="44"/>
      <c r="O25" s="23" t="s">
        <v>16</v>
      </c>
      <c r="P25" s="24"/>
      <c r="Q25" s="23" t="s">
        <v>50</v>
      </c>
    </row>
    <row r="26" spans="1:17">
      <c r="A26" s="14">
        <v>22</v>
      </c>
      <c r="B26" s="15" t="s">
        <v>51</v>
      </c>
      <c r="C26" s="16">
        <f>'Медикаменты Май'!L26</f>
        <v>0</v>
      </c>
      <c r="D26" s="17"/>
      <c r="E26" s="14"/>
      <c r="F26" s="18"/>
      <c r="G26" s="19"/>
      <c r="H26" s="20"/>
      <c r="I26" s="21"/>
      <c r="J26" s="14"/>
      <c r="K26" s="14">
        <f t="shared" si="0"/>
        <v>0</v>
      </c>
      <c r="L26" s="16">
        <f t="shared" si="1"/>
        <v>0</v>
      </c>
      <c r="M26" s="22">
        <v>44317</v>
      </c>
      <c r="N26" s="44"/>
      <c r="O26" s="23" t="s">
        <v>16</v>
      </c>
      <c r="P26" s="24" t="s">
        <v>17</v>
      </c>
      <c r="Q26" s="23" t="s">
        <v>52</v>
      </c>
    </row>
    <row r="27" spans="1:17">
      <c r="A27" s="14">
        <v>23</v>
      </c>
      <c r="B27" s="15" t="s">
        <v>53</v>
      </c>
      <c r="C27" s="16">
        <f>'Медикаменты Май'!L27</f>
        <v>0</v>
      </c>
      <c r="D27" s="17"/>
      <c r="E27" s="14"/>
      <c r="F27" s="18"/>
      <c r="G27" s="19"/>
      <c r="H27" s="20"/>
      <c r="I27" s="21"/>
      <c r="J27" s="14"/>
      <c r="K27" s="14">
        <f t="shared" si="0"/>
        <v>0</v>
      </c>
      <c r="L27" s="16">
        <f t="shared" si="1"/>
        <v>0</v>
      </c>
      <c r="M27" s="22"/>
      <c r="N27" s="44"/>
      <c r="O27" s="23" t="s">
        <v>16</v>
      </c>
      <c r="P27" s="24"/>
      <c r="Q27" s="25"/>
    </row>
    <row r="28" spans="1:17">
      <c r="A28" s="14">
        <v>24</v>
      </c>
      <c r="B28" s="15" t="s">
        <v>54</v>
      </c>
      <c r="C28" s="16">
        <f>'Медикаменты Май'!L28</f>
        <v>0</v>
      </c>
      <c r="D28" s="17"/>
      <c r="E28" s="14"/>
      <c r="F28" s="18"/>
      <c r="G28" s="19"/>
      <c r="H28" s="20"/>
      <c r="I28" s="21"/>
      <c r="J28" s="14"/>
      <c r="K28" s="14">
        <f t="shared" si="0"/>
        <v>0</v>
      </c>
      <c r="L28" s="16">
        <f t="shared" si="1"/>
        <v>0</v>
      </c>
      <c r="M28" s="22"/>
      <c r="N28" s="44"/>
      <c r="O28" s="23" t="s">
        <v>16</v>
      </c>
      <c r="P28" s="24"/>
      <c r="Q28" s="25"/>
    </row>
    <row r="29" spans="1:17">
      <c r="A29" s="14">
        <v>25</v>
      </c>
      <c r="B29" s="15" t="s">
        <v>55</v>
      </c>
      <c r="C29" s="16">
        <f>'Медикаменты Май'!L29</f>
        <v>0</v>
      </c>
      <c r="D29" s="17"/>
      <c r="E29" s="14"/>
      <c r="F29" s="18"/>
      <c r="G29" s="19"/>
      <c r="H29" s="20"/>
      <c r="I29" s="21"/>
      <c r="J29" s="14"/>
      <c r="K29" s="14">
        <f t="shared" si="0"/>
        <v>0</v>
      </c>
      <c r="L29" s="16">
        <f t="shared" si="1"/>
        <v>0</v>
      </c>
      <c r="M29" s="22"/>
      <c r="N29" s="44"/>
      <c r="O29" s="23" t="s">
        <v>16</v>
      </c>
      <c r="P29" s="24"/>
      <c r="Q29" s="25"/>
    </row>
    <row r="30" spans="1:17">
      <c r="A30" s="14">
        <v>26</v>
      </c>
      <c r="B30" s="15" t="s">
        <v>56</v>
      </c>
      <c r="C30" s="16">
        <f>'Медикаменты Май'!L30</f>
        <v>0</v>
      </c>
      <c r="D30" s="17"/>
      <c r="E30" s="14"/>
      <c r="F30" s="18"/>
      <c r="G30" s="19"/>
      <c r="H30" s="20"/>
      <c r="I30" s="21"/>
      <c r="J30" s="14"/>
      <c r="K30" s="14">
        <f t="shared" si="0"/>
        <v>0</v>
      </c>
      <c r="L30" s="16">
        <f t="shared" si="1"/>
        <v>0</v>
      </c>
      <c r="M30" s="22">
        <v>44743</v>
      </c>
      <c r="N30" s="44"/>
      <c r="O30" s="23" t="s">
        <v>16</v>
      </c>
      <c r="P30" s="24"/>
      <c r="Q30" s="25"/>
    </row>
    <row r="31" spans="1:17">
      <c r="A31" s="14">
        <v>27</v>
      </c>
      <c r="B31" s="15" t="s">
        <v>57</v>
      </c>
      <c r="C31" s="16">
        <f>'Медикаменты Май'!L31</f>
        <v>0</v>
      </c>
      <c r="D31" s="17"/>
      <c r="E31" s="14"/>
      <c r="F31" s="18"/>
      <c r="G31" s="19"/>
      <c r="H31" s="20"/>
      <c r="I31" s="21"/>
      <c r="J31" s="14"/>
      <c r="K31" s="14">
        <f t="shared" si="0"/>
        <v>0</v>
      </c>
      <c r="L31" s="16">
        <f t="shared" si="1"/>
        <v>0</v>
      </c>
      <c r="M31" s="22">
        <v>44958</v>
      </c>
      <c r="N31" s="44"/>
      <c r="O31" s="23" t="s">
        <v>16</v>
      </c>
      <c r="P31" s="24"/>
      <c r="Q31" s="23" t="s">
        <v>58</v>
      </c>
    </row>
    <row r="32" spans="1:17" ht="25.5">
      <c r="A32" s="14">
        <v>28</v>
      </c>
      <c r="B32" s="15" t="s">
        <v>59</v>
      </c>
      <c r="C32" s="16">
        <f>'Медикаменты Май'!L32</f>
        <v>0</v>
      </c>
      <c r="D32" s="17"/>
      <c r="E32" s="14"/>
      <c r="F32" s="18"/>
      <c r="G32" s="19"/>
      <c r="H32" s="20"/>
      <c r="I32" s="21"/>
      <c r="J32" s="14"/>
      <c r="K32" s="14">
        <f t="shared" si="0"/>
        <v>0</v>
      </c>
      <c r="L32" s="16">
        <f t="shared" si="1"/>
        <v>0</v>
      </c>
      <c r="M32" s="22">
        <v>44044</v>
      </c>
      <c r="N32" s="44"/>
      <c r="O32" s="23" t="s">
        <v>16</v>
      </c>
      <c r="P32" s="24"/>
      <c r="Q32" s="23" t="s">
        <v>60</v>
      </c>
    </row>
    <row r="33" spans="1:17">
      <c r="A33" s="14">
        <v>29</v>
      </c>
      <c r="B33" s="15" t="s">
        <v>61</v>
      </c>
      <c r="C33" s="16">
        <f>'Медикаменты Май'!L33</f>
        <v>0</v>
      </c>
      <c r="D33" s="17"/>
      <c r="E33" s="14"/>
      <c r="F33" s="18"/>
      <c r="G33" s="19"/>
      <c r="H33" s="20"/>
      <c r="I33" s="21"/>
      <c r="J33" s="14"/>
      <c r="K33" s="14">
        <f t="shared" si="0"/>
        <v>0</v>
      </c>
      <c r="L33" s="16">
        <f t="shared" si="1"/>
        <v>0</v>
      </c>
      <c r="M33" s="22">
        <v>44713</v>
      </c>
      <c r="N33" s="44"/>
      <c r="O33" s="23" t="s">
        <v>16</v>
      </c>
      <c r="P33" s="24"/>
      <c r="Q33" s="23" t="s">
        <v>62</v>
      </c>
    </row>
    <row r="34" spans="1:17">
      <c r="A34" s="14">
        <v>30</v>
      </c>
      <c r="B34" s="15" t="s">
        <v>63</v>
      </c>
      <c r="C34" s="16">
        <f>'Медикаменты Май'!L34</f>
        <v>0</v>
      </c>
      <c r="D34" s="17"/>
      <c r="E34" s="14"/>
      <c r="F34" s="18"/>
      <c r="G34" s="19"/>
      <c r="H34" s="20"/>
      <c r="I34" s="21"/>
      <c r="J34" s="14"/>
      <c r="K34" s="14">
        <f t="shared" si="0"/>
        <v>0</v>
      </c>
      <c r="L34" s="16">
        <f t="shared" si="1"/>
        <v>0</v>
      </c>
      <c r="M34" s="22"/>
      <c r="N34" s="44"/>
      <c r="O34" s="23" t="s">
        <v>16</v>
      </c>
      <c r="P34" s="24"/>
      <c r="Q34" s="25"/>
    </row>
    <row r="35" spans="1:17">
      <c r="A35" s="14">
        <v>31</v>
      </c>
      <c r="B35" s="15" t="s">
        <v>64</v>
      </c>
      <c r="C35" s="16">
        <f>'Медикаменты Май'!L35</f>
        <v>0</v>
      </c>
      <c r="D35" s="17"/>
      <c r="E35" s="14"/>
      <c r="F35" s="18"/>
      <c r="G35" s="19"/>
      <c r="H35" s="20"/>
      <c r="I35" s="21"/>
      <c r="J35" s="14"/>
      <c r="K35" s="14">
        <f t="shared" si="0"/>
        <v>0</v>
      </c>
      <c r="L35" s="16">
        <f t="shared" si="1"/>
        <v>0</v>
      </c>
      <c r="M35" s="22"/>
      <c r="N35" s="44"/>
      <c r="O35" s="23" t="s">
        <v>16</v>
      </c>
      <c r="P35" s="24"/>
      <c r="Q35" s="25"/>
    </row>
    <row r="36" spans="1:17">
      <c r="A36" s="14">
        <v>32</v>
      </c>
      <c r="B36" s="15" t="s">
        <v>65</v>
      </c>
      <c r="C36" s="16">
        <f>'Медикаменты Май'!L36</f>
        <v>86</v>
      </c>
      <c r="D36" s="17"/>
      <c r="E36" s="14"/>
      <c r="F36" s="18">
        <f>5</f>
        <v>5</v>
      </c>
      <c r="G36" s="19"/>
      <c r="H36" s="20"/>
      <c r="I36" s="21"/>
      <c r="J36" s="14"/>
      <c r="K36" s="14">
        <f t="shared" si="0"/>
        <v>5</v>
      </c>
      <c r="L36" s="16">
        <f t="shared" si="1"/>
        <v>81</v>
      </c>
      <c r="M36" s="22">
        <v>45261</v>
      </c>
      <c r="N36" s="44" t="s">
        <v>45</v>
      </c>
      <c r="O36" s="23" t="s">
        <v>16</v>
      </c>
      <c r="P36" s="24" t="s">
        <v>17</v>
      </c>
      <c r="Q36" s="23" t="s">
        <v>66</v>
      </c>
    </row>
    <row r="37" spans="1:17">
      <c r="A37" s="14">
        <v>33</v>
      </c>
      <c r="B37" s="15" t="s">
        <v>67</v>
      </c>
      <c r="C37" s="16">
        <f>'Медикаменты Май'!L37</f>
        <v>0</v>
      </c>
      <c r="D37" s="17"/>
      <c r="E37" s="14"/>
      <c r="F37" s="18"/>
      <c r="G37" s="19"/>
      <c r="H37" s="20"/>
      <c r="I37" s="21"/>
      <c r="J37" s="14"/>
      <c r="K37" s="14">
        <f t="shared" si="0"/>
        <v>0</v>
      </c>
      <c r="L37" s="16">
        <f t="shared" si="1"/>
        <v>0</v>
      </c>
      <c r="M37" s="22">
        <v>44013</v>
      </c>
      <c r="N37" s="44"/>
      <c r="O37" s="23" t="s">
        <v>16</v>
      </c>
      <c r="P37" s="24"/>
      <c r="Q37" s="27" t="s">
        <v>68</v>
      </c>
    </row>
    <row r="38" spans="1:17">
      <c r="A38" s="14">
        <v>34</v>
      </c>
      <c r="B38" s="15" t="s">
        <v>69</v>
      </c>
      <c r="C38" s="16">
        <f>'Медикаменты Май'!L38</f>
        <v>9</v>
      </c>
      <c r="D38" s="17"/>
      <c r="E38" s="14"/>
      <c r="F38" s="18"/>
      <c r="G38" s="19"/>
      <c r="H38" s="20"/>
      <c r="I38" s="21"/>
      <c r="J38" s="14"/>
      <c r="K38" s="14">
        <f t="shared" si="0"/>
        <v>0</v>
      </c>
      <c r="L38" s="16">
        <f t="shared" si="1"/>
        <v>9</v>
      </c>
      <c r="M38" s="22">
        <v>45383</v>
      </c>
      <c r="N38" s="44" t="s">
        <v>45</v>
      </c>
      <c r="O38" s="23" t="s">
        <v>16</v>
      </c>
      <c r="P38" s="24" t="s">
        <v>17</v>
      </c>
      <c r="Q38" s="23" t="s">
        <v>70</v>
      </c>
    </row>
    <row r="39" spans="1:17">
      <c r="A39" s="14">
        <v>35</v>
      </c>
      <c r="B39" s="15" t="s">
        <v>71</v>
      </c>
      <c r="C39" s="16">
        <f>'Медикаменты Май'!L39</f>
        <v>0</v>
      </c>
      <c r="D39" s="17"/>
      <c r="E39" s="14"/>
      <c r="F39" s="18"/>
      <c r="G39" s="19"/>
      <c r="H39" s="20"/>
      <c r="I39" s="21"/>
      <c r="J39" s="14"/>
      <c r="K39" s="14">
        <f t="shared" si="0"/>
        <v>0</v>
      </c>
      <c r="L39" s="16">
        <f t="shared" si="1"/>
        <v>0</v>
      </c>
      <c r="M39" s="22"/>
      <c r="N39" s="44"/>
      <c r="O39" s="23" t="s">
        <v>16</v>
      </c>
      <c r="P39" s="24"/>
      <c r="Q39" s="25"/>
    </row>
    <row r="40" spans="1:17">
      <c r="A40" s="14">
        <v>36</v>
      </c>
      <c r="B40" s="15" t="s">
        <v>72</v>
      </c>
      <c r="C40" s="16">
        <f>'Медикаменты Май'!L40</f>
        <v>15</v>
      </c>
      <c r="D40" s="17"/>
      <c r="E40" s="14"/>
      <c r="F40" s="18"/>
      <c r="G40" s="19"/>
      <c r="H40" s="20"/>
      <c r="I40" s="21"/>
      <c r="J40" s="14"/>
      <c r="K40" s="14">
        <f t="shared" si="0"/>
        <v>0</v>
      </c>
      <c r="L40" s="16">
        <f t="shared" si="1"/>
        <v>15</v>
      </c>
      <c r="M40" s="22">
        <v>44652</v>
      </c>
      <c r="N40" s="44" t="s">
        <v>45</v>
      </c>
      <c r="O40" s="23" t="s">
        <v>16</v>
      </c>
      <c r="P40" s="24" t="s">
        <v>17</v>
      </c>
      <c r="Q40" s="23" t="s">
        <v>73</v>
      </c>
    </row>
    <row r="41" spans="1:17">
      <c r="A41" s="14">
        <v>37</v>
      </c>
      <c r="B41" s="15" t="s">
        <v>74</v>
      </c>
      <c r="C41" s="16">
        <f>'Медикаменты Май'!L41</f>
        <v>0</v>
      </c>
      <c r="D41" s="17"/>
      <c r="E41" s="14"/>
      <c r="F41" s="18"/>
      <c r="G41" s="19"/>
      <c r="H41" s="20"/>
      <c r="I41" s="21"/>
      <c r="J41" s="14"/>
      <c r="K41" s="14">
        <f t="shared" si="0"/>
        <v>0</v>
      </c>
      <c r="L41" s="16">
        <f t="shared" si="1"/>
        <v>0</v>
      </c>
      <c r="M41" s="22">
        <v>45108</v>
      </c>
      <c r="N41" s="44" t="s">
        <v>45</v>
      </c>
      <c r="O41" s="23" t="s">
        <v>16</v>
      </c>
      <c r="P41" s="24" t="s">
        <v>17</v>
      </c>
      <c r="Q41" s="23" t="s">
        <v>75</v>
      </c>
    </row>
    <row r="42" spans="1:17">
      <c r="A42" s="14">
        <v>38</v>
      </c>
      <c r="B42" s="15" t="s">
        <v>76</v>
      </c>
      <c r="C42" s="16">
        <f>'Медикаменты Май'!L42</f>
        <v>0</v>
      </c>
      <c r="D42" s="17"/>
      <c r="E42" s="14"/>
      <c r="F42" s="18"/>
      <c r="G42" s="19"/>
      <c r="H42" s="20"/>
      <c r="I42" s="21"/>
      <c r="J42" s="14"/>
      <c r="K42" s="14">
        <f t="shared" si="0"/>
        <v>0</v>
      </c>
      <c r="L42" s="16">
        <f t="shared" si="1"/>
        <v>0</v>
      </c>
      <c r="M42" s="22"/>
      <c r="N42" s="44"/>
      <c r="O42" s="23" t="s">
        <v>16</v>
      </c>
      <c r="P42" s="24"/>
      <c r="Q42" s="25"/>
    </row>
    <row r="43" spans="1:17">
      <c r="A43" s="14">
        <v>39</v>
      </c>
      <c r="B43" s="15" t="s">
        <v>77</v>
      </c>
      <c r="C43" s="16">
        <f>'Медикаменты Май'!L43</f>
        <v>0</v>
      </c>
      <c r="D43" s="17"/>
      <c r="E43" s="14"/>
      <c r="F43" s="18"/>
      <c r="G43" s="19"/>
      <c r="H43" s="20"/>
      <c r="I43" s="21"/>
      <c r="J43" s="14"/>
      <c r="K43" s="14">
        <f t="shared" si="0"/>
        <v>0</v>
      </c>
      <c r="L43" s="16">
        <f t="shared" si="1"/>
        <v>0</v>
      </c>
      <c r="M43" s="22"/>
      <c r="N43" s="44"/>
      <c r="O43" s="23" t="s">
        <v>16</v>
      </c>
      <c r="P43" s="24"/>
      <c r="Q43" s="25"/>
    </row>
    <row r="44" spans="1:17">
      <c r="A44" s="14">
        <v>40</v>
      </c>
      <c r="B44" s="15" t="s">
        <v>78</v>
      </c>
      <c r="C44" s="16">
        <f>'Медикаменты Май'!L44</f>
        <v>0</v>
      </c>
      <c r="D44" s="17"/>
      <c r="E44" s="14"/>
      <c r="F44" s="18"/>
      <c r="G44" s="19"/>
      <c r="H44" s="20"/>
      <c r="I44" s="21"/>
      <c r="J44" s="14"/>
      <c r="K44" s="14">
        <f t="shared" si="0"/>
        <v>0</v>
      </c>
      <c r="L44" s="16">
        <f t="shared" si="1"/>
        <v>0</v>
      </c>
      <c r="M44" s="22">
        <v>44136</v>
      </c>
      <c r="N44" s="44"/>
      <c r="O44" s="23" t="s">
        <v>16</v>
      </c>
      <c r="P44" s="24"/>
      <c r="Q44" s="23" t="s">
        <v>79</v>
      </c>
    </row>
    <row r="45" spans="1:17">
      <c r="A45" s="14">
        <v>41</v>
      </c>
      <c r="B45" s="15" t="s">
        <v>80</v>
      </c>
      <c r="C45" s="16">
        <f>'Медикаменты Май'!L45</f>
        <v>0</v>
      </c>
      <c r="D45" s="17"/>
      <c r="E45" s="14"/>
      <c r="F45" s="18"/>
      <c r="G45" s="19"/>
      <c r="H45" s="20"/>
      <c r="I45" s="21"/>
      <c r="J45" s="14"/>
      <c r="K45" s="14">
        <f t="shared" si="0"/>
        <v>0</v>
      </c>
      <c r="L45" s="16">
        <f t="shared" si="1"/>
        <v>0</v>
      </c>
      <c r="M45" s="22">
        <v>44317</v>
      </c>
      <c r="N45" s="44"/>
      <c r="O45" s="23" t="s">
        <v>16</v>
      </c>
      <c r="P45" s="24" t="s">
        <v>17</v>
      </c>
      <c r="Q45" s="23" t="s">
        <v>81</v>
      </c>
    </row>
    <row r="46" spans="1:17">
      <c r="A46" s="14">
        <v>42</v>
      </c>
      <c r="B46" s="15" t="s">
        <v>82</v>
      </c>
      <c r="C46" s="16">
        <f>'Медикаменты Май'!L46</f>
        <v>0</v>
      </c>
      <c r="D46" s="17"/>
      <c r="E46" s="14"/>
      <c r="F46" s="18"/>
      <c r="G46" s="19"/>
      <c r="H46" s="20"/>
      <c r="I46" s="21"/>
      <c r="J46" s="14"/>
      <c r="K46" s="14">
        <f t="shared" si="0"/>
        <v>0</v>
      </c>
      <c r="L46" s="16">
        <f t="shared" si="1"/>
        <v>0</v>
      </c>
      <c r="M46" s="22"/>
      <c r="N46" s="44"/>
      <c r="O46" s="23" t="s">
        <v>16</v>
      </c>
      <c r="P46" s="24"/>
      <c r="Q46" s="25"/>
    </row>
    <row r="47" spans="1:17">
      <c r="A47" s="14">
        <v>43</v>
      </c>
      <c r="B47" s="15" t="s">
        <v>83</v>
      </c>
      <c r="C47" s="16">
        <f>'Медикаменты Май'!L47</f>
        <v>0</v>
      </c>
      <c r="D47" s="17"/>
      <c r="E47" s="14"/>
      <c r="F47" s="18"/>
      <c r="G47" s="19"/>
      <c r="H47" s="20"/>
      <c r="I47" s="21"/>
      <c r="J47" s="14"/>
      <c r="K47" s="14">
        <f t="shared" si="0"/>
        <v>0</v>
      </c>
      <c r="L47" s="16">
        <f t="shared" si="1"/>
        <v>0</v>
      </c>
      <c r="M47" s="22">
        <v>44317</v>
      </c>
      <c r="N47" s="44" t="s">
        <v>45</v>
      </c>
      <c r="O47" s="23" t="s">
        <v>16</v>
      </c>
      <c r="P47" s="24" t="s">
        <v>17</v>
      </c>
      <c r="Q47" s="23" t="s">
        <v>84</v>
      </c>
    </row>
    <row r="48" spans="1:17">
      <c r="A48" s="14">
        <v>44</v>
      </c>
      <c r="B48" s="15" t="s">
        <v>85</v>
      </c>
      <c r="C48" s="16">
        <f>'Медикаменты Май'!L48</f>
        <v>49</v>
      </c>
      <c r="D48" s="17"/>
      <c r="E48" s="14"/>
      <c r="F48" s="18"/>
      <c r="G48" s="19"/>
      <c r="H48" s="20"/>
      <c r="I48" s="21"/>
      <c r="J48" s="14"/>
      <c r="K48" s="14">
        <f t="shared" si="0"/>
        <v>0</v>
      </c>
      <c r="L48" s="16">
        <f t="shared" si="1"/>
        <v>49</v>
      </c>
      <c r="M48" s="22">
        <v>44409</v>
      </c>
      <c r="N48" s="44" t="s">
        <v>45</v>
      </c>
      <c r="O48" s="23" t="s">
        <v>16</v>
      </c>
      <c r="P48" s="24" t="s">
        <v>17</v>
      </c>
      <c r="Q48" s="23" t="s">
        <v>86</v>
      </c>
    </row>
    <row r="49" spans="1:17">
      <c r="A49" s="14">
        <v>45</v>
      </c>
      <c r="B49" s="15" t="s">
        <v>87</v>
      </c>
      <c r="C49" s="16">
        <f>'Медикаменты Май'!L49</f>
        <v>0</v>
      </c>
      <c r="D49" s="17"/>
      <c r="E49" s="14"/>
      <c r="F49" s="18"/>
      <c r="G49" s="19"/>
      <c r="H49" s="20"/>
      <c r="I49" s="21"/>
      <c r="J49" s="14"/>
      <c r="K49" s="14">
        <f t="shared" si="0"/>
        <v>0</v>
      </c>
      <c r="L49" s="16">
        <f t="shared" si="1"/>
        <v>0</v>
      </c>
      <c r="M49" s="22">
        <v>44136</v>
      </c>
      <c r="N49" s="44"/>
      <c r="O49" s="23" t="s">
        <v>16</v>
      </c>
      <c r="P49" s="24"/>
      <c r="Q49" s="23" t="s">
        <v>88</v>
      </c>
    </row>
    <row r="50" spans="1:17">
      <c r="A50" s="14">
        <v>46</v>
      </c>
      <c r="B50" s="15" t="s">
        <v>89</v>
      </c>
      <c r="C50" s="16">
        <f>'Медикаменты Май'!L50</f>
        <v>0</v>
      </c>
      <c r="D50" s="17"/>
      <c r="E50" s="14"/>
      <c r="F50" s="18"/>
      <c r="G50" s="19"/>
      <c r="H50" s="20"/>
      <c r="I50" s="21"/>
      <c r="J50" s="14"/>
      <c r="K50" s="14">
        <f t="shared" si="0"/>
        <v>0</v>
      </c>
      <c r="L50" s="16">
        <f t="shared" si="1"/>
        <v>0</v>
      </c>
      <c r="M50" s="22">
        <v>44256</v>
      </c>
      <c r="N50" s="44"/>
      <c r="O50" s="23" t="s">
        <v>16</v>
      </c>
      <c r="P50" s="24" t="s">
        <v>17</v>
      </c>
      <c r="Q50" s="23" t="s">
        <v>90</v>
      </c>
    </row>
    <row r="51" spans="1:17">
      <c r="A51" s="14">
        <v>47</v>
      </c>
      <c r="B51" s="15" t="s">
        <v>91</v>
      </c>
      <c r="C51" s="16">
        <f>'Медикаменты Май'!L51</f>
        <v>0</v>
      </c>
      <c r="D51" s="17"/>
      <c r="E51" s="14"/>
      <c r="F51" s="18"/>
      <c r="G51" s="19"/>
      <c r="H51" s="20"/>
      <c r="I51" s="21"/>
      <c r="J51" s="14"/>
      <c r="K51" s="14">
        <f t="shared" si="0"/>
        <v>0</v>
      </c>
      <c r="L51" s="16">
        <f t="shared" si="1"/>
        <v>0</v>
      </c>
      <c r="M51" s="22">
        <v>44317</v>
      </c>
      <c r="N51" s="44" t="s">
        <v>45</v>
      </c>
      <c r="O51" s="23" t="s">
        <v>16</v>
      </c>
      <c r="P51" s="24" t="s">
        <v>17</v>
      </c>
      <c r="Q51" s="23" t="s">
        <v>92</v>
      </c>
    </row>
    <row r="52" spans="1:17">
      <c r="A52" s="14">
        <v>48</v>
      </c>
      <c r="B52" s="15" t="s">
        <v>93</v>
      </c>
      <c r="C52" s="16">
        <f>'Медикаменты Май'!L52</f>
        <v>0</v>
      </c>
      <c r="D52" s="17"/>
      <c r="E52" s="14"/>
      <c r="F52" s="18"/>
      <c r="G52" s="19"/>
      <c r="H52" s="20"/>
      <c r="I52" s="21"/>
      <c r="J52" s="14"/>
      <c r="K52" s="14">
        <f t="shared" si="0"/>
        <v>0</v>
      </c>
      <c r="L52" s="16">
        <f t="shared" si="1"/>
        <v>0</v>
      </c>
      <c r="M52" s="22">
        <v>44013</v>
      </c>
      <c r="N52" s="44"/>
      <c r="O52" s="23" t="s">
        <v>16</v>
      </c>
      <c r="P52" s="24"/>
      <c r="Q52" s="23" t="s">
        <v>94</v>
      </c>
    </row>
    <row r="53" spans="1:17">
      <c r="A53" s="14">
        <v>49</v>
      </c>
      <c r="B53" s="15" t="s">
        <v>95</v>
      </c>
      <c r="C53" s="16">
        <f>'Медикаменты Май'!L53</f>
        <v>29</v>
      </c>
      <c r="D53" s="17"/>
      <c r="E53" s="14"/>
      <c r="F53" s="18"/>
      <c r="G53" s="19"/>
      <c r="H53" s="20"/>
      <c r="I53" s="21"/>
      <c r="J53" s="14"/>
      <c r="K53" s="14">
        <f t="shared" si="0"/>
        <v>0</v>
      </c>
      <c r="L53" s="16">
        <f t="shared" si="1"/>
        <v>29</v>
      </c>
      <c r="M53" s="22">
        <v>44986</v>
      </c>
      <c r="N53" s="44" t="s">
        <v>45</v>
      </c>
      <c r="O53" s="23" t="s">
        <v>16</v>
      </c>
      <c r="P53" s="24" t="s">
        <v>45</v>
      </c>
      <c r="Q53" s="23" t="s">
        <v>96</v>
      </c>
    </row>
    <row r="54" spans="1:17">
      <c r="A54" s="14">
        <v>50</v>
      </c>
      <c r="B54" s="15" t="s">
        <v>97</v>
      </c>
      <c r="C54" s="16">
        <f>'Медикаменты Май'!L54</f>
        <v>0</v>
      </c>
      <c r="D54" s="17"/>
      <c r="E54" s="14"/>
      <c r="F54" s="18"/>
      <c r="G54" s="19"/>
      <c r="H54" s="20"/>
      <c r="I54" s="21"/>
      <c r="J54" s="14"/>
      <c r="K54" s="14">
        <f t="shared" si="0"/>
        <v>0</v>
      </c>
      <c r="L54" s="16">
        <f t="shared" si="1"/>
        <v>0</v>
      </c>
      <c r="M54" s="22">
        <v>44866</v>
      </c>
      <c r="N54" s="44"/>
      <c r="O54" s="23" t="s">
        <v>16</v>
      </c>
      <c r="P54" s="24"/>
      <c r="Q54" s="23" t="s">
        <v>98</v>
      </c>
    </row>
    <row r="55" spans="1:17">
      <c r="A55" s="14">
        <v>51</v>
      </c>
      <c r="B55" s="15" t="s">
        <v>99</v>
      </c>
      <c r="C55" s="16">
        <f>'Медикаменты Май'!L55</f>
        <v>0</v>
      </c>
      <c r="D55" s="17"/>
      <c r="E55" s="14"/>
      <c r="F55" s="18"/>
      <c r="G55" s="19"/>
      <c r="H55" s="20"/>
      <c r="I55" s="21"/>
      <c r="J55" s="14"/>
      <c r="K55" s="14">
        <f t="shared" si="0"/>
        <v>0</v>
      </c>
      <c r="L55" s="16">
        <f t="shared" si="1"/>
        <v>0</v>
      </c>
      <c r="M55" s="22"/>
      <c r="N55" s="44"/>
      <c r="O55" s="23" t="s">
        <v>16</v>
      </c>
      <c r="P55" s="24"/>
      <c r="Q55" s="25"/>
    </row>
    <row r="56" spans="1:17">
      <c r="A56" s="14">
        <v>52</v>
      </c>
      <c r="B56" s="15" t="s">
        <v>100</v>
      </c>
      <c r="C56" s="16">
        <f>'Медикаменты Май'!L56</f>
        <v>0</v>
      </c>
      <c r="D56" s="17"/>
      <c r="E56" s="14"/>
      <c r="F56" s="18"/>
      <c r="G56" s="19"/>
      <c r="H56" s="20"/>
      <c r="I56" s="21"/>
      <c r="J56" s="14"/>
      <c r="K56" s="14">
        <f t="shared" si="0"/>
        <v>0</v>
      </c>
      <c r="L56" s="16">
        <f t="shared" si="1"/>
        <v>0</v>
      </c>
      <c r="M56" s="22"/>
      <c r="N56" s="44"/>
      <c r="O56" s="23" t="s">
        <v>26</v>
      </c>
      <c r="P56" s="24" t="s">
        <v>17</v>
      </c>
      <c r="Q56" s="23" t="s">
        <v>101</v>
      </c>
    </row>
    <row r="57" spans="1:17">
      <c r="A57" s="14">
        <v>53</v>
      </c>
      <c r="B57" s="15" t="s">
        <v>102</v>
      </c>
      <c r="C57" s="16">
        <f>'Медикаменты Май'!L57</f>
        <v>27</v>
      </c>
      <c r="D57" s="17"/>
      <c r="E57" s="14"/>
      <c r="F57" s="18">
        <f>5</f>
        <v>5</v>
      </c>
      <c r="G57" s="19"/>
      <c r="H57" s="20"/>
      <c r="I57" s="21"/>
      <c r="J57" s="14"/>
      <c r="K57" s="14">
        <f t="shared" si="0"/>
        <v>5</v>
      </c>
      <c r="L57" s="16">
        <f t="shared" si="1"/>
        <v>22</v>
      </c>
      <c r="M57" s="22">
        <v>44866</v>
      </c>
      <c r="N57" s="44" t="s">
        <v>45</v>
      </c>
      <c r="O57" s="23" t="s">
        <v>16</v>
      </c>
      <c r="P57" s="24" t="s">
        <v>45</v>
      </c>
      <c r="Q57" s="23" t="s">
        <v>103</v>
      </c>
    </row>
    <row r="58" spans="1:17">
      <c r="A58" s="14">
        <v>54</v>
      </c>
      <c r="B58" s="15" t="s">
        <v>102</v>
      </c>
      <c r="C58" s="16">
        <f>'Медикаменты Май'!L58</f>
        <v>0</v>
      </c>
      <c r="D58" s="17"/>
      <c r="E58" s="14"/>
      <c r="F58" s="18"/>
      <c r="G58" s="19"/>
      <c r="H58" s="20"/>
      <c r="I58" s="21"/>
      <c r="J58" s="14"/>
      <c r="K58" s="14">
        <f t="shared" si="0"/>
        <v>0</v>
      </c>
      <c r="L58" s="16">
        <f t="shared" si="1"/>
        <v>0</v>
      </c>
      <c r="M58" s="22">
        <v>44866</v>
      </c>
      <c r="N58" s="44"/>
      <c r="O58" s="23" t="s">
        <v>26</v>
      </c>
      <c r="P58" s="24"/>
      <c r="Q58" s="23" t="s">
        <v>103</v>
      </c>
    </row>
    <row r="59" spans="1:17">
      <c r="A59" s="14">
        <v>55</v>
      </c>
      <c r="B59" s="15" t="s">
        <v>104</v>
      </c>
      <c r="C59" s="16">
        <f>'Медикаменты Май'!L59</f>
        <v>0</v>
      </c>
      <c r="D59" s="17"/>
      <c r="E59" s="14"/>
      <c r="F59" s="18"/>
      <c r="G59" s="19"/>
      <c r="H59" s="20"/>
      <c r="I59" s="21"/>
      <c r="J59" s="14"/>
      <c r="K59" s="14">
        <f t="shared" si="0"/>
        <v>0</v>
      </c>
      <c r="L59" s="16">
        <f t="shared" si="1"/>
        <v>0</v>
      </c>
      <c r="M59" s="22"/>
      <c r="N59" s="44"/>
      <c r="O59" s="23" t="s">
        <v>16</v>
      </c>
      <c r="P59" s="24"/>
      <c r="Q59" s="25"/>
    </row>
    <row r="60" spans="1:17">
      <c r="A60" s="14">
        <v>56</v>
      </c>
      <c r="B60" s="15" t="s">
        <v>104</v>
      </c>
      <c r="C60" s="16">
        <f>'Медикаменты Май'!L60</f>
        <v>0</v>
      </c>
      <c r="D60" s="17"/>
      <c r="E60" s="14"/>
      <c r="F60" s="18"/>
      <c r="G60" s="19"/>
      <c r="H60" s="20"/>
      <c r="I60" s="21"/>
      <c r="J60" s="14"/>
      <c r="K60" s="14">
        <f t="shared" si="0"/>
        <v>0</v>
      </c>
      <c r="L60" s="16">
        <f t="shared" si="1"/>
        <v>0</v>
      </c>
      <c r="M60" s="22"/>
      <c r="N60" s="44"/>
      <c r="O60" s="23" t="s">
        <v>26</v>
      </c>
      <c r="P60" s="24"/>
      <c r="Q60" s="25"/>
    </row>
    <row r="61" spans="1:17">
      <c r="A61" s="14">
        <v>57</v>
      </c>
      <c r="B61" s="15" t="s">
        <v>105</v>
      </c>
      <c r="C61" s="16">
        <f>'Медикаменты Май'!L61</f>
        <v>0</v>
      </c>
      <c r="D61" s="17"/>
      <c r="E61" s="14"/>
      <c r="F61" s="18"/>
      <c r="G61" s="19"/>
      <c r="H61" s="20"/>
      <c r="I61" s="21"/>
      <c r="J61" s="14"/>
      <c r="K61" s="14">
        <f t="shared" si="0"/>
        <v>0</v>
      </c>
      <c r="L61" s="16">
        <f t="shared" si="1"/>
        <v>0</v>
      </c>
      <c r="M61" s="22"/>
      <c r="N61" s="44"/>
      <c r="O61" s="23" t="s">
        <v>16</v>
      </c>
      <c r="P61" s="24"/>
      <c r="Q61" s="23" t="s">
        <v>106</v>
      </c>
    </row>
    <row r="62" spans="1:17">
      <c r="A62" s="14">
        <v>58</v>
      </c>
      <c r="B62" s="15" t="s">
        <v>105</v>
      </c>
      <c r="C62" s="16">
        <f>'Медикаменты Май'!L62</f>
        <v>10</v>
      </c>
      <c r="D62" s="17"/>
      <c r="E62" s="14"/>
      <c r="F62" s="18"/>
      <c r="G62" s="19"/>
      <c r="H62" s="20"/>
      <c r="I62" s="21"/>
      <c r="J62" s="14"/>
      <c r="K62" s="14">
        <f t="shared" si="0"/>
        <v>0</v>
      </c>
      <c r="L62" s="16">
        <f t="shared" si="1"/>
        <v>10</v>
      </c>
      <c r="M62" s="22">
        <v>44531</v>
      </c>
      <c r="N62" s="44" t="s">
        <v>45</v>
      </c>
      <c r="O62" s="23" t="s">
        <v>16</v>
      </c>
      <c r="P62" s="24" t="s">
        <v>17</v>
      </c>
      <c r="Q62" s="23" t="s">
        <v>106</v>
      </c>
    </row>
    <row r="63" spans="1:17">
      <c r="A63" s="14">
        <v>59</v>
      </c>
      <c r="B63" s="15" t="s">
        <v>107</v>
      </c>
      <c r="C63" s="16">
        <f>'Медикаменты Май'!L63</f>
        <v>0</v>
      </c>
      <c r="D63" s="17"/>
      <c r="E63" s="14"/>
      <c r="F63" s="18"/>
      <c r="G63" s="19"/>
      <c r="H63" s="20"/>
      <c r="I63" s="21"/>
      <c r="J63" s="14"/>
      <c r="K63" s="14">
        <f t="shared" si="0"/>
        <v>0</v>
      </c>
      <c r="L63" s="16">
        <f t="shared" si="1"/>
        <v>0</v>
      </c>
      <c r="M63" s="22">
        <v>44501</v>
      </c>
      <c r="N63" s="44" t="s">
        <v>45</v>
      </c>
      <c r="O63" s="23" t="s">
        <v>16</v>
      </c>
      <c r="P63" s="24" t="s">
        <v>17</v>
      </c>
      <c r="Q63" s="23" t="s">
        <v>108</v>
      </c>
    </row>
    <row r="64" spans="1:17">
      <c r="A64" s="14">
        <v>60</v>
      </c>
      <c r="B64" s="15" t="s">
        <v>109</v>
      </c>
      <c r="C64" s="16">
        <f>'Медикаменты Май'!L64</f>
        <v>0</v>
      </c>
      <c r="D64" s="17"/>
      <c r="E64" s="14"/>
      <c r="F64" s="18"/>
      <c r="G64" s="19"/>
      <c r="H64" s="20"/>
      <c r="I64" s="21"/>
      <c r="J64" s="14"/>
      <c r="K64" s="14">
        <f t="shared" si="0"/>
        <v>0</v>
      </c>
      <c r="L64" s="16">
        <f t="shared" si="1"/>
        <v>0</v>
      </c>
      <c r="M64" s="22"/>
      <c r="N64" s="44"/>
      <c r="O64" s="23" t="s">
        <v>16</v>
      </c>
      <c r="P64" s="24"/>
      <c r="Q64" s="25"/>
    </row>
    <row r="65" spans="1:17">
      <c r="A65" s="14">
        <v>61</v>
      </c>
      <c r="B65" s="15" t="s">
        <v>110</v>
      </c>
      <c r="C65" s="16">
        <f>'Медикаменты Май'!L65</f>
        <v>0</v>
      </c>
      <c r="D65" s="17"/>
      <c r="E65" s="14"/>
      <c r="F65" s="18"/>
      <c r="G65" s="19"/>
      <c r="H65" s="20"/>
      <c r="I65" s="21"/>
      <c r="J65" s="14"/>
      <c r="K65" s="14">
        <f t="shared" si="0"/>
        <v>0</v>
      </c>
      <c r="L65" s="16">
        <f t="shared" si="1"/>
        <v>0</v>
      </c>
      <c r="M65" s="22">
        <v>44682</v>
      </c>
      <c r="N65" s="44"/>
      <c r="O65" s="23" t="s">
        <v>16</v>
      </c>
      <c r="P65" s="24"/>
      <c r="Q65" s="25"/>
    </row>
    <row r="66" spans="1:17">
      <c r="A66" s="14">
        <v>62</v>
      </c>
      <c r="B66" s="15" t="s">
        <v>111</v>
      </c>
      <c r="C66" s="16">
        <f>'Медикаменты Май'!L66</f>
        <v>110</v>
      </c>
      <c r="D66" s="17"/>
      <c r="E66" s="14"/>
      <c r="F66" s="18">
        <f>3+5+10</f>
        <v>18</v>
      </c>
      <c r="G66" s="19"/>
      <c r="H66" s="20"/>
      <c r="I66" s="21"/>
      <c r="J66" s="14"/>
      <c r="K66" s="14">
        <f t="shared" si="0"/>
        <v>18</v>
      </c>
      <c r="L66" s="16">
        <f t="shared" si="1"/>
        <v>92</v>
      </c>
      <c r="M66" s="22">
        <v>44958</v>
      </c>
      <c r="N66" s="44" t="s">
        <v>45</v>
      </c>
      <c r="O66" s="23" t="s">
        <v>16</v>
      </c>
      <c r="P66" s="24" t="s">
        <v>17</v>
      </c>
      <c r="Q66" s="23" t="s">
        <v>112</v>
      </c>
    </row>
    <row r="67" spans="1:17">
      <c r="A67" s="14">
        <v>63</v>
      </c>
      <c r="B67" s="15" t="s">
        <v>111</v>
      </c>
      <c r="C67" s="16">
        <f>'Медикаменты Май'!L67</f>
        <v>0</v>
      </c>
      <c r="D67" s="17"/>
      <c r="E67" s="14"/>
      <c r="F67" s="18"/>
      <c r="G67" s="19"/>
      <c r="H67" s="20"/>
      <c r="I67" s="21"/>
      <c r="J67" s="14"/>
      <c r="K67" s="14">
        <f t="shared" si="0"/>
        <v>0</v>
      </c>
      <c r="L67" s="16">
        <f t="shared" si="1"/>
        <v>0</v>
      </c>
      <c r="M67" s="22">
        <v>44958</v>
      </c>
      <c r="N67" s="44"/>
      <c r="O67" s="23" t="s">
        <v>26</v>
      </c>
      <c r="P67" s="24"/>
      <c r="Q67" s="25"/>
    </row>
    <row r="68" spans="1:17">
      <c r="A68" s="14">
        <v>64</v>
      </c>
      <c r="B68" s="15" t="s">
        <v>113</v>
      </c>
      <c r="C68" s="16">
        <f>'Медикаменты Май'!L68</f>
        <v>85</v>
      </c>
      <c r="D68" s="17"/>
      <c r="E68" s="14"/>
      <c r="F68" s="18"/>
      <c r="G68" s="19"/>
      <c r="H68" s="20"/>
      <c r="I68" s="21"/>
      <c r="J68" s="14"/>
      <c r="K68" s="14">
        <f t="shared" si="0"/>
        <v>0</v>
      </c>
      <c r="L68" s="16">
        <f t="shared" si="1"/>
        <v>85</v>
      </c>
      <c r="M68" s="22">
        <v>44986</v>
      </c>
      <c r="N68" s="44" t="s">
        <v>45</v>
      </c>
      <c r="O68" s="23" t="s">
        <v>16</v>
      </c>
      <c r="P68" s="24" t="s">
        <v>17</v>
      </c>
      <c r="Q68" s="23" t="s">
        <v>114</v>
      </c>
    </row>
    <row r="69" spans="1:17">
      <c r="A69" s="14">
        <v>65</v>
      </c>
      <c r="B69" s="15" t="s">
        <v>113</v>
      </c>
      <c r="C69" s="16">
        <f>'Медикаменты Май'!L69</f>
        <v>0</v>
      </c>
      <c r="D69" s="17"/>
      <c r="E69" s="14"/>
      <c r="F69" s="18"/>
      <c r="G69" s="19"/>
      <c r="H69" s="20"/>
      <c r="I69" s="21"/>
      <c r="J69" s="14"/>
      <c r="K69" s="14">
        <f t="shared" ref="K69:K132" si="2">SUM(F69:J69)</f>
        <v>0</v>
      </c>
      <c r="L69" s="16">
        <f t="shared" ref="L69:L132" si="3">(C69+E69)-K69</f>
        <v>0</v>
      </c>
      <c r="M69" s="22">
        <v>44986</v>
      </c>
      <c r="N69" s="44"/>
      <c r="O69" s="23" t="s">
        <v>26</v>
      </c>
      <c r="P69" s="24"/>
      <c r="Q69" s="23" t="s">
        <v>114</v>
      </c>
    </row>
    <row r="70" spans="1:17" ht="26.25">
      <c r="A70" s="14">
        <v>66</v>
      </c>
      <c r="B70" s="15" t="s">
        <v>115</v>
      </c>
      <c r="C70" s="16">
        <f>'Медикаменты Май'!L70</f>
        <v>2</v>
      </c>
      <c r="D70" s="17"/>
      <c r="E70" s="14"/>
      <c r="F70" s="18"/>
      <c r="G70" s="19"/>
      <c r="H70" s="20"/>
      <c r="I70" s="21"/>
      <c r="J70" s="14"/>
      <c r="K70" s="14">
        <f t="shared" si="2"/>
        <v>0</v>
      </c>
      <c r="L70" s="16">
        <f t="shared" si="3"/>
        <v>2</v>
      </c>
      <c r="M70" s="22">
        <v>44835</v>
      </c>
      <c r="N70" s="44" t="s">
        <v>45</v>
      </c>
      <c r="O70" s="23" t="s">
        <v>16</v>
      </c>
      <c r="P70" s="24" t="s">
        <v>17</v>
      </c>
      <c r="Q70" s="28" t="s">
        <v>116</v>
      </c>
    </row>
    <row r="71" spans="1:17" ht="26.25">
      <c r="A71" s="14">
        <v>67</v>
      </c>
      <c r="B71" s="15" t="s">
        <v>115</v>
      </c>
      <c r="C71" s="16"/>
      <c r="D71" s="17"/>
      <c r="E71" s="14">
        <f>100</f>
        <v>100</v>
      </c>
      <c r="F71" s="18"/>
      <c r="G71" s="19">
        <f>100</f>
        <v>100</v>
      </c>
      <c r="H71" s="20"/>
      <c r="I71" s="21"/>
      <c r="J71" s="14"/>
      <c r="K71" s="14">
        <f t="shared" si="2"/>
        <v>100</v>
      </c>
      <c r="L71" s="16">
        <f t="shared" si="3"/>
        <v>0</v>
      </c>
      <c r="M71" s="22">
        <v>45901</v>
      </c>
      <c r="N71" s="44" t="s">
        <v>551</v>
      </c>
      <c r="O71" s="23" t="s">
        <v>26</v>
      </c>
      <c r="P71" s="24" t="s">
        <v>17</v>
      </c>
      <c r="Q71" s="28" t="s">
        <v>116</v>
      </c>
    </row>
    <row r="72" spans="1:17">
      <c r="A72" s="14">
        <v>68</v>
      </c>
      <c r="B72" s="15" t="s">
        <v>117</v>
      </c>
      <c r="C72" s="16">
        <f>'Медикаменты Май'!L71</f>
        <v>0</v>
      </c>
      <c r="D72" s="17"/>
      <c r="E72" s="14"/>
      <c r="F72" s="18"/>
      <c r="G72" s="19"/>
      <c r="H72" s="20"/>
      <c r="I72" s="21"/>
      <c r="J72" s="14"/>
      <c r="K72" s="14">
        <f t="shared" si="2"/>
        <v>0</v>
      </c>
      <c r="L72" s="16">
        <f t="shared" si="3"/>
        <v>0</v>
      </c>
      <c r="M72" s="22">
        <v>44440</v>
      </c>
      <c r="N72" s="44"/>
      <c r="O72" s="23" t="s">
        <v>16</v>
      </c>
      <c r="P72" s="24"/>
      <c r="Q72" s="28" t="s">
        <v>118</v>
      </c>
    </row>
    <row r="73" spans="1:17">
      <c r="A73" s="14">
        <v>69</v>
      </c>
      <c r="B73" s="15" t="s">
        <v>117</v>
      </c>
      <c r="C73" s="16">
        <f>'Медикаменты Май'!L72</f>
        <v>85</v>
      </c>
      <c r="D73" s="17"/>
      <c r="E73" s="14"/>
      <c r="F73" s="18">
        <f>5+5</f>
        <v>10</v>
      </c>
      <c r="G73" s="19"/>
      <c r="H73" s="20"/>
      <c r="I73" s="21"/>
      <c r="J73" s="14"/>
      <c r="K73" s="14">
        <f t="shared" si="2"/>
        <v>10</v>
      </c>
      <c r="L73" s="16">
        <f t="shared" si="3"/>
        <v>75</v>
      </c>
      <c r="M73" s="22">
        <v>44682</v>
      </c>
      <c r="N73" s="44" t="s">
        <v>45</v>
      </c>
      <c r="O73" s="23" t="s">
        <v>16</v>
      </c>
      <c r="P73" s="24" t="s">
        <v>17</v>
      </c>
      <c r="Q73" s="28" t="s">
        <v>118</v>
      </c>
    </row>
    <row r="74" spans="1:17">
      <c r="A74" s="14">
        <v>70</v>
      </c>
      <c r="B74" s="15" t="s">
        <v>117</v>
      </c>
      <c r="C74" s="16">
        <f>'Медикаменты Май'!L73</f>
        <v>0</v>
      </c>
      <c r="D74" s="17"/>
      <c r="E74" s="14"/>
      <c r="F74" s="18"/>
      <c r="G74" s="19"/>
      <c r="H74" s="20"/>
      <c r="I74" s="21"/>
      <c r="J74" s="14"/>
      <c r="K74" s="14">
        <f t="shared" si="2"/>
        <v>0</v>
      </c>
      <c r="L74" s="16">
        <f t="shared" si="3"/>
        <v>0</v>
      </c>
      <c r="M74" s="22">
        <v>44682</v>
      </c>
      <c r="N74" s="44"/>
      <c r="O74" s="23" t="s">
        <v>26</v>
      </c>
      <c r="P74" s="24"/>
      <c r="Q74" s="28" t="s">
        <v>118</v>
      </c>
    </row>
    <row r="75" spans="1:17">
      <c r="A75" s="14">
        <v>71</v>
      </c>
      <c r="B75" s="15" t="s">
        <v>119</v>
      </c>
      <c r="C75" s="16">
        <f>'Медикаменты Май'!L74</f>
        <v>0</v>
      </c>
      <c r="D75" s="17"/>
      <c r="E75" s="14"/>
      <c r="F75" s="18"/>
      <c r="G75" s="19"/>
      <c r="H75" s="20"/>
      <c r="I75" s="21"/>
      <c r="J75" s="14"/>
      <c r="K75" s="14">
        <f t="shared" si="2"/>
        <v>0</v>
      </c>
      <c r="L75" s="16">
        <f t="shared" si="3"/>
        <v>0</v>
      </c>
      <c r="M75" s="22"/>
      <c r="N75" s="44"/>
      <c r="O75" s="23" t="s">
        <v>16</v>
      </c>
      <c r="P75" s="24"/>
      <c r="Q75" s="25"/>
    </row>
    <row r="76" spans="1:17">
      <c r="A76" s="14">
        <v>72</v>
      </c>
      <c r="B76" s="15" t="s">
        <v>120</v>
      </c>
      <c r="C76" s="16">
        <f>'Медикаменты Май'!L75</f>
        <v>0</v>
      </c>
      <c r="D76" s="17"/>
      <c r="E76" s="14"/>
      <c r="F76" s="18"/>
      <c r="G76" s="19"/>
      <c r="H76" s="20"/>
      <c r="I76" s="21"/>
      <c r="J76" s="14"/>
      <c r="K76" s="14">
        <f t="shared" si="2"/>
        <v>0</v>
      </c>
      <c r="L76" s="16">
        <f t="shared" si="3"/>
        <v>0</v>
      </c>
      <c r="M76" s="22">
        <v>45444</v>
      </c>
      <c r="N76" s="44"/>
      <c r="O76" s="23" t="s">
        <v>26</v>
      </c>
      <c r="P76" s="24"/>
      <c r="Q76" s="28" t="s">
        <v>121</v>
      </c>
    </row>
    <row r="77" spans="1:17">
      <c r="A77" s="14">
        <v>73</v>
      </c>
      <c r="B77" s="29" t="s">
        <v>122</v>
      </c>
      <c r="C77" s="16">
        <f>'Медикаменты Май'!L76</f>
        <v>52</v>
      </c>
      <c r="D77" s="17"/>
      <c r="E77" s="14"/>
      <c r="F77" s="18">
        <f>10+10</f>
        <v>20</v>
      </c>
      <c r="G77" s="19"/>
      <c r="H77" s="20"/>
      <c r="I77" s="21"/>
      <c r="J77" s="14"/>
      <c r="K77" s="14">
        <f t="shared" si="2"/>
        <v>20</v>
      </c>
      <c r="L77" s="16">
        <f t="shared" si="3"/>
        <v>32</v>
      </c>
      <c r="M77" s="22">
        <v>44986</v>
      </c>
      <c r="N77" s="44" t="s">
        <v>45</v>
      </c>
      <c r="O77" s="23" t="s">
        <v>16</v>
      </c>
      <c r="P77" s="24" t="s">
        <v>17</v>
      </c>
      <c r="Q77" s="23" t="s">
        <v>123</v>
      </c>
    </row>
    <row r="78" spans="1:17">
      <c r="A78" s="14">
        <v>74</v>
      </c>
      <c r="B78" s="15" t="s">
        <v>124</v>
      </c>
      <c r="C78" s="16">
        <f>'Медикаменты Май'!L77</f>
        <v>0</v>
      </c>
      <c r="D78" s="17"/>
      <c r="E78" s="14"/>
      <c r="F78" s="18"/>
      <c r="G78" s="19"/>
      <c r="H78" s="20"/>
      <c r="I78" s="21"/>
      <c r="J78" s="14"/>
      <c r="K78" s="14">
        <f t="shared" si="2"/>
        <v>0</v>
      </c>
      <c r="L78" s="16">
        <f t="shared" si="3"/>
        <v>0</v>
      </c>
      <c r="M78" s="22"/>
      <c r="N78" s="44"/>
      <c r="O78" s="23" t="s">
        <v>16</v>
      </c>
      <c r="P78" s="24"/>
      <c r="Q78" s="25"/>
    </row>
    <row r="79" spans="1:17">
      <c r="A79" s="14">
        <v>75</v>
      </c>
      <c r="B79" s="15" t="s">
        <v>125</v>
      </c>
      <c r="C79" s="16">
        <f>'Медикаменты Май'!L78</f>
        <v>5</v>
      </c>
      <c r="D79" s="17"/>
      <c r="E79" s="14"/>
      <c r="F79" s="18"/>
      <c r="G79" s="19"/>
      <c r="H79" s="20"/>
      <c r="I79" s="21"/>
      <c r="J79" s="14"/>
      <c r="K79" s="14">
        <f t="shared" si="2"/>
        <v>0</v>
      </c>
      <c r="L79" s="16">
        <f t="shared" si="3"/>
        <v>5</v>
      </c>
      <c r="M79" s="22">
        <v>44531</v>
      </c>
      <c r="N79" s="44" t="s">
        <v>45</v>
      </c>
      <c r="O79" s="23" t="s">
        <v>16</v>
      </c>
      <c r="P79" s="24" t="s">
        <v>17</v>
      </c>
      <c r="Q79" s="28" t="s">
        <v>126</v>
      </c>
    </row>
    <row r="80" spans="1:17">
      <c r="A80" s="14">
        <v>76</v>
      </c>
      <c r="B80" s="15" t="s">
        <v>127</v>
      </c>
      <c r="C80" s="16">
        <f>'Медикаменты Май'!L79</f>
        <v>7</v>
      </c>
      <c r="D80" s="17"/>
      <c r="E80" s="14"/>
      <c r="F80" s="18"/>
      <c r="G80" s="19"/>
      <c r="H80" s="20"/>
      <c r="I80" s="21"/>
      <c r="J80" s="14"/>
      <c r="K80" s="14">
        <f t="shared" si="2"/>
        <v>0</v>
      </c>
      <c r="L80" s="16">
        <f t="shared" si="3"/>
        <v>7</v>
      </c>
      <c r="M80" s="22">
        <v>44501</v>
      </c>
      <c r="N80" s="44" t="s">
        <v>45</v>
      </c>
      <c r="O80" s="23" t="s">
        <v>16</v>
      </c>
      <c r="P80" s="24" t="s">
        <v>45</v>
      </c>
      <c r="Q80" s="23" t="s">
        <v>128</v>
      </c>
    </row>
    <row r="81" spans="1:17" ht="25.5">
      <c r="A81" s="14">
        <v>77</v>
      </c>
      <c r="B81" s="15" t="s">
        <v>129</v>
      </c>
      <c r="C81" s="16">
        <f>'Медикаменты Май'!L80</f>
        <v>12</v>
      </c>
      <c r="D81" s="17"/>
      <c r="E81" s="14"/>
      <c r="F81" s="18"/>
      <c r="G81" s="19"/>
      <c r="H81" s="20"/>
      <c r="I81" s="21"/>
      <c r="J81" s="14"/>
      <c r="K81" s="14">
        <f t="shared" si="2"/>
        <v>0</v>
      </c>
      <c r="L81" s="16">
        <f t="shared" si="3"/>
        <v>12</v>
      </c>
      <c r="M81" s="22">
        <v>44713</v>
      </c>
      <c r="N81" s="44" t="s">
        <v>45</v>
      </c>
      <c r="O81" s="23" t="s">
        <v>16</v>
      </c>
      <c r="P81" s="24" t="s">
        <v>17</v>
      </c>
      <c r="Q81" s="28" t="s">
        <v>130</v>
      </c>
    </row>
    <row r="82" spans="1:17" ht="25.5">
      <c r="A82" s="14">
        <v>78</v>
      </c>
      <c r="B82" s="15" t="s">
        <v>129</v>
      </c>
      <c r="C82" s="16">
        <f>'Медикаменты Май'!L81</f>
        <v>0</v>
      </c>
      <c r="D82" s="17"/>
      <c r="E82" s="14"/>
      <c r="F82" s="18"/>
      <c r="G82" s="19"/>
      <c r="H82" s="20"/>
      <c r="I82" s="21"/>
      <c r="J82" s="14"/>
      <c r="K82" s="14">
        <f t="shared" si="2"/>
        <v>0</v>
      </c>
      <c r="L82" s="16">
        <f t="shared" si="3"/>
        <v>0</v>
      </c>
      <c r="M82" s="22">
        <v>44713</v>
      </c>
      <c r="N82" s="44"/>
      <c r="O82" s="23" t="s">
        <v>26</v>
      </c>
      <c r="P82" s="24"/>
      <c r="Q82" s="28" t="s">
        <v>130</v>
      </c>
    </row>
    <row r="83" spans="1:17" ht="25.5">
      <c r="A83" s="14">
        <v>79</v>
      </c>
      <c r="B83" s="15" t="s">
        <v>131</v>
      </c>
      <c r="C83" s="16">
        <f>'Медикаменты Май'!L82</f>
        <v>0</v>
      </c>
      <c r="D83" s="17"/>
      <c r="E83" s="14"/>
      <c r="F83" s="18"/>
      <c r="G83" s="19"/>
      <c r="H83" s="20"/>
      <c r="I83" s="21"/>
      <c r="J83" s="14"/>
      <c r="K83" s="14">
        <f t="shared" si="2"/>
        <v>0</v>
      </c>
      <c r="L83" s="16">
        <f t="shared" si="3"/>
        <v>0</v>
      </c>
      <c r="M83" s="22"/>
      <c r="N83" s="44"/>
      <c r="O83" s="23" t="s">
        <v>16</v>
      </c>
      <c r="P83" s="24"/>
      <c r="Q83" s="25"/>
    </row>
    <row r="84" spans="1:17">
      <c r="A84" s="14">
        <v>80</v>
      </c>
      <c r="B84" s="15" t="s">
        <v>132</v>
      </c>
      <c r="C84" s="16">
        <f>'Медикаменты Май'!L83</f>
        <v>22</v>
      </c>
      <c r="D84" s="17"/>
      <c r="E84" s="14"/>
      <c r="F84" s="18">
        <f>5+5+12</f>
        <v>22</v>
      </c>
      <c r="G84" s="19"/>
      <c r="H84" s="20"/>
      <c r="I84" s="21"/>
      <c r="J84" s="14"/>
      <c r="K84" s="14">
        <f t="shared" si="2"/>
        <v>22</v>
      </c>
      <c r="L84" s="16">
        <f t="shared" si="3"/>
        <v>0</v>
      </c>
      <c r="M84" s="22">
        <v>44713</v>
      </c>
      <c r="N84" s="44" t="s">
        <v>45</v>
      </c>
      <c r="O84" s="23" t="s">
        <v>16</v>
      </c>
      <c r="P84" s="24" t="s">
        <v>17</v>
      </c>
      <c r="Q84" s="23" t="s">
        <v>133</v>
      </c>
    </row>
    <row r="85" spans="1:17">
      <c r="A85" s="14">
        <v>81</v>
      </c>
      <c r="B85" s="15" t="s">
        <v>132</v>
      </c>
      <c r="C85" s="16">
        <f>'Медикаменты Май'!L84</f>
        <v>0</v>
      </c>
      <c r="D85" s="17"/>
      <c r="E85" s="14"/>
      <c r="F85" s="18"/>
      <c r="G85" s="19"/>
      <c r="H85" s="20"/>
      <c r="I85" s="21"/>
      <c r="J85" s="14"/>
      <c r="K85" s="14">
        <f t="shared" si="2"/>
        <v>0</v>
      </c>
      <c r="L85" s="16">
        <f t="shared" si="3"/>
        <v>0</v>
      </c>
      <c r="M85" s="22">
        <v>44409</v>
      </c>
      <c r="N85" s="44"/>
      <c r="O85" s="23" t="s">
        <v>16</v>
      </c>
      <c r="P85" s="24" t="s">
        <v>17</v>
      </c>
      <c r="Q85" s="23" t="s">
        <v>133</v>
      </c>
    </row>
    <row r="86" spans="1:17">
      <c r="A86" s="14">
        <v>82</v>
      </c>
      <c r="B86" s="15" t="s">
        <v>134</v>
      </c>
      <c r="C86" s="16">
        <f>'Медикаменты Май'!L85</f>
        <v>0</v>
      </c>
      <c r="D86" s="17"/>
      <c r="E86" s="14"/>
      <c r="F86" s="18"/>
      <c r="G86" s="19"/>
      <c r="H86" s="20"/>
      <c r="I86" s="21"/>
      <c r="J86" s="14"/>
      <c r="K86" s="14">
        <f t="shared" si="2"/>
        <v>0</v>
      </c>
      <c r="L86" s="16">
        <f t="shared" si="3"/>
        <v>0</v>
      </c>
      <c r="M86" s="22">
        <v>44228</v>
      </c>
      <c r="N86" s="44"/>
      <c r="O86" s="23" t="s">
        <v>16</v>
      </c>
      <c r="P86" s="24" t="s">
        <v>17</v>
      </c>
      <c r="Q86" s="23" t="s">
        <v>135</v>
      </c>
    </row>
    <row r="87" spans="1:17">
      <c r="A87" s="14">
        <v>83</v>
      </c>
      <c r="B87" s="15" t="s">
        <v>136</v>
      </c>
      <c r="C87" s="16">
        <f>'Медикаменты Май'!L86</f>
        <v>29</v>
      </c>
      <c r="D87" s="17"/>
      <c r="E87" s="14"/>
      <c r="F87" s="18">
        <f>10</f>
        <v>10</v>
      </c>
      <c r="G87" s="19"/>
      <c r="H87" s="20"/>
      <c r="I87" s="21"/>
      <c r="J87" s="14"/>
      <c r="K87" s="14">
        <f t="shared" si="2"/>
        <v>10</v>
      </c>
      <c r="L87" s="16">
        <f t="shared" si="3"/>
        <v>19</v>
      </c>
      <c r="M87" s="22">
        <v>45778</v>
      </c>
      <c r="N87" s="44" t="s">
        <v>45</v>
      </c>
      <c r="O87" s="23" t="s">
        <v>16</v>
      </c>
      <c r="P87" s="24" t="s">
        <v>17</v>
      </c>
      <c r="Q87" s="28" t="s">
        <v>137</v>
      </c>
    </row>
    <row r="88" spans="1:17">
      <c r="A88" s="14">
        <v>84</v>
      </c>
      <c r="B88" s="15" t="s">
        <v>138</v>
      </c>
      <c r="C88" s="16">
        <f>'Медикаменты Май'!L87</f>
        <v>90</v>
      </c>
      <c r="D88" s="30"/>
      <c r="E88" s="14"/>
      <c r="F88" s="18"/>
      <c r="G88" s="19"/>
      <c r="H88" s="20"/>
      <c r="I88" s="21"/>
      <c r="J88" s="14"/>
      <c r="K88" s="14">
        <f t="shared" si="2"/>
        <v>0</v>
      </c>
      <c r="L88" s="16">
        <f t="shared" si="3"/>
        <v>90</v>
      </c>
      <c r="M88" s="22">
        <v>44927</v>
      </c>
      <c r="N88" s="44" t="s">
        <v>551</v>
      </c>
      <c r="O88" s="23" t="s">
        <v>16</v>
      </c>
      <c r="P88" s="24" t="s">
        <v>17</v>
      </c>
      <c r="Q88" s="28" t="s">
        <v>568</v>
      </c>
    </row>
    <row r="89" spans="1:17">
      <c r="A89" s="14">
        <v>85</v>
      </c>
      <c r="B89" s="15" t="s">
        <v>138</v>
      </c>
      <c r="C89" s="16">
        <f>'Медикаменты Май'!L88</f>
        <v>10</v>
      </c>
      <c r="D89" s="30"/>
      <c r="E89" s="14"/>
      <c r="F89" s="18"/>
      <c r="G89" s="19">
        <f>10</f>
        <v>10</v>
      </c>
      <c r="H89" s="20"/>
      <c r="I89" s="21"/>
      <c r="J89" s="14"/>
      <c r="K89" s="14">
        <f t="shared" si="2"/>
        <v>10</v>
      </c>
      <c r="L89" s="16">
        <f t="shared" si="3"/>
        <v>0</v>
      </c>
      <c r="M89" s="22">
        <v>44927</v>
      </c>
      <c r="N89" s="44" t="s">
        <v>551</v>
      </c>
      <c r="O89" s="23" t="s">
        <v>26</v>
      </c>
      <c r="P89" s="24" t="s">
        <v>17</v>
      </c>
      <c r="Q89" s="28" t="s">
        <v>568</v>
      </c>
    </row>
    <row r="90" spans="1:17">
      <c r="A90" s="14">
        <v>86</v>
      </c>
      <c r="B90" s="15" t="s">
        <v>569</v>
      </c>
      <c r="C90" s="16">
        <f>'Медикаменты Май'!L89</f>
        <v>3</v>
      </c>
      <c r="D90" s="17"/>
      <c r="E90" s="14"/>
      <c r="F90" s="18"/>
      <c r="G90" s="19"/>
      <c r="H90" s="20"/>
      <c r="I90" s="21"/>
      <c r="J90" s="14"/>
      <c r="K90" s="14">
        <f t="shared" si="2"/>
        <v>0</v>
      </c>
      <c r="L90" s="16">
        <f t="shared" si="3"/>
        <v>3</v>
      </c>
      <c r="M90" s="22">
        <v>45108</v>
      </c>
      <c r="N90" s="44" t="s">
        <v>551</v>
      </c>
      <c r="O90" s="23" t="s">
        <v>16</v>
      </c>
      <c r="P90" s="24" t="s">
        <v>17</v>
      </c>
      <c r="Q90" s="23" t="s">
        <v>585</v>
      </c>
    </row>
    <row r="91" spans="1:17">
      <c r="A91" s="14">
        <v>87</v>
      </c>
      <c r="B91" s="15" t="s">
        <v>569</v>
      </c>
      <c r="C91" s="16">
        <f>'Медикаменты Май'!L90</f>
        <v>12</v>
      </c>
      <c r="D91" s="17"/>
      <c r="E91" s="14"/>
      <c r="F91" s="18"/>
      <c r="G91" s="19">
        <f>12</f>
        <v>12</v>
      </c>
      <c r="H91" s="20"/>
      <c r="I91" s="21"/>
      <c r="J91" s="14"/>
      <c r="K91" s="14">
        <f t="shared" si="2"/>
        <v>12</v>
      </c>
      <c r="L91" s="16">
        <f t="shared" si="3"/>
        <v>0</v>
      </c>
      <c r="M91" s="22">
        <v>45108</v>
      </c>
      <c r="N91" s="44" t="s">
        <v>551</v>
      </c>
      <c r="O91" s="23" t="s">
        <v>26</v>
      </c>
      <c r="P91" s="24" t="s">
        <v>17</v>
      </c>
      <c r="Q91" s="23" t="s">
        <v>585</v>
      </c>
    </row>
    <row r="92" spans="1:17">
      <c r="A92" s="14">
        <v>88</v>
      </c>
      <c r="B92" s="15" t="s">
        <v>140</v>
      </c>
      <c r="C92" s="16">
        <f>'Медикаменты Май'!L91</f>
        <v>5</v>
      </c>
      <c r="D92" s="17"/>
      <c r="E92" s="14"/>
      <c r="F92" s="18">
        <f>5</f>
        <v>5</v>
      </c>
      <c r="G92" s="19"/>
      <c r="H92" s="20"/>
      <c r="I92" s="21"/>
      <c r="J92" s="14"/>
      <c r="K92" s="14">
        <f t="shared" si="2"/>
        <v>5</v>
      </c>
      <c r="L92" s="16">
        <f t="shared" si="3"/>
        <v>0</v>
      </c>
      <c r="M92" s="22">
        <v>44682</v>
      </c>
      <c r="N92" s="44" t="s">
        <v>45</v>
      </c>
      <c r="O92" s="23" t="s">
        <v>16</v>
      </c>
      <c r="P92" s="24" t="s">
        <v>45</v>
      </c>
      <c r="Q92" s="23" t="s">
        <v>141</v>
      </c>
    </row>
    <row r="93" spans="1:17">
      <c r="A93" s="14">
        <v>89</v>
      </c>
      <c r="B93" s="15" t="s">
        <v>142</v>
      </c>
      <c r="C93" s="16">
        <f>'Медикаменты Май'!L92</f>
        <v>0</v>
      </c>
      <c r="D93" s="17"/>
      <c r="E93" s="14"/>
      <c r="F93" s="18"/>
      <c r="G93" s="19"/>
      <c r="H93" s="20"/>
      <c r="I93" s="21"/>
      <c r="J93" s="14"/>
      <c r="K93" s="14">
        <f t="shared" si="2"/>
        <v>0</v>
      </c>
      <c r="L93" s="16">
        <f t="shared" si="3"/>
        <v>0</v>
      </c>
      <c r="M93" s="22">
        <v>45352</v>
      </c>
      <c r="N93" s="44"/>
      <c r="O93" s="23" t="s">
        <v>16</v>
      </c>
      <c r="P93" s="24"/>
      <c r="Q93" s="23" t="s">
        <v>143</v>
      </c>
    </row>
    <row r="94" spans="1:17">
      <c r="A94" s="14">
        <v>90</v>
      </c>
      <c r="B94" s="15" t="s">
        <v>144</v>
      </c>
      <c r="C94" s="16">
        <f>'Медикаменты Май'!L93</f>
        <v>0</v>
      </c>
      <c r="D94" s="17"/>
      <c r="E94" s="14"/>
      <c r="F94" s="18"/>
      <c r="G94" s="19"/>
      <c r="H94" s="20"/>
      <c r="I94" s="21"/>
      <c r="J94" s="14"/>
      <c r="K94" s="14">
        <f t="shared" si="2"/>
        <v>0</v>
      </c>
      <c r="L94" s="16">
        <f t="shared" si="3"/>
        <v>0</v>
      </c>
      <c r="M94" s="22">
        <v>44228</v>
      </c>
      <c r="N94" s="44"/>
      <c r="O94" s="23" t="s">
        <v>16</v>
      </c>
      <c r="P94" s="24"/>
      <c r="Q94" s="28" t="s">
        <v>145</v>
      </c>
    </row>
    <row r="95" spans="1:17">
      <c r="A95" s="14">
        <v>91</v>
      </c>
      <c r="B95" s="15" t="s">
        <v>146</v>
      </c>
      <c r="C95" s="16">
        <f>'Медикаменты Май'!L94</f>
        <v>0</v>
      </c>
      <c r="D95" s="17"/>
      <c r="E95" s="14"/>
      <c r="F95" s="18"/>
      <c r="G95" s="19"/>
      <c r="H95" s="20"/>
      <c r="I95" s="21"/>
      <c r="J95" s="14"/>
      <c r="K95" s="14">
        <f t="shared" si="2"/>
        <v>0</v>
      </c>
      <c r="L95" s="16">
        <f t="shared" si="3"/>
        <v>0</v>
      </c>
      <c r="M95" s="22">
        <v>45474</v>
      </c>
      <c r="N95" s="44"/>
      <c r="O95" s="23" t="s">
        <v>16</v>
      </c>
      <c r="P95" s="24" t="s">
        <v>45</v>
      </c>
      <c r="Q95" s="23" t="s">
        <v>147</v>
      </c>
    </row>
    <row r="96" spans="1:17">
      <c r="A96" s="14">
        <v>92</v>
      </c>
      <c r="B96" s="15" t="s">
        <v>148</v>
      </c>
      <c r="C96" s="16">
        <f>'Медикаменты Май'!L95</f>
        <v>0</v>
      </c>
      <c r="D96" s="17"/>
      <c r="E96" s="14"/>
      <c r="F96" s="18"/>
      <c r="G96" s="19"/>
      <c r="H96" s="20"/>
      <c r="I96" s="21"/>
      <c r="J96" s="14"/>
      <c r="K96" s="14">
        <f t="shared" si="2"/>
        <v>0</v>
      </c>
      <c r="L96" s="16">
        <f t="shared" si="3"/>
        <v>0</v>
      </c>
      <c r="M96" s="22"/>
      <c r="N96" s="44"/>
      <c r="O96" s="23" t="s">
        <v>16</v>
      </c>
      <c r="P96" s="24"/>
      <c r="Q96" s="25"/>
    </row>
    <row r="97" spans="1:17">
      <c r="A97" s="14">
        <v>93</v>
      </c>
      <c r="B97" s="15" t="s">
        <v>149</v>
      </c>
      <c r="C97" s="16">
        <f>'Медикаменты Май'!L96</f>
        <v>0</v>
      </c>
      <c r="D97" s="17"/>
      <c r="E97" s="14"/>
      <c r="F97" s="18"/>
      <c r="G97" s="19"/>
      <c r="H97" s="20"/>
      <c r="I97" s="21"/>
      <c r="J97" s="14"/>
      <c r="K97" s="14">
        <f t="shared" si="2"/>
        <v>0</v>
      </c>
      <c r="L97" s="16">
        <f t="shared" si="3"/>
        <v>0</v>
      </c>
      <c r="M97" s="22">
        <v>44348</v>
      </c>
      <c r="N97" s="44"/>
      <c r="O97" s="23" t="s">
        <v>16</v>
      </c>
      <c r="P97" s="24"/>
      <c r="Q97" s="23" t="s">
        <v>150</v>
      </c>
    </row>
    <row r="98" spans="1:17">
      <c r="A98" s="14">
        <v>94</v>
      </c>
      <c r="B98" s="15" t="s">
        <v>151</v>
      </c>
      <c r="C98" s="16">
        <f>'Медикаменты Май'!L97</f>
        <v>0</v>
      </c>
      <c r="D98" s="17"/>
      <c r="E98" s="14"/>
      <c r="F98" s="18"/>
      <c r="G98" s="19"/>
      <c r="H98" s="20"/>
      <c r="I98" s="21"/>
      <c r="J98" s="14"/>
      <c r="K98" s="14">
        <f t="shared" si="2"/>
        <v>0</v>
      </c>
      <c r="L98" s="16">
        <f t="shared" si="3"/>
        <v>0</v>
      </c>
      <c r="M98" s="22">
        <v>44743</v>
      </c>
      <c r="N98" s="44" t="s">
        <v>45</v>
      </c>
      <c r="O98" s="23" t="s">
        <v>16</v>
      </c>
      <c r="P98" s="24" t="s">
        <v>45</v>
      </c>
      <c r="Q98" s="28" t="s">
        <v>152</v>
      </c>
    </row>
    <row r="99" spans="1:17">
      <c r="A99" s="14">
        <v>95</v>
      </c>
      <c r="B99" s="15" t="s">
        <v>153</v>
      </c>
      <c r="C99" s="16">
        <f>'Медикаменты Май'!L98</f>
        <v>0</v>
      </c>
      <c r="D99" s="17"/>
      <c r="E99" s="14"/>
      <c r="F99" s="18"/>
      <c r="G99" s="19"/>
      <c r="H99" s="20"/>
      <c r="I99" s="21"/>
      <c r="J99" s="14"/>
      <c r="K99" s="14">
        <f t="shared" si="2"/>
        <v>0</v>
      </c>
      <c r="L99" s="16">
        <f t="shared" si="3"/>
        <v>0</v>
      </c>
      <c r="M99" s="22">
        <v>44256</v>
      </c>
      <c r="N99" s="44"/>
      <c r="O99" s="23" t="s">
        <v>16</v>
      </c>
      <c r="P99" s="24"/>
      <c r="Q99" s="23" t="s">
        <v>154</v>
      </c>
    </row>
    <row r="100" spans="1:17">
      <c r="A100" s="14">
        <v>96</v>
      </c>
      <c r="B100" s="15" t="s">
        <v>155</v>
      </c>
      <c r="C100" s="16">
        <f>'Медикаменты Май'!L99</f>
        <v>0</v>
      </c>
      <c r="D100" s="17"/>
      <c r="E100" s="14"/>
      <c r="F100" s="18"/>
      <c r="G100" s="19"/>
      <c r="H100" s="20"/>
      <c r="I100" s="21"/>
      <c r="J100" s="14"/>
      <c r="K100" s="14">
        <f t="shared" si="2"/>
        <v>0</v>
      </c>
      <c r="L100" s="16">
        <f t="shared" si="3"/>
        <v>0</v>
      </c>
      <c r="M100" s="22"/>
      <c r="N100" s="44"/>
      <c r="O100" s="23" t="s">
        <v>16</v>
      </c>
      <c r="P100" s="24"/>
      <c r="Q100" s="25"/>
    </row>
    <row r="101" spans="1:17">
      <c r="A101" s="14">
        <v>97</v>
      </c>
      <c r="B101" s="15" t="s">
        <v>156</v>
      </c>
      <c r="C101" s="16">
        <f>'Медикаменты Май'!L100</f>
        <v>0</v>
      </c>
      <c r="D101" s="17"/>
      <c r="E101" s="14"/>
      <c r="F101" s="18"/>
      <c r="G101" s="19"/>
      <c r="H101" s="20"/>
      <c r="I101" s="21"/>
      <c r="J101" s="14"/>
      <c r="K101" s="14">
        <f t="shared" si="2"/>
        <v>0</v>
      </c>
      <c r="L101" s="16">
        <f t="shared" si="3"/>
        <v>0</v>
      </c>
      <c r="M101" s="22">
        <v>44197</v>
      </c>
      <c r="N101" s="44"/>
      <c r="O101" s="23" t="s">
        <v>16</v>
      </c>
      <c r="P101" s="24"/>
      <c r="Q101" s="23" t="s">
        <v>157</v>
      </c>
    </row>
    <row r="102" spans="1:17">
      <c r="A102" s="14">
        <v>98</v>
      </c>
      <c r="B102" s="15" t="s">
        <v>158</v>
      </c>
      <c r="C102" s="16">
        <f>'Медикаменты Май'!L101</f>
        <v>5</v>
      </c>
      <c r="D102" s="17"/>
      <c r="E102" s="14"/>
      <c r="F102" s="18"/>
      <c r="G102" s="19"/>
      <c r="H102" s="20"/>
      <c r="I102" s="21"/>
      <c r="J102" s="14"/>
      <c r="K102" s="14">
        <f t="shared" si="2"/>
        <v>0</v>
      </c>
      <c r="L102" s="16">
        <f t="shared" si="3"/>
        <v>5</v>
      </c>
      <c r="M102" s="22">
        <v>44774</v>
      </c>
      <c r="N102" s="44" t="s">
        <v>45</v>
      </c>
      <c r="O102" s="23" t="s">
        <v>16</v>
      </c>
      <c r="P102" s="24" t="s">
        <v>17</v>
      </c>
      <c r="Q102" s="23" t="s">
        <v>159</v>
      </c>
    </row>
    <row r="103" spans="1:17">
      <c r="A103" s="14">
        <v>99</v>
      </c>
      <c r="B103" s="15" t="s">
        <v>160</v>
      </c>
      <c r="C103" s="16">
        <f>'Медикаменты Май'!L102</f>
        <v>83</v>
      </c>
      <c r="D103" s="17"/>
      <c r="E103" s="14"/>
      <c r="F103" s="18"/>
      <c r="G103" s="19"/>
      <c r="H103" s="20"/>
      <c r="I103" s="21"/>
      <c r="J103" s="14"/>
      <c r="K103" s="14">
        <f t="shared" si="2"/>
        <v>0</v>
      </c>
      <c r="L103" s="16">
        <f t="shared" si="3"/>
        <v>83</v>
      </c>
      <c r="M103" s="22">
        <v>44805</v>
      </c>
      <c r="N103" s="44" t="s">
        <v>45</v>
      </c>
      <c r="O103" s="23" t="s">
        <v>16</v>
      </c>
      <c r="P103" s="24" t="s">
        <v>17</v>
      </c>
      <c r="Q103" s="28" t="s">
        <v>161</v>
      </c>
    </row>
    <row r="104" spans="1:17">
      <c r="A104" s="14">
        <v>100</v>
      </c>
      <c r="B104" s="15" t="s">
        <v>162</v>
      </c>
      <c r="C104" s="16">
        <f>'Медикаменты Май'!L103</f>
        <v>94</v>
      </c>
      <c r="D104" s="17"/>
      <c r="E104" s="14"/>
      <c r="F104" s="18"/>
      <c r="G104" s="19"/>
      <c r="H104" s="20"/>
      <c r="I104" s="21"/>
      <c r="J104" s="14"/>
      <c r="K104" s="14">
        <f t="shared" si="2"/>
        <v>0</v>
      </c>
      <c r="L104" s="16">
        <f t="shared" si="3"/>
        <v>94</v>
      </c>
      <c r="M104" s="22">
        <v>44742</v>
      </c>
      <c r="N104" s="44" t="s">
        <v>45</v>
      </c>
      <c r="O104" s="23" t="s">
        <v>16</v>
      </c>
      <c r="P104" s="24" t="s">
        <v>17</v>
      </c>
      <c r="Q104" s="28" t="s">
        <v>163</v>
      </c>
    </row>
    <row r="105" spans="1:17">
      <c r="A105" s="14">
        <v>101</v>
      </c>
      <c r="B105" s="15" t="s">
        <v>164</v>
      </c>
      <c r="C105" s="16">
        <f>'Медикаменты Май'!L104</f>
        <v>0</v>
      </c>
      <c r="D105" s="17"/>
      <c r="E105" s="14"/>
      <c r="F105" s="18"/>
      <c r="G105" s="19"/>
      <c r="H105" s="20"/>
      <c r="I105" s="21"/>
      <c r="J105" s="14"/>
      <c r="K105" s="14">
        <f t="shared" si="2"/>
        <v>0</v>
      </c>
      <c r="L105" s="16">
        <f t="shared" si="3"/>
        <v>0</v>
      </c>
      <c r="M105" s="22">
        <v>44927</v>
      </c>
      <c r="N105" s="44"/>
      <c r="O105" s="23" t="s">
        <v>26</v>
      </c>
      <c r="P105" s="24" t="s">
        <v>17</v>
      </c>
      <c r="Q105" s="28" t="s">
        <v>165</v>
      </c>
    </row>
    <row r="106" spans="1:17">
      <c r="A106" s="14">
        <v>102</v>
      </c>
      <c r="B106" s="15" t="s">
        <v>166</v>
      </c>
      <c r="C106" s="16">
        <f>'Медикаменты Май'!L105</f>
        <v>0</v>
      </c>
      <c r="D106" s="17"/>
      <c r="E106" s="14"/>
      <c r="F106" s="18"/>
      <c r="G106" s="19"/>
      <c r="H106" s="20"/>
      <c r="I106" s="21"/>
      <c r="J106" s="14"/>
      <c r="K106" s="14">
        <f t="shared" si="2"/>
        <v>0</v>
      </c>
      <c r="L106" s="16">
        <f t="shared" si="3"/>
        <v>0</v>
      </c>
      <c r="M106" s="22">
        <v>44440</v>
      </c>
      <c r="N106" s="44"/>
      <c r="O106" s="23" t="s">
        <v>16</v>
      </c>
      <c r="P106" s="24"/>
      <c r="Q106" s="28" t="s">
        <v>165</v>
      </c>
    </row>
    <row r="107" spans="1:17">
      <c r="A107" s="14">
        <v>103</v>
      </c>
      <c r="B107" s="15" t="s">
        <v>167</v>
      </c>
      <c r="C107" s="16">
        <f>'Медикаменты Май'!L106</f>
        <v>0</v>
      </c>
      <c r="D107" s="17"/>
      <c r="E107" s="14"/>
      <c r="F107" s="18"/>
      <c r="G107" s="19"/>
      <c r="H107" s="20"/>
      <c r="I107" s="21"/>
      <c r="J107" s="14"/>
      <c r="K107" s="14">
        <f t="shared" si="2"/>
        <v>0</v>
      </c>
      <c r="L107" s="16">
        <f t="shared" si="3"/>
        <v>0</v>
      </c>
      <c r="M107" s="22">
        <v>44256</v>
      </c>
      <c r="N107" s="44"/>
      <c r="O107" s="23" t="s">
        <v>16</v>
      </c>
      <c r="P107" s="24" t="s">
        <v>17</v>
      </c>
      <c r="Q107" s="23" t="s">
        <v>168</v>
      </c>
    </row>
    <row r="108" spans="1:17">
      <c r="A108" s="14">
        <v>104</v>
      </c>
      <c r="B108" s="15" t="s">
        <v>169</v>
      </c>
      <c r="C108" s="16">
        <f>'Медикаменты Май'!L107</f>
        <v>0</v>
      </c>
      <c r="D108" s="17"/>
      <c r="E108" s="14"/>
      <c r="F108" s="18"/>
      <c r="G108" s="19"/>
      <c r="H108" s="20"/>
      <c r="I108" s="21"/>
      <c r="J108" s="14"/>
      <c r="K108" s="14">
        <f t="shared" si="2"/>
        <v>0</v>
      </c>
      <c r="L108" s="16">
        <f t="shared" si="3"/>
        <v>0</v>
      </c>
      <c r="M108" s="22">
        <v>44197</v>
      </c>
      <c r="N108" s="44"/>
      <c r="O108" s="23" t="s">
        <v>16</v>
      </c>
      <c r="P108" s="24"/>
      <c r="Q108" s="23" t="s">
        <v>170</v>
      </c>
    </row>
    <row r="109" spans="1:17">
      <c r="A109" s="14">
        <v>105</v>
      </c>
      <c r="B109" s="15" t="s">
        <v>171</v>
      </c>
      <c r="C109" s="16">
        <f>'Медикаменты Май'!L108</f>
        <v>0</v>
      </c>
      <c r="D109" s="17"/>
      <c r="E109" s="14"/>
      <c r="F109" s="18"/>
      <c r="G109" s="19"/>
      <c r="H109" s="20"/>
      <c r="I109" s="21"/>
      <c r="J109" s="14"/>
      <c r="K109" s="14">
        <f t="shared" si="2"/>
        <v>0</v>
      </c>
      <c r="L109" s="16">
        <f t="shared" si="3"/>
        <v>0</v>
      </c>
      <c r="M109" s="22"/>
      <c r="N109" s="44"/>
      <c r="O109" s="23" t="s">
        <v>16</v>
      </c>
      <c r="P109" s="24"/>
      <c r="Q109" s="25"/>
    </row>
    <row r="110" spans="1:17">
      <c r="A110" s="14">
        <v>106</v>
      </c>
      <c r="B110" s="15" t="s">
        <v>172</v>
      </c>
      <c r="C110" s="16">
        <f>'Медикаменты Май'!L109</f>
        <v>0</v>
      </c>
      <c r="D110" s="17"/>
      <c r="E110" s="14"/>
      <c r="F110" s="18"/>
      <c r="G110" s="19"/>
      <c r="H110" s="20"/>
      <c r="I110" s="21"/>
      <c r="J110" s="14"/>
      <c r="K110" s="14">
        <f t="shared" si="2"/>
        <v>0</v>
      </c>
      <c r="L110" s="16">
        <f t="shared" si="3"/>
        <v>0</v>
      </c>
      <c r="M110" s="22">
        <v>44287</v>
      </c>
      <c r="N110" s="44"/>
      <c r="O110" s="23" t="s">
        <v>26</v>
      </c>
      <c r="P110" s="24" t="s">
        <v>17</v>
      </c>
      <c r="Q110" s="23" t="s">
        <v>173</v>
      </c>
    </row>
    <row r="111" spans="1:17">
      <c r="A111" s="14">
        <v>107</v>
      </c>
      <c r="B111" s="15" t="s">
        <v>172</v>
      </c>
      <c r="C111" s="16">
        <f>'Медикаменты Май'!L110</f>
        <v>62</v>
      </c>
      <c r="D111" s="17"/>
      <c r="E111" s="14"/>
      <c r="F111" s="18">
        <f>10+5</f>
        <v>15</v>
      </c>
      <c r="G111" s="19"/>
      <c r="H111" s="20"/>
      <c r="I111" s="21"/>
      <c r="J111" s="14"/>
      <c r="K111" s="14">
        <f t="shared" si="2"/>
        <v>15</v>
      </c>
      <c r="L111" s="16">
        <f t="shared" si="3"/>
        <v>47</v>
      </c>
      <c r="M111" s="22">
        <v>44805</v>
      </c>
      <c r="N111" s="44" t="s">
        <v>45</v>
      </c>
      <c r="O111" s="23" t="s">
        <v>26</v>
      </c>
      <c r="P111" s="24" t="s">
        <v>17</v>
      </c>
      <c r="Q111" s="23" t="s">
        <v>173</v>
      </c>
    </row>
    <row r="112" spans="1:17">
      <c r="A112" s="14">
        <v>108</v>
      </c>
      <c r="B112" s="15" t="s">
        <v>174</v>
      </c>
      <c r="C112" s="16">
        <f>'Медикаменты Май'!L111</f>
        <v>0</v>
      </c>
      <c r="D112" s="17"/>
      <c r="E112" s="14"/>
      <c r="F112" s="18"/>
      <c r="G112" s="19"/>
      <c r="H112" s="20"/>
      <c r="I112" s="21"/>
      <c r="J112" s="14"/>
      <c r="K112" s="14">
        <f t="shared" si="2"/>
        <v>0</v>
      </c>
      <c r="L112" s="16">
        <f t="shared" si="3"/>
        <v>0</v>
      </c>
      <c r="M112" s="22"/>
      <c r="N112" s="44"/>
      <c r="O112" s="23" t="s">
        <v>16</v>
      </c>
      <c r="P112" s="24"/>
      <c r="Q112" s="23" t="s">
        <v>571</v>
      </c>
    </row>
    <row r="113" spans="1:17">
      <c r="A113" s="14">
        <v>109</v>
      </c>
      <c r="B113" s="15" t="s">
        <v>547</v>
      </c>
      <c r="C113" s="16">
        <f>'Медикаменты Май'!L112</f>
        <v>0</v>
      </c>
      <c r="D113" s="17"/>
      <c r="E113" s="14"/>
      <c r="F113" s="18"/>
      <c r="G113" s="19"/>
      <c r="H113" s="20"/>
      <c r="I113" s="21"/>
      <c r="J113" s="14"/>
      <c r="K113" s="14">
        <f t="shared" si="2"/>
        <v>0</v>
      </c>
      <c r="L113" s="16">
        <f t="shared" si="3"/>
        <v>0</v>
      </c>
      <c r="M113" s="22">
        <v>44317</v>
      </c>
      <c r="N113" s="44" t="s">
        <v>45</v>
      </c>
      <c r="O113" s="23" t="s">
        <v>16</v>
      </c>
      <c r="P113" s="24" t="s">
        <v>17</v>
      </c>
      <c r="Q113" s="23" t="s">
        <v>176</v>
      </c>
    </row>
    <row r="114" spans="1:17">
      <c r="A114" s="14">
        <v>110</v>
      </c>
      <c r="B114" s="15" t="s">
        <v>177</v>
      </c>
      <c r="C114" s="16">
        <f>'Медикаменты Май'!L113</f>
        <v>0</v>
      </c>
      <c r="D114" s="17"/>
      <c r="E114" s="14"/>
      <c r="F114" s="18"/>
      <c r="G114" s="19"/>
      <c r="H114" s="20"/>
      <c r="I114" s="21"/>
      <c r="J114" s="14"/>
      <c r="K114" s="14">
        <f t="shared" si="2"/>
        <v>0</v>
      </c>
      <c r="L114" s="16">
        <f t="shared" si="3"/>
        <v>0</v>
      </c>
      <c r="M114" s="22"/>
      <c r="N114" s="44"/>
      <c r="O114" s="23" t="s">
        <v>16</v>
      </c>
      <c r="P114" s="24"/>
      <c r="Q114" s="25"/>
    </row>
    <row r="115" spans="1:17">
      <c r="A115" s="14">
        <v>111</v>
      </c>
      <c r="B115" s="15" t="s">
        <v>178</v>
      </c>
      <c r="C115" s="16">
        <f>'Медикаменты Май'!L114</f>
        <v>0</v>
      </c>
      <c r="D115" s="17"/>
      <c r="E115" s="14"/>
      <c r="F115" s="18"/>
      <c r="G115" s="19"/>
      <c r="H115" s="20"/>
      <c r="I115" s="21"/>
      <c r="J115" s="14"/>
      <c r="K115" s="14">
        <f t="shared" si="2"/>
        <v>0</v>
      </c>
      <c r="L115" s="16">
        <f t="shared" si="3"/>
        <v>0</v>
      </c>
      <c r="M115" s="22">
        <v>44378</v>
      </c>
      <c r="N115" s="44" t="s">
        <v>45</v>
      </c>
      <c r="O115" s="23" t="s">
        <v>16</v>
      </c>
      <c r="P115" s="24" t="s">
        <v>17</v>
      </c>
      <c r="Q115" s="23" t="s">
        <v>179</v>
      </c>
    </row>
    <row r="116" spans="1:17">
      <c r="A116" s="14">
        <v>112</v>
      </c>
      <c r="B116" s="15" t="s">
        <v>572</v>
      </c>
      <c r="C116" s="16">
        <f>'Медикаменты Май'!L115</f>
        <v>24</v>
      </c>
      <c r="D116" s="17"/>
      <c r="E116" s="14"/>
      <c r="F116" s="18"/>
      <c r="G116" s="19"/>
      <c r="H116" s="20"/>
      <c r="I116" s="21"/>
      <c r="J116" s="14"/>
      <c r="K116" s="14">
        <f t="shared" si="2"/>
        <v>0</v>
      </c>
      <c r="L116" s="16">
        <f t="shared" si="3"/>
        <v>24</v>
      </c>
      <c r="M116" s="22">
        <v>45200</v>
      </c>
      <c r="N116" s="44" t="s">
        <v>551</v>
      </c>
      <c r="O116" s="23" t="s">
        <v>16</v>
      </c>
      <c r="P116" s="24" t="s">
        <v>17</v>
      </c>
      <c r="Q116" s="23" t="s">
        <v>181</v>
      </c>
    </row>
    <row r="117" spans="1:17">
      <c r="A117" s="14">
        <v>113</v>
      </c>
      <c r="B117" s="15" t="s">
        <v>182</v>
      </c>
      <c r="C117" s="16">
        <f>'Медикаменты Май'!L116</f>
        <v>0</v>
      </c>
      <c r="D117" s="17"/>
      <c r="E117" s="14"/>
      <c r="F117" s="18"/>
      <c r="G117" s="19"/>
      <c r="H117" s="20"/>
      <c r="I117" s="21"/>
      <c r="J117" s="14"/>
      <c r="K117" s="14">
        <f t="shared" si="2"/>
        <v>0</v>
      </c>
      <c r="L117" s="16">
        <f t="shared" si="3"/>
        <v>0</v>
      </c>
      <c r="M117" s="22">
        <v>44409</v>
      </c>
      <c r="N117" s="44"/>
      <c r="O117" s="23" t="s">
        <v>16</v>
      </c>
      <c r="P117" s="24"/>
      <c r="Q117" s="23" t="s">
        <v>183</v>
      </c>
    </row>
    <row r="118" spans="1:17">
      <c r="A118" s="14">
        <v>114</v>
      </c>
      <c r="B118" s="15" t="s">
        <v>184</v>
      </c>
      <c r="C118" s="16">
        <f>'Медикаменты Май'!L117</f>
        <v>0</v>
      </c>
      <c r="D118" s="17"/>
      <c r="E118" s="14"/>
      <c r="F118" s="18"/>
      <c r="G118" s="19"/>
      <c r="H118" s="20"/>
      <c r="I118" s="21"/>
      <c r="J118" s="14"/>
      <c r="K118" s="14">
        <f t="shared" si="2"/>
        <v>0</v>
      </c>
      <c r="L118" s="16">
        <f t="shared" si="3"/>
        <v>0</v>
      </c>
      <c r="M118" s="22">
        <v>44986</v>
      </c>
      <c r="N118" s="44"/>
      <c r="O118" s="23" t="s">
        <v>16</v>
      </c>
      <c r="P118" s="24" t="s">
        <v>17</v>
      </c>
      <c r="Q118" s="23" t="s">
        <v>185</v>
      </c>
    </row>
    <row r="119" spans="1:17">
      <c r="A119" s="14">
        <v>115</v>
      </c>
      <c r="B119" s="15" t="s">
        <v>186</v>
      </c>
      <c r="C119" s="16">
        <f>'Медикаменты Май'!L118</f>
        <v>0</v>
      </c>
      <c r="D119" s="17"/>
      <c r="E119" s="14"/>
      <c r="F119" s="18"/>
      <c r="G119" s="19"/>
      <c r="H119" s="20"/>
      <c r="I119" s="21"/>
      <c r="J119" s="14"/>
      <c r="K119" s="14">
        <f t="shared" si="2"/>
        <v>0</v>
      </c>
      <c r="L119" s="16">
        <f t="shared" si="3"/>
        <v>0</v>
      </c>
      <c r="M119" s="22">
        <v>44743</v>
      </c>
      <c r="N119" s="44" t="s">
        <v>45</v>
      </c>
      <c r="O119" s="23" t="s">
        <v>16</v>
      </c>
      <c r="P119" s="24" t="s">
        <v>17</v>
      </c>
      <c r="Q119" s="23" t="s">
        <v>187</v>
      </c>
    </row>
    <row r="120" spans="1:17">
      <c r="A120" s="14">
        <v>116</v>
      </c>
      <c r="B120" s="15" t="s">
        <v>188</v>
      </c>
      <c r="C120" s="16">
        <f>'Медикаменты Май'!L119</f>
        <v>0</v>
      </c>
      <c r="D120" s="17"/>
      <c r="E120" s="14"/>
      <c r="F120" s="18"/>
      <c r="G120" s="19"/>
      <c r="H120" s="20"/>
      <c r="I120" s="21"/>
      <c r="J120" s="14"/>
      <c r="K120" s="14">
        <f t="shared" si="2"/>
        <v>0</v>
      </c>
      <c r="L120" s="16">
        <f t="shared" si="3"/>
        <v>0</v>
      </c>
      <c r="M120" s="22"/>
      <c r="N120" s="44"/>
      <c r="O120" s="23" t="s">
        <v>16</v>
      </c>
      <c r="P120" s="24"/>
      <c r="Q120" s="25"/>
    </row>
    <row r="121" spans="1:17">
      <c r="A121" s="14">
        <v>117</v>
      </c>
      <c r="B121" s="15" t="s">
        <v>189</v>
      </c>
      <c r="C121" s="16">
        <f>'Медикаменты Май'!L120</f>
        <v>0</v>
      </c>
      <c r="D121" s="17"/>
      <c r="E121" s="14"/>
      <c r="F121" s="18"/>
      <c r="G121" s="19"/>
      <c r="H121" s="20"/>
      <c r="I121" s="21"/>
      <c r="J121" s="14"/>
      <c r="K121" s="14">
        <f t="shared" si="2"/>
        <v>0</v>
      </c>
      <c r="L121" s="16">
        <f t="shared" si="3"/>
        <v>0</v>
      </c>
      <c r="M121" s="22">
        <v>44348</v>
      </c>
      <c r="N121" s="44"/>
      <c r="O121" s="23" t="s">
        <v>16</v>
      </c>
      <c r="P121" s="24" t="s">
        <v>45</v>
      </c>
      <c r="Q121" s="28" t="s">
        <v>190</v>
      </c>
    </row>
    <row r="122" spans="1:17">
      <c r="A122" s="14">
        <v>118</v>
      </c>
      <c r="B122" s="15" t="s">
        <v>191</v>
      </c>
      <c r="C122" s="16">
        <f>'Медикаменты Май'!L121</f>
        <v>0</v>
      </c>
      <c r="D122" s="17"/>
      <c r="E122" s="14"/>
      <c r="F122" s="18"/>
      <c r="G122" s="19"/>
      <c r="H122" s="20"/>
      <c r="I122" s="21"/>
      <c r="J122" s="14"/>
      <c r="K122" s="14">
        <f t="shared" si="2"/>
        <v>0</v>
      </c>
      <c r="L122" s="16">
        <f t="shared" si="3"/>
        <v>0</v>
      </c>
      <c r="M122" s="22"/>
      <c r="N122" s="44"/>
      <c r="O122" s="23" t="s">
        <v>16</v>
      </c>
      <c r="P122" s="24"/>
      <c r="Q122" s="25"/>
    </row>
    <row r="123" spans="1:17">
      <c r="A123" s="14">
        <v>119</v>
      </c>
      <c r="B123" s="15" t="s">
        <v>192</v>
      </c>
      <c r="C123" s="16">
        <f>'Медикаменты Май'!L122</f>
        <v>125</v>
      </c>
      <c r="D123" s="17"/>
      <c r="E123" s="14"/>
      <c r="F123" s="18">
        <f>5</f>
        <v>5</v>
      </c>
      <c r="G123" s="19"/>
      <c r="H123" s="20"/>
      <c r="I123" s="21"/>
      <c r="J123" s="14"/>
      <c r="K123" s="14">
        <f t="shared" si="2"/>
        <v>5</v>
      </c>
      <c r="L123" s="16">
        <f t="shared" si="3"/>
        <v>120</v>
      </c>
      <c r="M123" s="22">
        <v>45047</v>
      </c>
      <c r="N123" s="44" t="s">
        <v>45</v>
      </c>
      <c r="O123" s="23" t="s">
        <v>16</v>
      </c>
      <c r="P123" s="24" t="s">
        <v>17</v>
      </c>
      <c r="Q123" s="28" t="s">
        <v>193</v>
      </c>
    </row>
    <row r="124" spans="1:17">
      <c r="A124" s="14">
        <v>120</v>
      </c>
      <c r="B124" s="15" t="s">
        <v>192</v>
      </c>
      <c r="C124" s="16">
        <f>'Медикаменты Май'!L123</f>
        <v>0</v>
      </c>
      <c r="D124" s="17"/>
      <c r="E124" s="14"/>
      <c r="F124" s="18"/>
      <c r="G124" s="19"/>
      <c r="H124" s="20"/>
      <c r="I124" s="21"/>
      <c r="J124" s="14"/>
      <c r="K124" s="14">
        <f t="shared" si="2"/>
        <v>0</v>
      </c>
      <c r="L124" s="16">
        <f t="shared" si="3"/>
        <v>0</v>
      </c>
      <c r="M124" s="22">
        <v>45047</v>
      </c>
      <c r="N124" s="44"/>
      <c r="O124" s="23" t="s">
        <v>26</v>
      </c>
      <c r="P124" s="24"/>
      <c r="Q124" s="28" t="s">
        <v>193</v>
      </c>
    </row>
    <row r="125" spans="1:17">
      <c r="A125" s="14">
        <v>121</v>
      </c>
      <c r="B125" s="15" t="s">
        <v>194</v>
      </c>
      <c r="C125" s="16">
        <f>'Медикаменты Май'!L124</f>
        <v>10</v>
      </c>
      <c r="D125" s="17"/>
      <c r="E125" s="14"/>
      <c r="F125" s="18"/>
      <c r="G125" s="19"/>
      <c r="H125" s="20"/>
      <c r="I125" s="21"/>
      <c r="J125" s="14"/>
      <c r="K125" s="14">
        <f t="shared" si="2"/>
        <v>0</v>
      </c>
      <c r="L125" s="16">
        <f t="shared" si="3"/>
        <v>10</v>
      </c>
      <c r="M125" s="22">
        <v>45658</v>
      </c>
      <c r="N125" s="44" t="s">
        <v>45</v>
      </c>
      <c r="O125" s="23" t="s">
        <v>16</v>
      </c>
      <c r="P125" s="24" t="s">
        <v>45</v>
      </c>
      <c r="Q125" s="28" t="s">
        <v>195</v>
      </c>
    </row>
    <row r="126" spans="1:17">
      <c r="A126" s="14">
        <v>122</v>
      </c>
      <c r="B126" s="15" t="s">
        <v>196</v>
      </c>
      <c r="C126" s="16">
        <f>'Медикаменты Май'!L125</f>
        <v>56</v>
      </c>
      <c r="D126" s="17"/>
      <c r="E126" s="14"/>
      <c r="F126" s="18"/>
      <c r="G126" s="19"/>
      <c r="H126" s="20"/>
      <c r="I126" s="21"/>
      <c r="J126" s="14"/>
      <c r="K126" s="14">
        <f t="shared" si="2"/>
        <v>0</v>
      </c>
      <c r="L126" s="16">
        <f t="shared" si="3"/>
        <v>56</v>
      </c>
      <c r="M126" s="22">
        <v>44593</v>
      </c>
      <c r="N126" s="44" t="s">
        <v>45</v>
      </c>
      <c r="O126" s="23" t="s">
        <v>16</v>
      </c>
      <c r="P126" s="24" t="s">
        <v>17</v>
      </c>
      <c r="Q126" s="28" t="s">
        <v>197</v>
      </c>
    </row>
    <row r="127" spans="1:17">
      <c r="A127" s="14">
        <v>123</v>
      </c>
      <c r="B127" s="15" t="s">
        <v>198</v>
      </c>
      <c r="C127" s="16">
        <f>'Медикаменты Май'!L126</f>
        <v>0</v>
      </c>
      <c r="D127" s="17"/>
      <c r="E127" s="14"/>
      <c r="F127" s="18"/>
      <c r="G127" s="19"/>
      <c r="H127" s="20"/>
      <c r="I127" s="21"/>
      <c r="J127" s="14"/>
      <c r="K127" s="14">
        <f t="shared" si="2"/>
        <v>0</v>
      </c>
      <c r="L127" s="16">
        <f t="shared" si="3"/>
        <v>0</v>
      </c>
      <c r="M127" s="22"/>
      <c r="N127" s="44"/>
      <c r="O127" s="23" t="s">
        <v>16</v>
      </c>
      <c r="P127" s="24"/>
      <c r="Q127" s="25"/>
    </row>
    <row r="128" spans="1:17">
      <c r="A128" s="14">
        <v>124</v>
      </c>
      <c r="B128" s="15" t="s">
        <v>199</v>
      </c>
      <c r="C128" s="16">
        <f>'Медикаменты Май'!L127</f>
        <v>0</v>
      </c>
      <c r="D128" s="17"/>
      <c r="E128" s="14"/>
      <c r="F128" s="18"/>
      <c r="G128" s="19"/>
      <c r="H128" s="20"/>
      <c r="I128" s="21"/>
      <c r="J128" s="14"/>
      <c r="K128" s="14">
        <f t="shared" si="2"/>
        <v>0</v>
      </c>
      <c r="L128" s="16">
        <f t="shared" si="3"/>
        <v>0</v>
      </c>
      <c r="M128" s="22"/>
      <c r="N128" s="44"/>
      <c r="O128" s="23" t="s">
        <v>16</v>
      </c>
      <c r="P128" s="24"/>
      <c r="Q128" s="25"/>
    </row>
    <row r="129" spans="1:17">
      <c r="A129" s="14">
        <v>125</v>
      </c>
      <c r="B129" s="15" t="s">
        <v>548</v>
      </c>
      <c r="C129" s="16">
        <f>'Медикаменты Май'!L128</f>
        <v>138</v>
      </c>
      <c r="D129" s="17"/>
      <c r="E129" s="14"/>
      <c r="F129" s="18">
        <f>10+10+5+25</f>
        <v>50</v>
      </c>
      <c r="G129" s="19"/>
      <c r="H129" s="20"/>
      <c r="I129" s="21"/>
      <c r="J129" s="14"/>
      <c r="K129" s="14">
        <f t="shared" si="2"/>
        <v>50</v>
      </c>
      <c r="L129" s="16">
        <f t="shared" si="3"/>
        <v>88</v>
      </c>
      <c r="M129" s="22">
        <v>45658</v>
      </c>
      <c r="N129" s="44" t="s">
        <v>45</v>
      </c>
      <c r="O129" s="23" t="s">
        <v>26</v>
      </c>
      <c r="P129" s="24" t="s">
        <v>17</v>
      </c>
      <c r="Q129" s="23" t="s">
        <v>201</v>
      </c>
    </row>
    <row r="130" spans="1:17">
      <c r="A130" s="14">
        <v>126</v>
      </c>
      <c r="B130" s="15" t="s">
        <v>202</v>
      </c>
      <c r="C130" s="16">
        <f>'Медикаменты Май'!L129</f>
        <v>0</v>
      </c>
      <c r="D130" s="17"/>
      <c r="E130" s="14"/>
      <c r="F130" s="18"/>
      <c r="G130" s="19"/>
      <c r="H130" s="20"/>
      <c r="I130" s="21"/>
      <c r="J130" s="14"/>
      <c r="K130" s="14">
        <f t="shared" si="2"/>
        <v>0</v>
      </c>
      <c r="L130" s="16">
        <f t="shared" si="3"/>
        <v>0</v>
      </c>
      <c r="M130" s="22"/>
      <c r="N130" s="44"/>
      <c r="O130" s="23" t="s">
        <v>16</v>
      </c>
      <c r="P130" s="24"/>
      <c r="Q130" s="25"/>
    </row>
    <row r="131" spans="1:17">
      <c r="A131" s="14">
        <v>127</v>
      </c>
      <c r="B131" s="15" t="s">
        <v>203</v>
      </c>
      <c r="C131" s="16">
        <f>'Медикаменты Май'!L130</f>
        <v>0</v>
      </c>
      <c r="D131" s="17"/>
      <c r="E131" s="14"/>
      <c r="F131" s="18"/>
      <c r="G131" s="19"/>
      <c r="H131" s="20"/>
      <c r="I131" s="21"/>
      <c r="J131" s="14"/>
      <c r="K131" s="14">
        <f t="shared" si="2"/>
        <v>0</v>
      </c>
      <c r="L131" s="16">
        <f t="shared" si="3"/>
        <v>0</v>
      </c>
      <c r="M131" s="22">
        <v>44287</v>
      </c>
      <c r="N131" s="44"/>
      <c r="O131" s="23" t="s">
        <v>16</v>
      </c>
      <c r="P131" s="24"/>
      <c r="Q131" s="23" t="s">
        <v>204</v>
      </c>
    </row>
    <row r="132" spans="1:17">
      <c r="A132" s="14">
        <v>128</v>
      </c>
      <c r="B132" s="15" t="s">
        <v>205</v>
      </c>
      <c r="C132" s="16">
        <f>'Медикаменты Май'!L131</f>
        <v>0</v>
      </c>
      <c r="D132" s="17"/>
      <c r="E132" s="14"/>
      <c r="F132" s="18"/>
      <c r="G132" s="19"/>
      <c r="H132" s="20"/>
      <c r="I132" s="21"/>
      <c r="J132" s="14"/>
      <c r="K132" s="14">
        <f t="shared" si="2"/>
        <v>0</v>
      </c>
      <c r="L132" s="16">
        <f t="shared" si="3"/>
        <v>0</v>
      </c>
      <c r="M132" s="22"/>
      <c r="N132" s="44"/>
      <c r="O132" s="23" t="s">
        <v>16</v>
      </c>
      <c r="P132" s="24"/>
      <c r="Q132" s="25"/>
    </row>
    <row r="133" spans="1:17">
      <c r="A133" s="14">
        <v>129</v>
      </c>
      <c r="B133" s="15" t="s">
        <v>206</v>
      </c>
      <c r="C133" s="16">
        <f>'Медикаменты Май'!L132</f>
        <v>0</v>
      </c>
      <c r="D133" s="17"/>
      <c r="E133" s="14"/>
      <c r="F133" s="18"/>
      <c r="G133" s="19"/>
      <c r="H133" s="20"/>
      <c r="I133" s="21"/>
      <c r="J133" s="14"/>
      <c r="K133" s="14">
        <f t="shared" ref="K133:K196" si="4">SUM(F133:J133)</f>
        <v>0</v>
      </c>
      <c r="L133" s="16">
        <f t="shared" ref="L133:L196" si="5">(C133+E133)-K133</f>
        <v>0</v>
      </c>
      <c r="M133" s="22"/>
      <c r="N133" s="44"/>
      <c r="O133" s="23" t="s">
        <v>16</v>
      </c>
      <c r="P133" s="24"/>
      <c r="Q133" s="25"/>
    </row>
    <row r="134" spans="1:17">
      <c r="A134" s="14">
        <v>130</v>
      </c>
      <c r="B134" s="15" t="s">
        <v>207</v>
      </c>
      <c r="C134" s="16">
        <f>'Медикаменты Май'!L133</f>
        <v>0</v>
      </c>
      <c r="D134" s="17"/>
      <c r="E134" s="14"/>
      <c r="F134" s="18"/>
      <c r="G134" s="19"/>
      <c r="H134" s="20"/>
      <c r="I134" s="21"/>
      <c r="J134" s="14"/>
      <c r="K134" s="14">
        <f t="shared" si="4"/>
        <v>0</v>
      </c>
      <c r="L134" s="16">
        <f t="shared" si="5"/>
        <v>0</v>
      </c>
      <c r="M134" s="22"/>
      <c r="N134" s="44"/>
      <c r="O134" s="23" t="s">
        <v>16</v>
      </c>
      <c r="P134" s="24"/>
      <c r="Q134" s="25"/>
    </row>
    <row r="135" spans="1:17">
      <c r="A135" s="14">
        <v>131</v>
      </c>
      <c r="B135" s="15" t="s">
        <v>208</v>
      </c>
      <c r="C135" s="16">
        <f>'Медикаменты Май'!L134</f>
        <v>64</v>
      </c>
      <c r="D135" s="17"/>
      <c r="E135" s="14">
        <f>36</f>
        <v>36</v>
      </c>
      <c r="F135" s="18">
        <f>20</f>
        <v>20</v>
      </c>
      <c r="G135" s="19"/>
      <c r="H135" s="20"/>
      <c r="I135" s="21"/>
      <c r="J135" s="14"/>
      <c r="K135" s="14">
        <f t="shared" si="4"/>
        <v>20</v>
      </c>
      <c r="L135" s="16">
        <f t="shared" si="5"/>
        <v>80</v>
      </c>
      <c r="M135" s="22">
        <v>44986</v>
      </c>
      <c r="N135" s="44" t="s">
        <v>552</v>
      </c>
      <c r="O135" s="23" t="s">
        <v>16</v>
      </c>
      <c r="P135" s="24" t="s">
        <v>17</v>
      </c>
      <c r="Q135" s="23" t="s">
        <v>209</v>
      </c>
    </row>
    <row r="136" spans="1:17">
      <c r="A136" s="14">
        <v>132</v>
      </c>
      <c r="B136" s="15" t="s">
        <v>210</v>
      </c>
      <c r="C136" s="16">
        <f>'Медикаменты Май'!L135</f>
        <v>16</v>
      </c>
      <c r="D136" s="17"/>
      <c r="E136" s="14"/>
      <c r="F136" s="18">
        <f>5+5+6</f>
        <v>16</v>
      </c>
      <c r="G136" s="19"/>
      <c r="H136" s="20"/>
      <c r="I136" s="21"/>
      <c r="J136" s="14"/>
      <c r="K136" s="14">
        <f t="shared" si="4"/>
        <v>16</v>
      </c>
      <c r="L136" s="16">
        <f t="shared" si="5"/>
        <v>0</v>
      </c>
      <c r="M136" s="22">
        <v>45413</v>
      </c>
      <c r="N136" s="44" t="s">
        <v>45</v>
      </c>
      <c r="O136" s="23" t="s">
        <v>16</v>
      </c>
      <c r="P136" s="24" t="s">
        <v>17</v>
      </c>
      <c r="Q136" s="23" t="s">
        <v>211</v>
      </c>
    </row>
    <row r="137" spans="1:17">
      <c r="A137" s="14">
        <v>133</v>
      </c>
      <c r="B137" s="15" t="s">
        <v>210</v>
      </c>
      <c r="C137" s="16">
        <f>'Медикаменты Май'!L136</f>
        <v>7</v>
      </c>
      <c r="D137" s="17"/>
      <c r="E137" s="14"/>
      <c r="F137" s="18"/>
      <c r="G137" s="19"/>
      <c r="H137" s="20"/>
      <c r="I137" s="21"/>
      <c r="J137" s="14"/>
      <c r="K137" s="14">
        <f t="shared" si="4"/>
        <v>0</v>
      </c>
      <c r="L137" s="16">
        <f t="shared" si="5"/>
        <v>7</v>
      </c>
      <c r="M137" s="22">
        <v>45413</v>
      </c>
      <c r="N137" s="44" t="s">
        <v>45</v>
      </c>
      <c r="O137" s="23" t="s">
        <v>26</v>
      </c>
      <c r="P137" s="24" t="s">
        <v>17</v>
      </c>
      <c r="Q137" s="23" t="s">
        <v>211</v>
      </c>
    </row>
    <row r="138" spans="1:17">
      <c r="A138" s="14">
        <v>134</v>
      </c>
      <c r="B138" s="15" t="s">
        <v>212</v>
      </c>
      <c r="C138" s="16">
        <f>'Медикаменты Май'!L137</f>
        <v>0</v>
      </c>
      <c r="D138" s="17"/>
      <c r="E138" s="14"/>
      <c r="F138" s="18"/>
      <c r="G138" s="19"/>
      <c r="H138" s="20"/>
      <c r="I138" s="21"/>
      <c r="J138" s="14"/>
      <c r="K138" s="14">
        <f t="shared" si="4"/>
        <v>0</v>
      </c>
      <c r="L138" s="16">
        <f t="shared" si="5"/>
        <v>0</v>
      </c>
      <c r="M138" s="22"/>
      <c r="N138" s="44"/>
      <c r="O138" s="23" t="s">
        <v>16</v>
      </c>
      <c r="P138" s="24"/>
      <c r="Q138" s="25"/>
    </row>
    <row r="139" spans="1:17" ht="26.25">
      <c r="A139" s="14">
        <v>135</v>
      </c>
      <c r="B139" s="15" t="s">
        <v>213</v>
      </c>
      <c r="C139" s="16">
        <f>'Медикаменты Май'!L138</f>
        <v>18</v>
      </c>
      <c r="D139" s="17"/>
      <c r="E139" s="14"/>
      <c r="F139" s="18"/>
      <c r="G139" s="19"/>
      <c r="H139" s="20"/>
      <c r="I139" s="21"/>
      <c r="J139" s="14"/>
      <c r="K139" s="14">
        <f t="shared" si="4"/>
        <v>0</v>
      </c>
      <c r="L139" s="16">
        <f t="shared" si="5"/>
        <v>18</v>
      </c>
      <c r="M139" s="22">
        <v>44409</v>
      </c>
      <c r="N139" s="44" t="s">
        <v>551</v>
      </c>
      <c r="O139" s="23" t="s">
        <v>16</v>
      </c>
      <c r="P139" s="24" t="s">
        <v>17</v>
      </c>
      <c r="Q139" s="28" t="s">
        <v>214</v>
      </c>
    </row>
    <row r="140" spans="1:17">
      <c r="A140" s="14">
        <v>136</v>
      </c>
      <c r="B140" s="15" t="s">
        <v>215</v>
      </c>
      <c r="C140" s="16">
        <f>'Медикаменты Май'!L139</f>
        <v>0</v>
      </c>
      <c r="D140" s="17"/>
      <c r="E140" s="14"/>
      <c r="F140" s="18"/>
      <c r="G140" s="19"/>
      <c r="H140" s="20"/>
      <c r="I140" s="21"/>
      <c r="J140" s="14"/>
      <c r="K140" s="14">
        <f t="shared" si="4"/>
        <v>0</v>
      </c>
      <c r="L140" s="16">
        <f t="shared" si="5"/>
        <v>0</v>
      </c>
      <c r="M140" s="22"/>
      <c r="N140" s="44"/>
      <c r="O140" s="23" t="s">
        <v>26</v>
      </c>
      <c r="P140" s="24"/>
      <c r="Q140" s="25"/>
    </row>
    <row r="141" spans="1:17" ht="26.25">
      <c r="A141" s="14">
        <v>137</v>
      </c>
      <c r="B141" s="15" t="s">
        <v>216</v>
      </c>
      <c r="C141" s="16">
        <f>'Медикаменты Май'!L140</f>
        <v>21</v>
      </c>
      <c r="D141" s="17"/>
      <c r="E141" s="14"/>
      <c r="F141" s="18"/>
      <c r="G141" s="19"/>
      <c r="H141" s="20"/>
      <c r="I141" s="21"/>
      <c r="J141" s="14"/>
      <c r="K141" s="14">
        <f t="shared" si="4"/>
        <v>0</v>
      </c>
      <c r="L141" s="16">
        <f t="shared" si="5"/>
        <v>21</v>
      </c>
      <c r="M141" s="22">
        <v>44805</v>
      </c>
      <c r="N141" s="44" t="s">
        <v>45</v>
      </c>
      <c r="O141" s="23" t="s">
        <v>16</v>
      </c>
      <c r="P141" s="24" t="s">
        <v>17</v>
      </c>
      <c r="Q141" s="28" t="s">
        <v>217</v>
      </c>
    </row>
    <row r="142" spans="1:17">
      <c r="A142" s="14">
        <v>138</v>
      </c>
      <c r="B142" s="15" t="s">
        <v>216</v>
      </c>
      <c r="C142" s="16">
        <f>'Медикаменты Май'!L141</f>
        <v>0</v>
      </c>
      <c r="D142" s="17"/>
      <c r="E142" s="14"/>
      <c r="F142" s="18"/>
      <c r="G142" s="19"/>
      <c r="H142" s="20"/>
      <c r="I142" s="21"/>
      <c r="J142" s="14"/>
      <c r="K142" s="14">
        <f t="shared" si="4"/>
        <v>0</v>
      </c>
      <c r="L142" s="16">
        <f t="shared" si="5"/>
        <v>0</v>
      </c>
      <c r="M142" s="22"/>
      <c r="N142" s="44"/>
      <c r="O142" s="23" t="s">
        <v>26</v>
      </c>
      <c r="P142" s="24"/>
      <c r="Q142" s="25"/>
    </row>
    <row r="143" spans="1:17">
      <c r="A143" s="14">
        <v>139</v>
      </c>
      <c r="B143" s="15" t="s">
        <v>218</v>
      </c>
      <c r="C143" s="16">
        <f>'Медикаменты Май'!L142</f>
        <v>0</v>
      </c>
      <c r="D143" s="17"/>
      <c r="E143" s="14"/>
      <c r="F143" s="18"/>
      <c r="G143" s="19"/>
      <c r="H143" s="20"/>
      <c r="I143" s="21"/>
      <c r="J143" s="14"/>
      <c r="K143" s="14">
        <f t="shared" si="4"/>
        <v>0</v>
      </c>
      <c r="L143" s="16">
        <f t="shared" si="5"/>
        <v>0</v>
      </c>
      <c r="M143" s="22"/>
      <c r="N143" s="44"/>
      <c r="O143" s="23" t="s">
        <v>16</v>
      </c>
      <c r="P143" s="24"/>
      <c r="Q143" s="25"/>
    </row>
    <row r="144" spans="1:17">
      <c r="A144" s="14">
        <v>140</v>
      </c>
      <c r="B144" s="15" t="s">
        <v>219</v>
      </c>
      <c r="C144" s="16">
        <f>'Медикаменты Май'!L143</f>
        <v>0</v>
      </c>
      <c r="D144" s="17"/>
      <c r="E144" s="14"/>
      <c r="F144" s="18"/>
      <c r="G144" s="19"/>
      <c r="H144" s="20"/>
      <c r="I144" s="21"/>
      <c r="J144" s="14"/>
      <c r="K144" s="14">
        <f t="shared" si="4"/>
        <v>0</v>
      </c>
      <c r="L144" s="16">
        <f t="shared" si="5"/>
        <v>0</v>
      </c>
      <c r="M144" s="22"/>
      <c r="N144" s="44"/>
      <c r="O144" s="23" t="s">
        <v>16</v>
      </c>
      <c r="P144" s="24"/>
      <c r="Q144" s="25"/>
    </row>
    <row r="145" spans="1:17">
      <c r="A145" s="14">
        <v>141</v>
      </c>
      <c r="B145" s="15" t="s">
        <v>220</v>
      </c>
      <c r="C145" s="16">
        <f>'Медикаменты Май'!L144</f>
        <v>0</v>
      </c>
      <c r="D145" s="17"/>
      <c r="E145" s="14"/>
      <c r="F145" s="18"/>
      <c r="G145" s="19"/>
      <c r="H145" s="20"/>
      <c r="I145" s="21"/>
      <c r="J145" s="14"/>
      <c r="K145" s="14">
        <f t="shared" si="4"/>
        <v>0</v>
      </c>
      <c r="L145" s="16">
        <f t="shared" si="5"/>
        <v>0</v>
      </c>
      <c r="M145" s="22">
        <v>44256</v>
      </c>
      <c r="N145" s="44"/>
      <c r="O145" s="23" t="s">
        <v>16</v>
      </c>
      <c r="P145" s="24"/>
      <c r="Q145" s="23" t="s">
        <v>221</v>
      </c>
    </row>
    <row r="146" spans="1:17">
      <c r="A146" s="14">
        <v>142</v>
      </c>
      <c r="B146" s="15" t="s">
        <v>222</v>
      </c>
      <c r="C146" s="16">
        <f>'Медикаменты Май'!L145</f>
        <v>0</v>
      </c>
      <c r="D146" s="17"/>
      <c r="E146" s="14"/>
      <c r="F146" s="18"/>
      <c r="G146" s="19"/>
      <c r="H146" s="20"/>
      <c r="I146" s="21"/>
      <c r="J146" s="14"/>
      <c r="K146" s="14">
        <f t="shared" si="4"/>
        <v>0</v>
      </c>
      <c r="L146" s="16">
        <f t="shared" si="5"/>
        <v>0</v>
      </c>
      <c r="M146" s="22">
        <v>44317</v>
      </c>
      <c r="N146" s="44" t="s">
        <v>45</v>
      </c>
      <c r="O146" s="23" t="s">
        <v>16</v>
      </c>
      <c r="P146" s="24" t="s">
        <v>17</v>
      </c>
      <c r="Q146" s="23" t="s">
        <v>223</v>
      </c>
    </row>
    <row r="147" spans="1:17">
      <c r="A147" s="14">
        <v>143</v>
      </c>
      <c r="B147" s="15" t="s">
        <v>224</v>
      </c>
      <c r="C147" s="16">
        <f>'Медикаменты Май'!L146</f>
        <v>0</v>
      </c>
      <c r="D147" s="17"/>
      <c r="E147" s="14"/>
      <c r="F147" s="18"/>
      <c r="G147" s="19"/>
      <c r="H147" s="20"/>
      <c r="I147" s="21"/>
      <c r="J147" s="14"/>
      <c r="K147" s="14">
        <f t="shared" si="4"/>
        <v>0</v>
      </c>
      <c r="L147" s="16">
        <f t="shared" si="5"/>
        <v>0</v>
      </c>
      <c r="M147" s="22">
        <v>45261</v>
      </c>
      <c r="N147" s="44"/>
      <c r="O147" s="23" t="s">
        <v>16</v>
      </c>
      <c r="P147" s="24"/>
      <c r="Q147" s="28" t="s">
        <v>225</v>
      </c>
    </row>
    <row r="148" spans="1:17">
      <c r="A148" s="14">
        <v>144</v>
      </c>
      <c r="B148" s="15" t="s">
        <v>226</v>
      </c>
      <c r="C148" s="16">
        <f>'Медикаменты Май'!L147</f>
        <v>0</v>
      </c>
      <c r="D148" s="17"/>
      <c r="E148" s="14"/>
      <c r="F148" s="18"/>
      <c r="G148" s="19"/>
      <c r="H148" s="20"/>
      <c r="I148" s="21"/>
      <c r="J148" s="14"/>
      <c r="K148" s="14">
        <f t="shared" si="4"/>
        <v>0</v>
      </c>
      <c r="L148" s="16">
        <f t="shared" si="5"/>
        <v>0</v>
      </c>
      <c r="M148" s="22"/>
      <c r="N148" s="44"/>
      <c r="O148" s="23" t="s">
        <v>16</v>
      </c>
      <c r="P148" s="24"/>
      <c r="Q148" s="25"/>
    </row>
    <row r="149" spans="1:17">
      <c r="A149" s="14">
        <v>145</v>
      </c>
      <c r="B149" s="15" t="s">
        <v>227</v>
      </c>
      <c r="C149" s="16">
        <f>'Медикаменты Май'!L148</f>
        <v>0</v>
      </c>
      <c r="D149" s="17"/>
      <c r="E149" s="14"/>
      <c r="F149" s="18"/>
      <c r="G149" s="19"/>
      <c r="H149" s="20"/>
      <c r="I149" s="21"/>
      <c r="J149" s="14"/>
      <c r="K149" s="14">
        <f t="shared" si="4"/>
        <v>0</v>
      </c>
      <c r="L149" s="16">
        <f t="shared" si="5"/>
        <v>0</v>
      </c>
      <c r="M149" s="22">
        <v>44562</v>
      </c>
      <c r="N149" s="44"/>
      <c r="O149" s="23" t="s">
        <v>16</v>
      </c>
      <c r="P149" s="24"/>
      <c r="Q149" s="23" t="s">
        <v>228</v>
      </c>
    </row>
    <row r="150" spans="1:17">
      <c r="A150" s="14">
        <v>146</v>
      </c>
      <c r="B150" s="15" t="s">
        <v>229</v>
      </c>
      <c r="C150" s="16">
        <f>'Медикаменты Май'!L149</f>
        <v>26</v>
      </c>
      <c r="D150" s="17"/>
      <c r="E150" s="14"/>
      <c r="F150" s="18">
        <f>3</f>
        <v>3</v>
      </c>
      <c r="G150" s="19"/>
      <c r="H150" s="20"/>
      <c r="I150" s="21"/>
      <c r="J150" s="14"/>
      <c r="K150" s="14">
        <f t="shared" si="4"/>
        <v>3</v>
      </c>
      <c r="L150" s="16">
        <f t="shared" si="5"/>
        <v>23</v>
      </c>
      <c r="M150" s="22">
        <v>44986</v>
      </c>
      <c r="N150" s="44" t="s">
        <v>45</v>
      </c>
      <c r="O150" s="23" t="s">
        <v>16</v>
      </c>
      <c r="P150" s="24" t="s">
        <v>17</v>
      </c>
      <c r="Q150" s="23" t="s">
        <v>230</v>
      </c>
    </row>
    <row r="151" spans="1:17">
      <c r="A151" s="14">
        <v>147</v>
      </c>
      <c r="B151" s="15" t="s">
        <v>231</v>
      </c>
      <c r="C151" s="16">
        <f>'Медикаменты Май'!L150</f>
        <v>0</v>
      </c>
      <c r="D151" s="17"/>
      <c r="E151" s="14"/>
      <c r="F151" s="18"/>
      <c r="G151" s="19"/>
      <c r="H151" s="20"/>
      <c r="I151" s="21"/>
      <c r="J151" s="14"/>
      <c r="K151" s="14">
        <f t="shared" si="4"/>
        <v>0</v>
      </c>
      <c r="L151" s="16">
        <f t="shared" si="5"/>
        <v>0</v>
      </c>
      <c r="M151" s="22"/>
      <c r="N151" s="44"/>
      <c r="O151" s="23" t="s">
        <v>16</v>
      </c>
      <c r="P151" s="24"/>
      <c r="Q151" s="25"/>
    </row>
    <row r="152" spans="1:17">
      <c r="A152" s="14">
        <v>148</v>
      </c>
      <c r="B152" s="15" t="s">
        <v>232</v>
      </c>
      <c r="C152" s="16">
        <f>'Медикаменты Май'!L151</f>
        <v>0</v>
      </c>
      <c r="D152" s="17"/>
      <c r="E152" s="14"/>
      <c r="F152" s="18"/>
      <c r="G152" s="19"/>
      <c r="H152" s="20"/>
      <c r="I152" s="21"/>
      <c r="J152" s="14"/>
      <c r="K152" s="14">
        <f t="shared" si="4"/>
        <v>0</v>
      </c>
      <c r="L152" s="16">
        <f t="shared" si="5"/>
        <v>0</v>
      </c>
      <c r="M152" s="22"/>
      <c r="N152" s="44"/>
      <c r="O152" s="23" t="s">
        <v>16</v>
      </c>
      <c r="P152" s="24"/>
      <c r="Q152" s="25"/>
    </row>
    <row r="153" spans="1:17">
      <c r="A153" s="14">
        <v>149</v>
      </c>
      <c r="B153" s="15" t="s">
        <v>233</v>
      </c>
      <c r="C153" s="16">
        <f>'Медикаменты Май'!L152</f>
        <v>0</v>
      </c>
      <c r="D153" s="17"/>
      <c r="E153" s="14"/>
      <c r="F153" s="18"/>
      <c r="G153" s="19"/>
      <c r="H153" s="20"/>
      <c r="I153" s="21"/>
      <c r="J153" s="14"/>
      <c r="K153" s="14">
        <f t="shared" si="4"/>
        <v>0</v>
      </c>
      <c r="L153" s="16">
        <f t="shared" si="5"/>
        <v>0</v>
      </c>
      <c r="M153" s="22">
        <v>44287</v>
      </c>
      <c r="N153" s="44"/>
      <c r="O153" s="23" t="s">
        <v>16</v>
      </c>
      <c r="P153" s="24" t="s">
        <v>45</v>
      </c>
      <c r="Q153" s="23" t="s">
        <v>234</v>
      </c>
    </row>
    <row r="154" spans="1:17">
      <c r="A154" s="14">
        <v>150</v>
      </c>
      <c r="B154" s="15" t="s">
        <v>235</v>
      </c>
      <c r="C154" s="16">
        <f>'Медикаменты Май'!L153</f>
        <v>0</v>
      </c>
      <c r="D154" s="17"/>
      <c r="E154" s="14"/>
      <c r="F154" s="18"/>
      <c r="G154" s="19"/>
      <c r="H154" s="20"/>
      <c r="I154" s="21"/>
      <c r="J154" s="14"/>
      <c r="K154" s="14">
        <f t="shared" si="4"/>
        <v>0</v>
      </c>
      <c r="L154" s="16">
        <f t="shared" si="5"/>
        <v>0</v>
      </c>
      <c r="M154" s="22"/>
      <c r="N154" s="44"/>
      <c r="O154" s="23" t="s">
        <v>16</v>
      </c>
      <c r="P154" s="24"/>
      <c r="Q154" s="25"/>
    </row>
    <row r="155" spans="1:17">
      <c r="A155" s="14">
        <v>151</v>
      </c>
      <c r="B155" s="15" t="s">
        <v>236</v>
      </c>
      <c r="C155" s="16">
        <f>'Медикаменты Май'!L154</f>
        <v>75</v>
      </c>
      <c r="D155" s="17"/>
      <c r="E155" s="14"/>
      <c r="F155" s="18">
        <f>5</f>
        <v>5</v>
      </c>
      <c r="G155" s="19"/>
      <c r="H155" s="20"/>
      <c r="I155" s="21"/>
      <c r="J155" s="14"/>
      <c r="K155" s="14">
        <f t="shared" si="4"/>
        <v>5</v>
      </c>
      <c r="L155" s="16">
        <f t="shared" si="5"/>
        <v>70</v>
      </c>
      <c r="M155" s="22">
        <v>44593</v>
      </c>
      <c r="N155" s="44" t="s">
        <v>45</v>
      </c>
      <c r="O155" s="23" t="s">
        <v>16</v>
      </c>
      <c r="P155" s="24" t="s">
        <v>45</v>
      </c>
      <c r="Q155" s="28" t="s">
        <v>237</v>
      </c>
    </row>
    <row r="156" spans="1:17">
      <c r="A156" s="14">
        <v>152</v>
      </c>
      <c r="B156" s="15" t="s">
        <v>238</v>
      </c>
      <c r="C156" s="16">
        <f>'Медикаменты Май'!L155</f>
        <v>0</v>
      </c>
      <c r="D156" s="17"/>
      <c r="E156" s="14"/>
      <c r="F156" s="18"/>
      <c r="G156" s="19"/>
      <c r="H156" s="20"/>
      <c r="I156" s="21"/>
      <c r="J156" s="14"/>
      <c r="K156" s="14">
        <f t="shared" si="4"/>
        <v>0</v>
      </c>
      <c r="L156" s="16">
        <f t="shared" si="5"/>
        <v>0</v>
      </c>
      <c r="M156" s="22"/>
      <c r="N156" s="44"/>
      <c r="O156" s="23" t="s">
        <v>16</v>
      </c>
      <c r="P156" s="24"/>
      <c r="Q156" s="25"/>
    </row>
    <row r="157" spans="1:17">
      <c r="A157" s="14">
        <v>153</v>
      </c>
      <c r="B157" s="15" t="s">
        <v>239</v>
      </c>
      <c r="C157" s="16">
        <f>'Медикаменты Май'!L156</f>
        <v>0</v>
      </c>
      <c r="D157" s="17"/>
      <c r="E157" s="14"/>
      <c r="F157" s="18"/>
      <c r="G157" s="19"/>
      <c r="H157" s="20"/>
      <c r="I157" s="21"/>
      <c r="J157" s="14"/>
      <c r="K157" s="14">
        <f t="shared" si="4"/>
        <v>0</v>
      </c>
      <c r="L157" s="16">
        <f t="shared" si="5"/>
        <v>0</v>
      </c>
      <c r="M157" s="22"/>
      <c r="N157" s="44"/>
      <c r="O157" s="23" t="s">
        <v>16</v>
      </c>
      <c r="P157" s="24"/>
      <c r="Q157" s="25"/>
    </row>
    <row r="158" spans="1:17">
      <c r="A158" s="14">
        <v>154</v>
      </c>
      <c r="B158" s="15" t="s">
        <v>240</v>
      </c>
      <c r="C158" s="16">
        <f>'Медикаменты Май'!L157</f>
        <v>98</v>
      </c>
      <c r="D158" s="17"/>
      <c r="E158" s="14"/>
      <c r="F158" s="18"/>
      <c r="G158" s="19"/>
      <c r="H158" s="20"/>
      <c r="I158" s="21"/>
      <c r="J158" s="14"/>
      <c r="K158" s="14">
        <f t="shared" si="4"/>
        <v>0</v>
      </c>
      <c r="L158" s="16">
        <f t="shared" si="5"/>
        <v>98</v>
      </c>
      <c r="M158" s="22">
        <v>44652</v>
      </c>
      <c r="N158" s="44" t="s">
        <v>45</v>
      </c>
      <c r="O158" s="23" t="s">
        <v>16</v>
      </c>
      <c r="P158" s="24" t="s">
        <v>17</v>
      </c>
      <c r="Q158" s="28" t="s">
        <v>241</v>
      </c>
    </row>
    <row r="159" spans="1:17">
      <c r="A159" s="14">
        <v>155</v>
      </c>
      <c r="B159" s="15" t="s">
        <v>242</v>
      </c>
      <c r="C159" s="16">
        <f>'Медикаменты Май'!L158</f>
        <v>0</v>
      </c>
      <c r="D159" s="17"/>
      <c r="E159" s="14"/>
      <c r="F159" s="18"/>
      <c r="G159" s="19"/>
      <c r="H159" s="20"/>
      <c r="I159" s="21"/>
      <c r="J159" s="14"/>
      <c r="K159" s="14">
        <f t="shared" si="4"/>
        <v>0</v>
      </c>
      <c r="L159" s="16">
        <f t="shared" si="5"/>
        <v>0</v>
      </c>
      <c r="M159" s="22"/>
      <c r="N159" s="44"/>
      <c r="O159" s="23" t="s">
        <v>16</v>
      </c>
      <c r="P159" s="24"/>
      <c r="Q159" s="25"/>
    </row>
    <row r="160" spans="1:17" ht="26.25">
      <c r="A160" s="14">
        <v>156</v>
      </c>
      <c r="B160" s="15" t="s">
        <v>243</v>
      </c>
      <c r="C160" s="16">
        <f>'Медикаменты Май'!L159</f>
        <v>149</v>
      </c>
      <c r="D160" s="17"/>
      <c r="E160" s="14"/>
      <c r="F160" s="18"/>
      <c r="G160" s="19"/>
      <c r="H160" s="20"/>
      <c r="I160" s="21"/>
      <c r="J160" s="14"/>
      <c r="K160" s="14">
        <f t="shared" si="4"/>
        <v>0</v>
      </c>
      <c r="L160" s="16">
        <f t="shared" si="5"/>
        <v>149</v>
      </c>
      <c r="M160" s="22">
        <v>44501</v>
      </c>
      <c r="N160" s="44" t="s">
        <v>45</v>
      </c>
      <c r="O160" s="23" t="s">
        <v>16</v>
      </c>
      <c r="P160" s="24" t="s">
        <v>17</v>
      </c>
      <c r="Q160" s="28" t="s">
        <v>244</v>
      </c>
    </row>
    <row r="161" spans="1:17">
      <c r="A161" s="14">
        <v>157</v>
      </c>
      <c r="B161" s="15" t="s">
        <v>245</v>
      </c>
      <c r="C161" s="16">
        <f>'Медикаменты Май'!L160</f>
        <v>0</v>
      </c>
      <c r="D161" s="17"/>
      <c r="E161" s="14"/>
      <c r="F161" s="18"/>
      <c r="G161" s="19"/>
      <c r="H161" s="20"/>
      <c r="I161" s="21"/>
      <c r="J161" s="14"/>
      <c r="K161" s="14">
        <f t="shared" si="4"/>
        <v>0</v>
      </c>
      <c r="L161" s="16">
        <f t="shared" si="5"/>
        <v>0</v>
      </c>
      <c r="M161" s="22"/>
      <c r="N161" s="44"/>
      <c r="O161" s="23" t="s">
        <v>16</v>
      </c>
      <c r="P161" s="24"/>
      <c r="Q161" s="25"/>
    </row>
    <row r="162" spans="1:17">
      <c r="A162" s="14">
        <v>158</v>
      </c>
      <c r="B162" s="15" t="s">
        <v>246</v>
      </c>
      <c r="C162" s="16">
        <f>'Медикаменты Май'!L161</f>
        <v>0</v>
      </c>
      <c r="D162" s="17"/>
      <c r="E162" s="14"/>
      <c r="F162" s="18"/>
      <c r="G162" s="19"/>
      <c r="H162" s="20"/>
      <c r="I162" s="21"/>
      <c r="J162" s="14"/>
      <c r="K162" s="14">
        <f t="shared" si="4"/>
        <v>0</v>
      </c>
      <c r="L162" s="16">
        <f t="shared" si="5"/>
        <v>0</v>
      </c>
      <c r="M162" s="22"/>
      <c r="N162" s="44"/>
      <c r="O162" s="23" t="s">
        <v>16</v>
      </c>
      <c r="P162" s="24"/>
      <c r="Q162" s="25"/>
    </row>
    <row r="163" spans="1:17">
      <c r="A163" s="14">
        <v>159</v>
      </c>
      <c r="B163" s="15" t="s">
        <v>247</v>
      </c>
      <c r="C163" s="16">
        <f>'Медикаменты Май'!L162</f>
        <v>0</v>
      </c>
      <c r="D163" s="17"/>
      <c r="E163" s="14"/>
      <c r="F163" s="18"/>
      <c r="G163" s="19"/>
      <c r="H163" s="20"/>
      <c r="I163" s="21"/>
      <c r="J163" s="14"/>
      <c r="K163" s="14">
        <f t="shared" si="4"/>
        <v>0</v>
      </c>
      <c r="L163" s="16">
        <f t="shared" si="5"/>
        <v>0</v>
      </c>
      <c r="M163" s="22"/>
      <c r="N163" s="44"/>
      <c r="O163" s="23" t="s">
        <v>16</v>
      </c>
      <c r="P163" s="24"/>
      <c r="Q163" s="25"/>
    </row>
    <row r="164" spans="1:17">
      <c r="A164" s="14">
        <v>160</v>
      </c>
      <c r="B164" s="15" t="s">
        <v>248</v>
      </c>
      <c r="C164" s="16">
        <f>'Медикаменты Май'!L163</f>
        <v>0</v>
      </c>
      <c r="D164" s="17"/>
      <c r="E164" s="14"/>
      <c r="F164" s="18"/>
      <c r="G164" s="19"/>
      <c r="H164" s="20"/>
      <c r="I164" s="21"/>
      <c r="J164" s="14"/>
      <c r="K164" s="14">
        <f t="shared" si="4"/>
        <v>0</v>
      </c>
      <c r="L164" s="16">
        <f t="shared" si="5"/>
        <v>0</v>
      </c>
      <c r="M164" s="22"/>
      <c r="N164" s="44"/>
      <c r="O164" s="23" t="s">
        <v>16</v>
      </c>
      <c r="P164" s="24"/>
      <c r="Q164" s="25"/>
    </row>
    <row r="165" spans="1:17">
      <c r="A165" s="14">
        <v>161</v>
      </c>
      <c r="B165" s="15" t="s">
        <v>249</v>
      </c>
      <c r="C165" s="16">
        <f>'Медикаменты Май'!L164</f>
        <v>0</v>
      </c>
      <c r="D165" s="17"/>
      <c r="E165" s="14"/>
      <c r="F165" s="18"/>
      <c r="G165" s="19"/>
      <c r="H165" s="20"/>
      <c r="I165" s="21"/>
      <c r="J165" s="14"/>
      <c r="K165" s="14">
        <f t="shared" si="4"/>
        <v>0</v>
      </c>
      <c r="L165" s="16">
        <f t="shared" si="5"/>
        <v>0</v>
      </c>
      <c r="M165" s="22"/>
      <c r="N165" s="44"/>
      <c r="O165" s="23" t="s">
        <v>16</v>
      </c>
      <c r="P165" s="24"/>
      <c r="Q165" s="25"/>
    </row>
    <row r="166" spans="1:17">
      <c r="A166" s="14">
        <v>162</v>
      </c>
      <c r="B166" s="15" t="s">
        <v>250</v>
      </c>
      <c r="C166" s="16">
        <f>'Медикаменты Май'!L165</f>
        <v>0</v>
      </c>
      <c r="D166" s="17"/>
      <c r="E166" s="14"/>
      <c r="F166" s="18"/>
      <c r="G166" s="19"/>
      <c r="H166" s="20"/>
      <c r="I166" s="21"/>
      <c r="J166" s="14"/>
      <c r="K166" s="14">
        <f t="shared" si="4"/>
        <v>0</v>
      </c>
      <c r="L166" s="16">
        <f t="shared" si="5"/>
        <v>0</v>
      </c>
      <c r="M166" s="22"/>
      <c r="N166" s="44"/>
      <c r="O166" s="23" t="s">
        <v>16</v>
      </c>
      <c r="P166" s="24"/>
      <c r="Q166" s="25"/>
    </row>
    <row r="167" spans="1:17">
      <c r="A167" s="14">
        <v>163</v>
      </c>
      <c r="B167" s="15" t="s">
        <v>251</v>
      </c>
      <c r="C167" s="16">
        <f>'Медикаменты Май'!L166</f>
        <v>0</v>
      </c>
      <c r="D167" s="17"/>
      <c r="E167" s="14"/>
      <c r="F167" s="18"/>
      <c r="G167" s="19"/>
      <c r="H167" s="20"/>
      <c r="I167" s="21"/>
      <c r="J167" s="14"/>
      <c r="K167" s="14">
        <f t="shared" si="4"/>
        <v>0</v>
      </c>
      <c r="L167" s="16">
        <f t="shared" si="5"/>
        <v>0</v>
      </c>
      <c r="M167" s="22">
        <v>44682</v>
      </c>
      <c r="N167" s="44" t="s">
        <v>45</v>
      </c>
      <c r="O167" s="23" t="s">
        <v>16</v>
      </c>
      <c r="P167" s="24" t="s">
        <v>45</v>
      </c>
      <c r="Q167" s="23" t="s">
        <v>252</v>
      </c>
    </row>
    <row r="168" spans="1:17">
      <c r="A168" s="14">
        <v>164</v>
      </c>
      <c r="B168" s="15" t="s">
        <v>253</v>
      </c>
      <c r="C168" s="16">
        <f>'Медикаменты Май'!L167</f>
        <v>100</v>
      </c>
      <c r="D168" s="17"/>
      <c r="E168" s="14"/>
      <c r="F168" s="18"/>
      <c r="G168" s="19"/>
      <c r="H168" s="20"/>
      <c r="I168" s="21"/>
      <c r="J168" s="14"/>
      <c r="K168" s="14">
        <f t="shared" si="4"/>
        <v>0</v>
      </c>
      <c r="L168" s="16">
        <f t="shared" si="5"/>
        <v>100</v>
      </c>
      <c r="M168" s="22">
        <v>45047</v>
      </c>
      <c r="N168" s="44" t="s">
        <v>45</v>
      </c>
      <c r="O168" s="23" t="s">
        <v>16</v>
      </c>
      <c r="P168" s="24" t="s">
        <v>17</v>
      </c>
      <c r="Q168" s="23" t="s">
        <v>254</v>
      </c>
    </row>
    <row r="169" spans="1:17">
      <c r="A169" s="14">
        <v>165</v>
      </c>
      <c r="B169" s="15" t="s">
        <v>255</v>
      </c>
      <c r="C169" s="16">
        <f>'Медикаменты Май'!L168</f>
        <v>0</v>
      </c>
      <c r="D169" s="17"/>
      <c r="E169" s="14"/>
      <c r="F169" s="18"/>
      <c r="G169" s="19"/>
      <c r="H169" s="20"/>
      <c r="I169" s="21"/>
      <c r="J169" s="14"/>
      <c r="K169" s="14">
        <f t="shared" si="4"/>
        <v>0</v>
      </c>
      <c r="L169" s="16">
        <f t="shared" si="5"/>
        <v>0</v>
      </c>
      <c r="M169" s="22">
        <v>44562</v>
      </c>
      <c r="N169" s="44"/>
      <c r="O169" s="23" t="s">
        <v>26</v>
      </c>
      <c r="P169" s="24"/>
      <c r="Q169" s="23"/>
    </row>
    <row r="170" spans="1:17">
      <c r="A170" s="14">
        <v>166</v>
      </c>
      <c r="B170" s="15" t="s">
        <v>256</v>
      </c>
      <c r="C170" s="16">
        <f>'Медикаменты Май'!L169</f>
        <v>0</v>
      </c>
      <c r="D170" s="17"/>
      <c r="E170" s="14"/>
      <c r="F170" s="18"/>
      <c r="G170" s="19"/>
      <c r="H170" s="20"/>
      <c r="I170" s="21"/>
      <c r="J170" s="14"/>
      <c r="K170" s="14">
        <f t="shared" si="4"/>
        <v>0</v>
      </c>
      <c r="L170" s="16">
        <f t="shared" si="5"/>
        <v>0</v>
      </c>
      <c r="M170" s="22">
        <v>44044</v>
      </c>
      <c r="N170" s="44"/>
      <c r="O170" s="23" t="s">
        <v>16</v>
      </c>
      <c r="P170" s="24"/>
      <c r="Q170" s="25"/>
    </row>
    <row r="171" spans="1:17">
      <c r="A171" s="14">
        <v>167</v>
      </c>
      <c r="B171" s="15" t="s">
        <v>257</v>
      </c>
      <c r="C171" s="16">
        <f>'Медикаменты Май'!L170</f>
        <v>0</v>
      </c>
      <c r="D171" s="17"/>
      <c r="E171" s="14"/>
      <c r="F171" s="18"/>
      <c r="G171" s="19"/>
      <c r="H171" s="20"/>
      <c r="I171" s="21"/>
      <c r="J171" s="14"/>
      <c r="K171" s="14">
        <f t="shared" si="4"/>
        <v>0</v>
      </c>
      <c r="L171" s="16">
        <f t="shared" si="5"/>
        <v>0</v>
      </c>
      <c r="M171" s="22">
        <v>44287</v>
      </c>
      <c r="N171" s="44"/>
      <c r="O171" s="23" t="s">
        <v>16</v>
      </c>
      <c r="P171" s="24" t="s">
        <v>17</v>
      </c>
      <c r="Q171" s="23" t="s">
        <v>258</v>
      </c>
    </row>
    <row r="172" spans="1:17">
      <c r="A172" s="14">
        <v>168</v>
      </c>
      <c r="B172" s="15" t="s">
        <v>259</v>
      </c>
      <c r="C172" s="16">
        <f>'Медикаменты Май'!L171</f>
        <v>13</v>
      </c>
      <c r="D172" s="17"/>
      <c r="E172" s="14"/>
      <c r="F172" s="18"/>
      <c r="G172" s="19"/>
      <c r="H172" s="20"/>
      <c r="I172" s="21"/>
      <c r="J172" s="14"/>
      <c r="K172" s="14">
        <f t="shared" si="4"/>
        <v>0</v>
      </c>
      <c r="L172" s="16">
        <f t="shared" si="5"/>
        <v>13</v>
      </c>
      <c r="M172" s="22">
        <v>44531</v>
      </c>
      <c r="N172" s="44" t="s">
        <v>45</v>
      </c>
      <c r="O172" s="23" t="s">
        <v>16</v>
      </c>
      <c r="P172" s="24" t="s">
        <v>17</v>
      </c>
      <c r="Q172" s="28" t="s">
        <v>260</v>
      </c>
    </row>
    <row r="173" spans="1:17">
      <c r="A173" s="14">
        <v>169</v>
      </c>
      <c r="B173" s="15" t="s">
        <v>261</v>
      </c>
      <c r="C173" s="16">
        <f>'Медикаменты Май'!L172</f>
        <v>0</v>
      </c>
      <c r="D173" s="17"/>
      <c r="E173" s="14"/>
      <c r="F173" s="18"/>
      <c r="G173" s="19"/>
      <c r="H173" s="20"/>
      <c r="I173" s="21"/>
      <c r="J173" s="14"/>
      <c r="K173" s="14">
        <f t="shared" si="4"/>
        <v>0</v>
      </c>
      <c r="L173" s="16">
        <f t="shared" si="5"/>
        <v>0</v>
      </c>
      <c r="M173" s="22">
        <v>44440</v>
      </c>
      <c r="N173" s="44"/>
      <c r="O173" s="23" t="s">
        <v>16</v>
      </c>
      <c r="P173" s="24"/>
      <c r="Q173" s="28" t="s">
        <v>262</v>
      </c>
    </row>
    <row r="174" spans="1:17">
      <c r="A174" s="14">
        <v>170</v>
      </c>
      <c r="B174" s="15" t="s">
        <v>261</v>
      </c>
      <c r="C174" s="16">
        <f>'Медикаменты Май'!L173</f>
        <v>30</v>
      </c>
      <c r="D174" s="17"/>
      <c r="E174" s="14"/>
      <c r="F174" s="18">
        <f>5</f>
        <v>5</v>
      </c>
      <c r="G174" s="19"/>
      <c r="H174" s="20"/>
      <c r="I174" s="21"/>
      <c r="J174" s="14"/>
      <c r="K174" s="14">
        <f t="shared" si="4"/>
        <v>5</v>
      </c>
      <c r="L174" s="16">
        <f t="shared" si="5"/>
        <v>25</v>
      </c>
      <c r="M174" s="22">
        <v>44501</v>
      </c>
      <c r="N174" s="44" t="s">
        <v>45</v>
      </c>
      <c r="O174" s="23" t="s">
        <v>16</v>
      </c>
      <c r="P174" s="24" t="s">
        <v>17</v>
      </c>
      <c r="Q174" s="28" t="s">
        <v>262</v>
      </c>
    </row>
    <row r="175" spans="1:17">
      <c r="A175" s="14">
        <v>171</v>
      </c>
      <c r="B175" s="15" t="s">
        <v>263</v>
      </c>
      <c r="C175" s="16">
        <f>'Медикаменты Май'!L174</f>
        <v>0</v>
      </c>
      <c r="D175" s="17"/>
      <c r="E175" s="14"/>
      <c r="F175" s="18"/>
      <c r="G175" s="19"/>
      <c r="H175" s="20"/>
      <c r="I175" s="21"/>
      <c r="J175" s="14"/>
      <c r="K175" s="14">
        <f t="shared" si="4"/>
        <v>0</v>
      </c>
      <c r="L175" s="16">
        <f t="shared" si="5"/>
        <v>0</v>
      </c>
      <c r="M175" s="22"/>
      <c r="N175" s="44"/>
      <c r="O175" s="23" t="s">
        <v>16</v>
      </c>
      <c r="P175" s="24"/>
      <c r="Q175" s="25"/>
    </row>
    <row r="176" spans="1:17">
      <c r="A176" s="14">
        <v>172</v>
      </c>
      <c r="B176" s="15" t="s">
        <v>264</v>
      </c>
      <c r="C176" s="16">
        <f>'Медикаменты Май'!L175</f>
        <v>0</v>
      </c>
      <c r="D176" s="17"/>
      <c r="E176" s="14"/>
      <c r="F176" s="18"/>
      <c r="G176" s="19"/>
      <c r="H176" s="20"/>
      <c r="I176" s="21"/>
      <c r="J176" s="14"/>
      <c r="K176" s="14">
        <f t="shared" si="4"/>
        <v>0</v>
      </c>
      <c r="L176" s="16">
        <f t="shared" si="5"/>
        <v>0</v>
      </c>
      <c r="M176" s="22"/>
      <c r="N176" s="44"/>
      <c r="O176" s="23" t="s">
        <v>16</v>
      </c>
      <c r="P176" s="24"/>
      <c r="Q176" s="25"/>
    </row>
    <row r="177" spans="1:17">
      <c r="A177" s="14">
        <v>173</v>
      </c>
      <c r="B177" s="15" t="s">
        <v>265</v>
      </c>
      <c r="C177" s="16">
        <f>'Медикаменты Май'!L176</f>
        <v>0</v>
      </c>
      <c r="D177" s="17"/>
      <c r="E177" s="14"/>
      <c r="F177" s="18"/>
      <c r="G177" s="19"/>
      <c r="H177" s="20"/>
      <c r="I177" s="21"/>
      <c r="J177" s="14"/>
      <c r="K177" s="14">
        <f t="shared" si="4"/>
        <v>0</v>
      </c>
      <c r="L177" s="16">
        <f t="shared" si="5"/>
        <v>0</v>
      </c>
      <c r="M177" s="22"/>
      <c r="N177" s="44"/>
      <c r="O177" s="23" t="s">
        <v>16</v>
      </c>
      <c r="P177" s="24"/>
      <c r="Q177" s="25"/>
    </row>
    <row r="178" spans="1:17">
      <c r="A178" s="14">
        <v>174</v>
      </c>
      <c r="B178" s="15" t="s">
        <v>266</v>
      </c>
      <c r="C178" s="16">
        <f>'Медикаменты Май'!L177</f>
        <v>0</v>
      </c>
      <c r="D178" s="17"/>
      <c r="E178" s="14"/>
      <c r="F178" s="18"/>
      <c r="G178" s="19"/>
      <c r="H178" s="20"/>
      <c r="I178" s="21"/>
      <c r="J178" s="14"/>
      <c r="K178" s="14">
        <f t="shared" si="4"/>
        <v>0</v>
      </c>
      <c r="L178" s="16">
        <f t="shared" si="5"/>
        <v>0</v>
      </c>
      <c r="M178" s="22"/>
      <c r="N178" s="44"/>
      <c r="O178" s="23" t="s">
        <v>16</v>
      </c>
      <c r="P178" s="24"/>
      <c r="Q178" s="25"/>
    </row>
    <row r="179" spans="1:17">
      <c r="A179" s="14">
        <v>175</v>
      </c>
      <c r="B179" s="15" t="s">
        <v>267</v>
      </c>
      <c r="C179" s="16">
        <f>'Медикаменты Май'!L178</f>
        <v>0</v>
      </c>
      <c r="D179" s="17"/>
      <c r="E179" s="14"/>
      <c r="F179" s="18"/>
      <c r="G179" s="19"/>
      <c r="H179" s="20"/>
      <c r="I179" s="21"/>
      <c r="J179" s="14"/>
      <c r="K179" s="14">
        <f t="shared" si="4"/>
        <v>0</v>
      </c>
      <c r="L179" s="16">
        <f t="shared" si="5"/>
        <v>0</v>
      </c>
      <c r="M179" s="22"/>
      <c r="N179" s="44"/>
      <c r="O179" s="23" t="s">
        <v>16</v>
      </c>
      <c r="P179" s="24"/>
      <c r="Q179" s="25"/>
    </row>
    <row r="180" spans="1:17">
      <c r="A180" s="14">
        <v>176</v>
      </c>
      <c r="B180" s="15" t="s">
        <v>268</v>
      </c>
      <c r="C180" s="16">
        <f>'Медикаменты Май'!L179</f>
        <v>0</v>
      </c>
      <c r="D180" s="17"/>
      <c r="E180" s="14"/>
      <c r="F180" s="18"/>
      <c r="G180" s="19"/>
      <c r="H180" s="20"/>
      <c r="I180" s="21"/>
      <c r="J180" s="14"/>
      <c r="K180" s="14">
        <f t="shared" si="4"/>
        <v>0</v>
      </c>
      <c r="L180" s="16">
        <f t="shared" si="5"/>
        <v>0</v>
      </c>
      <c r="M180" s="22">
        <v>45323</v>
      </c>
      <c r="N180" s="44"/>
      <c r="O180" s="23" t="s">
        <v>16</v>
      </c>
      <c r="P180" s="24"/>
      <c r="Q180" s="28" t="s">
        <v>269</v>
      </c>
    </row>
    <row r="181" spans="1:17">
      <c r="A181" s="14">
        <v>177</v>
      </c>
      <c r="B181" s="15" t="s">
        <v>268</v>
      </c>
      <c r="C181" s="16">
        <f>'Медикаменты Май'!L180</f>
        <v>0</v>
      </c>
      <c r="D181" s="17"/>
      <c r="E181" s="14"/>
      <c r="F181" s="18"/>
      <c r="G181" s="19"/>
      <c r="H181" s="20"/>
      <c r="I181" s="21"/>
      <c r="J181" s="14"/>
      <c r="K181" s="14">
        <f t="shared" si="4"/>
        <v>0</v>
      </c>
      <c r="L181" s="16">
        <f t="shared" si="5"/>
        <v>0</v>
      </c>
      <c r="M181" s="22">
        <v>45323</v>
      </c>
      <c r="N181" s="44"/>
      <c r="O181" s="23" t="s">
        <v>26</v>
      </c>
      <c r="P181" s="24"/>
      <c r="Q181" s="28" t="s">
        <v>269</v>
      </c>
    </row>
    <row r="182" spans="1:17">
      <c r="A182" s="14">
        <v>178</v>
      </c>
      <c r="B182" s="15" t="s">
        <v>270</v>
      </c>
      <c r="C182" s="16">
        <f>'Медикаменты Май'!L181</f>
        <v>0</v>
      </c>
      <c r="D182" s="17"/>
      <c r="E182" s="14"/>
      <c r="F182" s="18"/>
      <c r="G182" s="19"/>
      <c r="H182" s="20"/>
      <c r="I182" s="21"/>
      <c r="J182" s="14"/>
      <c r="K182" s="14">
        <f t="shared" si="4"/>
        <v>0</v>
      </c>
      <c r="L182" s="16">
        <f t="shared" si="5"/>
        <v>0</v>
      </c>
      <c r="M182" s="22">
        <v>44075</v>
      </c>
      <c r="N182" s="44"/>
      <c r="O182" s="23" t="s">
        <v>16</v>
      </c>
      <c r="P182" s="24"/>
      <c r="Q182" s="23" t="s">
        <v>271</v>
      </c>
    </row>
    <row r="183" spans="1:17">
      <c r="A183" s="14">
        <v>179</v>
      </c>
      <c r="B183" s="15" t="s">
        <v>272</v>
      </c>
      <c r="C183" s="16">
        <f>'Медикаменты Май'!L182</f>
        <v>19</v>
      </c>
      <c r="D183" s="17"/>
      <c r="E183" s="14"/>
      <c r="F183" s="18">
        <f>5</f>
        <v>5</v>
      </c>
      <c r="G183" s="19"/>
      <c r="H183" s="20"/>
      <c r="I183" s="21"/>
      <c r="J183" s="14"/>
      <c r="K183" s="14">
        <f t="shared" si="4"/>
        <v>5</v>
      </c>
      <c r="L183" s="16">
        <f t="shared" si="5"/>
        <v>14</v>
      </c>
      <c r="M183" s="22">
        <v>45352</v>
      </c>
      <c r="N183" s="44" t="s">
        <v>551</v>
      </c>
      <c r="O183" s="23" t="s">
        <v>16</v>
      </c>
      <c r="P183" s="24" t="s">
        <v>17</v>
      </c>
      <c r="Q183" s="23" t="s">
        <v>273</v>
      </c>
    </row>
    <row r="184" spans="1:17">
      <c r="A184" s="14">
        <v>180</v>
      </c>
      <c r="B184" s="15" t="s">
        <v>274</v>
      </c>
      <c r="C184" s="16">
        <f>'Медикаменты Май'!L183</f>
        <v>0</v>
      </c>
      <c r="D184" s="17"/>
      <c r="E184" s="14"/>
      <c r="F184" s="18"/>
      <c r="G184" s="19"/>
      <c r="H184" s="20"/>
      <c r="I184" s="21"/>
      <c r="J184" s="14"/>
      <c r="K184" s="14">
        <f t="shared" si="4"/>
        <v>0</v>
      </c>
      <c r="L184" s="16">
        <f t="shared" si="5"/>
        <v>0</v>
      </c>
      <c r="M184" s="22">
        <v>44593</v>
      </c>
      <c r="N184" s="44"/>
      <c r="O184" s="23" t="s">
        <v>16</v>
      </c>
      <c r="P184" s="24"/>
      <c r="Q184" s="23" t="s">
        <v>275</v>
      </c>
    </row>
    <row r="185" spans="1:17">
      <c r="A185" s="14">
        <v>181</v>
      </c>
      <c r="B185" s="15" t="s">
        <v>276</v>
      </c>
      <c r="C185" s="16">
        <f>'Медикаменты Май'!L184</f>
        <v>0</v>
      </c>
      <c r="D185" s="17"/>
      <c r="E185" s="14"/>
      <c r="F185" s="18"/>
      <c r="G185" s="19"/>
      <c r="H185" s="20"/>
      <c r="I185" s="21"/>
      <c r="J185" s="14"/>
      <c r="K185" s="14">
        <f t="shared" si="4"/>
        <v>0</v>
      </c>
      <c r="L185" s="16">
        <f t="shared" si="5"/>
        <v>0</v>
      </c>
      <c r="M185" s="22"/>
      <c r="N185" s="44"/>
      <c r="O185" s="23" t="s">
        <v>16</v>
      </c>
      <c r="P185" s="24"/>
      <c r="Q185" s="25"/>
    </row>
    <row r="186" spans="1:17">
      <c r="A186" s="14">
        <v>182</v>
      </c>
      <c r="B186" s="15" t="s">
        <v>277</v>
      </c>
      <c r="C186" s="16">
        <f>'Медикаменты Май'!L185</f>
        <v>12</v>
      </c>
      <c r="D186" s="17"/>
      <c r="E186" s="14"/>
      <c r="F186" s="18"/>
      <c r="G186" s="19"/>
      <c r="H186" s="20"/>
      <c r="I186" s="21"/>
      <c r="J186" s="14"/>
      <c r="K186" s="14">
        <f t="shared" si="4"/>
        <v>0</v>
      </c>
      <c r="L186" s="16">
        <f t="shared" si="5"/>
        <v>12</v>
      </c>
      <c r="M186" s="22">
        <v>44409</v>
      </c>
      <c r="N186" s="44" t="s">
        <v>45</v>
      </c>
      <c r="O186" s="23" t="s">
        <v>16</v>
      </c>
      <c r="P186" s="24" t="s">
        <v>17</v>
      </c>
      <c r="Q186" s="28" t="s">
        <v>278</v>
      </c>
    </row>
    <row r="187" spans="1:17">
      <c r="A187" s="14">
        <v>183</v>
      </c>
      <c r="B187" s="15" t="s">
        <v>279</v>
      </c>
      <c r="C187" s="16">
        <f>'Медикаменты Май'!L186</f>
        <v>0</v>
      </c>
      <c r="D187" s="17"/>
      <c r="E187" s="14"/>
      <c r="F187" s="18"/>
      <c r="G187" s="19"/>
      <c r="H187" s="20"/>
      <c r="I187" s="21"/>
      <c r="J187" s="14"/>
      <c r="K187" s="14">
        <f t="shared" si="4"/>
        <v>0</v>
      </c>
      <c r="L187" s="16">
        <f t="shared" si="5"/>
        <v>0</v>
      </c>
      <c r="M187" s="22">
        <v>44378</v>
      </c>
      <c r="N187" s="44" t="s">
        <v>45</v>
      </c>
      <c r="O187" s="23" t="s">
        <v>16</v>
      </c>
      <c r="P187" s="24" t="s">
        <v>17</v>
      </c>
      <c r="Q187" s="23" t="s">
        <v>280</v>
      </c>
    </row>
    <row r="188" spans="1:17">
      <c r="A188" s="14">
        <v>184</v>
      </c>
      <c r="B188" s="15" t="s">
        <v>281</v>
      </c>
      <c r="C188" s="16">
        <f>'Медикаменты Май'!L187</f>
        <v>0</v>
      </c>
      <c r="D188" s="17"/>
      <c r="E188" s="14"/>
      <c r="F188" s="18"/>
      <c r="G188" s="19"/>
      <c r="H188" s="20"/>
      <c r="I188" s="21"/>
      <c r="J188" s="14"/>
      <c r="K188" s="14">
        <f t="shared" si="4"/>
        <v>0</v>
      </c>
      <c r="L188" s="16">
        <f t="shared" si="5"/>
        <v>0</v>
      </c>
      <c r="M188" s="22">
        <v>44593</v>
      </c>
      <c r="N188" s="44" t="s">
        <v>45</v>
      </c>
      <c r="O188" s="23" t="s">
        <v>16</v>
      </c>
      <c r="P188" s="24" t="s">
        <v>17</v>
      </c>
      <c r="Q188" s="23" t="s">
        <v>282</v>
      </c>
    </row>
    <row r="189" spans="1:17">
      <c r="A189" s="14">
        <v>185</v>
      </c>
      <c r="B189" s="15" t="s">
        <v>553</v>
      </c>
      <c r="C189" s="16">
        <f>'Медикаменты Май'!L188</f>
        <v>12</v>
      </c>
      <c r="D189" s="17"/>
      <c r="E189" s="14"/>
      <c r="F189" s="18"/>
      <c r="G189" s="19"/>
      <c r="H189" s="20"/>
      <c r="I189" s="21"/>
      <c r="J189" s="14"/>
      <c r="K189" s="14">
        <f t="shared" si="4"/>
        <v>0</v>
      </c>
      <c r="L189" s="16">
        <f t="shared" si="5"/>
        <v>12</v>
      </c>
      <c r="M189" s="22">
        <v>44835</v>
      </c>
      <c r="N189" s="44" t="s">
        <v>45</v>
      </c>
      <c r="O189" s="23" t="s">
        <v>16</v>
      </c>
      <c r="P189" s="24" t="s">
        <v>17</v>
      </c>
      <c r="Q189" s="23" t="s">
        <v>554</v>
      </c>
    </row>
    <row r="190" spans="1:17">
      <c r="A190" s="14">
        <v>186</v>
      </c>
      <c r="B190" s="15" t="s">
        <v>283</v>
      </c>
      <c r="C190" s="16">
        <f>'Медикаменты Май'!L189</f>
        <v>0</v>
      </c>
      <c r="D190" s="17"/>
      <c r="E190" s="14"/>
      <c r="F190" s="18"/>
      <c r="G190" s="19"/>
      <c r="H190" s="20"/>
      <c r="I190" s="21"/>
      <c r="J190" s="14"/>
      <c r="K190" s="14">
        <f t="shared" si="4"/>
        <v>0</v>
      </c>
      <c r="L190" s="16">
        <f t="shared" si="5"/>
        <v>0</v>
      </c>
      <c r="M190" s="22">
        <v>44136</v>
      </c>
      <c r="N190" s="44"/>
      <c r="O190" s="23" t="s">
        <v>16</v>
      </c>
      <c r="P190" s="24"/>
      <c r="Q190" s="23" t="s">
        <v>284</v>
      </c>
    </row>
    <row r="191" spans="1:17">
      <c r="A191" s="14">
        <v>187</v>
      </c>
      <c r="B191" s="15" t="s">
        <v>285</v>
      </c>
      <c r="C191" s="16">
        <f>'Медикаменты Май'!L190</f>
        <v>0</v>
      </c>
      <c r="D191" s="17"/>
      <c r="E191" s="14"/>
      <c r="F191" s="18"/>
      <c r="G191" s="19"/>
      <c r="H191" s="20"/>
      <c r="I191" s="21"/>
      <c r="J191" s="14"/>
      <c r="K191" s="14">
        <f t="shared" si="4"/>
        <v>0</v>
      </c>
      <c r="L191" s="16">
        <f t="shared" si="5"/>
        <v>0</v>
      </c>
      <c r="M191" s="22"/>
      <c r="N191" s="44"/>
      <c r="O191" s="23" t="s">
        <v>16</v>
      </c>
      <c r="P191" s="24"/>
      <c r="Q191" s="25"/>
    </row>
    <row r="192" spans="1:17">
      <c r="A192" s="14">
        <v>188</v>
      </c>
      <c r="B192" s="15" t="s">
        <v>286</v>
      </c>
      <c r="C192" s="16">
        <f>'Медикаменты Май'!L191</f>
        <v>0</v>
      </c>
      <c r="D192" s="17"/>
      <c r="E192" s="14"/>
      <c r="F192" s="18"/>
      <c r="G192" s="19"/>
      <c r="H192" s="20"/>
      <c r="I192" s="21"/>
      <c r="J192" s="14"/>
      <c r="K192" s="14">
        <f t="shared" si="4"/>
        <v>0</v>
      </c>
      <c r="L192" s="16">
        <f t="shared" si="5"/>
        <v>0</v>
      </c>
      <c r="M192" s="22">
        <v>44197</v>
      </c>
      <c r="N192" s="44"/>
      <c r="O192" s="23" t="s">
        <v>16</v>
      </c>
      <c r="P192" s="24"/>
      <c r="Q192" s="23" t="s">
        <v>287</v>
      </c>
    </row>
    <row r="193" spans="1:17">
      <c r="A193" s="14">
        <v>189</v>
      </c>
      <c r="B193" s="15" t="s">
        <v>288</v>
      </c>
      <c r="C193" s="16">
        <f>'Медикаменты Май'!L192</f>
        <v>0</v>
      </c>
      <c r="D193" s="17"/>
      <c r="E193" s="14"/>
      <c r="F193" s="18"/>
      <c r="G193" s="19"/>
      <c r="H193" s="20"/>
      <c r="I193" s="21"/>
      <c r="J193" s="14"/>
      <c r="K193" s="14">
        <f t="shared" si="4"/>
        <v>0</v>
      </c>
      <c r="L193" s="16">
        <f t="shared" si="5"/>
        <v>0</v>
      </c>
      <c r="M193" s="22">
        <v>44105</v>
      </c>
      <c r="N193" s="44"/>
      <c r="O193" s="23" t="s">
        <v>16</v>
      </c>
      <c r="P193" s="24"/>
      <c r="Q193" s="28" t="s">
        <v>289</v>
      </c>
    </row>
    <row r="194" spans="1:17">
      <c r="A194" s="14">
        <v>190</v>
      </c>
      <c r="B194" s="15" t="s">
        <v>290</v>
      </c>
      <c r="C194" s="16">
        <f>'Медикаменты Май'!L193</f>
        <v>0</v>
      </c>
      <c r="D194" s="17"/>
      <c r="E194" s="14"/>
      <c r="F194" s="18"/>
      <c r="G194" s="19"/>
      <c r="H194" s="20"/>
      <c r="I194" s="21"/>
      <c r="J194" s="14"/>
      <c r="K194" s="14">
        <f t="shared" si="4"/>
        <v>0</v>
      </c>
      <c r="L194" s="16">
        <f t="shared" si="5"/>
        <v>0</v>
      </c>
      <c r="M194" s="22">
        <v>44317</v>
      </c>
      <c r="N194" s="44" t="s">
        <v>45</v>
      </c>
      <c r="O194" s="23" t="s">
        <v>16</v>
      </c>
      <c r="P194" s="24" t="s">
        <v>17</v>
      </c>
      <c r="Q194" s="23" t="s">
        <v>291</v>
      </c>
    </row>
    <row r="195" spans="1:17">
      <c r="A195" s="14">
        <v>191</v>
      </c>
      <c r="B195" s="15" t="s">
        <v>292</v>
      </c>
      <c r="C195" s="16">
        <f>'Медикаменты Май'!L194</f>
        <v>0</v>
      </c>
      <c r="D195" s="17"/>
      <c r="E195" s="14"/>
      <c r="F195" s="18"/>
      <c r="G195" s="19"/>
      <c r="H195" s="20"/>
      <c r="I195" s="21"/>
      <c r="J195" s="14"/>
      <c r="K195" s="14">
        <f t="shared" si="4"/>
        <v>0</v>
      </c>
      <c r="L195" s="16">
        <f t="shared" si="5"/>
        <v>0</v>
      </c>
      <c r="M195" s="22">
        <v>44197</v>
      </c>
      <c r="N195" s="44"/>
      <c r="O195" s="23" t="s">
        <v>16</v>
      </c>
      <c r="P195" s="24"/>
      <c r="Q195" s="23" t="s">
        <v>293</v>
      </c>
    </row>
    <row r="196" spans="1:17">
      <c r="A196" s="14">
        <v>192</v>
      </c>
      <c r="B196" s="15" t="s">
        <v>292</v>
      </c>
      <c r="C196" s="16">
        <f>'Медикаменты Май'!L195</f>
        <v>21</v>
      </c>
      <c r="D196" s="17"/>
      <c r="E196" s="14"/>
      <c r="F196" s="18"/>
      <c r="G196" s="19"/>
      <c r="H196" s="20"/>
      <c r="I196" s="21"/>
      <c r="J196" s="14"/>
      <c r="K196" s="14">
        <f t="shared" si="4"/>
        <v>0</v>
      </c>
      <c r="L196" s="16">
        <f t="shared" si="5"/>
        <v>21</v>
      </c>
      <c r="M196" s="22">
        <v>44713</v>
      </c>
      <c r="N196" s="44" t="s">
        <v>45</v>
      </c>
      <c r="O196" s="23" t="s">
        <v>16</v>
      </c>
      <c r="P196" s="24" t="s">
        <v>45</v>
      </c>
      <c r="Q196" s="23" t="s">
        <v>293</v>
      </c>
    </row>
    <row r="197" spans="1:17">
      <c r="A197" s="14">
        <v>193</v>
      </c>
      <c r="B197" s="15" t="s">
        <v>294</v>
      </c>
      <c r="C197" s="16">
        <f>'Медикаменты Май'!L196</f>
        <v>0</v>
      </c>
      <c r="D197" s="17"/>
      <c r="E197" s="14"/>
      <c r="F197" s="18"/>
      <c r="G197" s="19"/>
      <c r="H197" s="20"/>
      <c r="I197" s="21"/>
      <c r="J197" s="14"/>
      <c r="K197" s="14">
        <f t="shared" ref="K197:K260" si="6">SUM(F197:J197)</f>
        <v>0</v>
      </c>
      <c r="L197" s="16">
        <f t="shared" ref="L197:L260" si="7">(C197+E197)-K197</f>
        <v>0</v>
      </c>
      <c r="M197" s="22">
        <v>44409</v>
      </c>
      <c r="N197" s="44" t="s">
        <v>45</v>
      </c>
      <c r="O197" s="23" t="s">
        <v>16</v>
      </c>
      <c r="P197" s="24" t="s">
        <v>45</v>
      </c>
      <c r="Q197" s="23" t="s">
        <v>295</v>
      </c>
    </row>
    <row r="198" spans="1:17">
      <c r="A198" s="14">
        <v>194</v>
      </c>
      <c r="B198" s="15" t="s">
        <v>296</v>
      </c>
      <c r="C198" s="16">
        <f>'Медикаменты Май'!L197</f>
        <v>0</v>
      </c>
      <c r="D198" s="17"/>
      <c r="E198" s="14"/>
      <c r="F198" s="18"/>
      <c r="G198" s="19"/>
      <c r="H198" s="20"/>
      <c r="I198" s="21"/>
      <c r="J198" s="14"/>
      <c r="K198" s="14">
        <f t="shared" si="6"/>
        <v>0</v>
      </c>
      <c r="L198" s="16">
        <f t="shared" si="7"/>
        <v>0</v>
      </c>
      <c r="M198" s="22"/>
      <c r="N198" s="44"/>
      <c r="O198" s="23" t="s">
        <v>16</v>
      </c>
      <c r="P198" s="24"/>
      <c r="Q198" s="25"/>
    </row>
    <row r="199" spans="1:17">
      <c r="A199" s="14">
        <v>195</v>
      </c>
      <c r="B199" s="15" t="s">
        <v>297</v>
      </c>
      <c r="C199" s="16">
        <f>'Медикаменты Май'!L198</f>
        <v>0</v>
      </c>
      <c r="D199" s="17"/>
      <c r="E199" s="14"/>
      <c r="F199" s="18"/>
      <c r="G199" s="19"/>
      <c r="H199" s="20"/>
      <c r="I199" s="21"/>
      <c r="J199" s="14"/>
      <c r="K199" s="14">
        <f t="shared" si="6"/>
        <v>0</v>
      </c>
      <c r="L199" s="16">
        <f t="shared" si="7"/>
        <v>0</v>
      </c>
      <c r="M199" s="22"/>
      <c r="N199" s="44"/>
      <c r="O199" s="23" t="s">
        <v>16</v>
      </c>
      <c r="P199" s="24"/>
      <c r="Q199" s="25"/>
    </row>
    <row r="200" spans="1:17" ht="25.5">
      <c r="A200" s="14">
        <v>196</v>
      </c>
      <c r="B200" s="15" t="s">
        <v>298</v>
      </c>
      <c r="C200" s="16">
        <f>'Медикаменты Май'!L199</f>
        <v>0</v>
      </c>
      <c r="D200" s="17"/>
      <c r="E200" s="14"/>
      <c r="F200" s="18"/>
      <c r="G200" s="19"/>
      <c r="H200" s="20"/>
      <c r="I200" s="21"/>
      <c r="J200" s="14"/>
      <c r="K200" s="14">
        <f t="shared" si="6"/>
        <v>0</v>
      </c>
      <c r="L200" s="16">
        <f t="shared" si="7"/>
        <v>0</v>
      </c>
      <c r="M200" s="22">
        <v>44593</v>
      </c>
      <c r="N200" s="44"/>
      <c r="O200" s="23" t="s">
        <v>26</v>
      </c>
      <c r="P200" s="24"/>
      <c r="Q200" s="23"/>
    </row>
    <row r="201" spans="1:17">
      <c r="A201" s="14">
        <v>197</v>
      </c>
      <c r="B201" s="15" t="s">
        <v>299</v>
      </c>
      <c r="C201" s="16">
        <f>'Медикаменты Май'!L200</f>
        <v>0</v>
      </c>
      <c r="D201" s="17"/>
      <c r="E201" s="14"/>
      <c r="F201" s="18"/>
      <c r="G201" s="19"/>
      <c r="H201" s="20"/>
      <c r="I201" s="21"/>
      <c r="J201" s="14"/>
      <c r="K201" s="14">
        <f t="shared" si="6"/>
        <v>0</v>
      </c>
      <c r="L201" s="16">
        <f t="shared" si="7"/>
        <v>0</v>
      </c>
      <c r="M201" s="22">
        <v>44256</v>
      </c>
      <c r="N201" s="44"/>
      <c r="O201" s="23" t="s">
        <v>16</v>
      </c>
      <c r="P201" s="24"/>
      <c r="Q201" s="23" t="s">
        <v>300</v>
      </c>
    </row>
    <row r="202" spans="1:17">
      <c r="A202" s="14">
        <v>198</v>
      </c>
      <c r="B202" s="15" t="s">
        <v>301</v>
      </c>
      <c r="C202" s="16">
        <f>'Медикаменты Май'!L201</f>
        <v>0</v>
      </c>
      <c r="D202" s="17"/>
      <c r="E202" s="14"/>
      <c r="F202" s="18"/>
      <c r="G202" s="19"/>
      <c r="H202" s="20"/>
      <c r="I202" s="21"/>
      <c r="J202" s="14"/>
      <c r="K202" s="14">
        <f t="shared" si="6"/>
        <v>0</v>
      </c>
      <c r="L202" s="16">
        <f t="shared" si="7"/>
        <v>0</v>
      </c>
      <c r="M202" s="22"/>
      <c r="N202" s="44"/>
      <c r="O202" s="23" t="s">
        <v>16</v>
      </c>
      <c r="P202" s="24"/>
      <c r="Q202" s="25"/>
    </row>
    <row r="203" spans="1:17">
      <c r="A203" s="14">
        <v>199</v>
      </c>
      <c r="B203" s="15" t="s">
        <v>559</v>
      </c>
      <c r="C203" s="16">
        <f>'Медикаменты Май'!L202</f>
        <v>50</v>
      </c>
      <c r="D203" s="17"/>
      <c r="E203" s="14"/>
      <c r="F203" s="18"/>
      <c r="G203" s="19"/>
      <c r="H203" s="20"/>
      <c r="I203" s="21"/>
      <c r="J203" s="14"/>
      <c r="K203" s="14">
        <f t="shared" si="6"/>
        <v>0</v>
      </c>
      <c r="L203" s="16">
        <f t="shared" si="7"/>
        <v>50</v>
      </c>
      <c r="M203" s="22">
        <v>45352</v>
      </c>
      <c r="N203" s="44" t="s">
        <v>551</v>
      </c>
      <c r="O203" s="23" t="s">
        <v>16</v>
      </c>
      <c r="P203" s="24" t="s">
        <v>17</v>
      </c>
      <c r="Q203" s="28" t="s">
        <v>560</v>
      </c>
    </row>
    <row r="204" spans="1:17">
      <c r="A204" s="14">
        <v>200</v>
      </c>
      <c r="B204" s="15" t="s">
        <v>303</v>
      </c>
      <c r="C204" s="16">
        <f>'Медикаменты Май'!L203</f>
        <v>0</v>
      </c>
      <c r="D204" s="17"/>
      <c r="E204" s="14"/>
      <c r="F204" s="18"/>
      <c r="G204" s="19"/>
      <c r="H204" s="20"/>
      <c r="I204" s="21"/>
      <c r="J204" s="14"/>
      <c r="K204" s="14">
        <f t="shared" si="6"/>
        <v>0</v>
      </c>
      <c r="L204" s="16">
        <f t="shared" si="7"/>
        <v>0</v>
      </c>
      <c r="M204" s="22"/>
      <c r="N204" s="44"/>
      <c r="O204" s="23" t="s">
        <v>16</v>
      </c>
      <c r="P204" s="24"/>
      <c r="Q204" s="25"/>
    </row>
    <row r="205" spans="1:17">
      <c r="A205" s="14">
        <v>201</v>
      </c>
      <c r="B205" s="15" t="s">
        <v>304</v>
      </c>
      <c r="C205" s="16">
        <f>'Медикаменты Май'!L204</f>
        <v>0</v>
      </c>
      <c r="D205" s="17"/>
      <c r="E205" s="14"/>
      <c r="F205" s="18"/>
      <c r="G205" s="19"/>
      <c r="H205" s="20"/>
      <c r="I205" s="21"/>
      <c r="J205" s="14"/>
      <c r="K205" s="14">
        <f t="shared" si="6"/>
        <v>0</v>
      </c>
      <c r="L205" s="16">
        <f t="shared" si="7"/>
        <v>0</v>
      </c>
      <c r="M205" s="22">
        <v>45261</v>
      </c>
      <c r="N205" s="44"/>
      <c r="O205" s="23" t="s">
        <v>16</v>
      </c>
      <c r="P205" s="24"/>
      <c r="Q205" s="23" t="s">
        <v>305</v>
      </c>
    </row>
    <row r="206" spans="1:17">
      <c r="A206" s="14">
        <v>202</v>
      </c>
      <c r="B206" s="15" t="s">
        <v>304</v>
      </c>
      <c r="C206" s="16">
        <f>'Медикаменты Май'!L205</f>
        <v>480</v>
      </c>
      <c r="D206" s="17"/>
      <c r="E206" s="14"/>
      <c r="F206" s="18">
        <f>80+240</f>
        <v>320</v>
      </c>
      <c r="G206" s="19"/>
      <c r="H206" s="20"/>
      <c r="I206" s="21"/>
      <c r="J206" s="14"/>
      <c r="K206" s="14">
        <f t="shared" si="6"/>
        <v>320</v>
      </c>
      <c r="L206" s="16">
        <f t="shared" si="7"/>
        <v>160</v>
      </c>
      <c r="M206" s="22">
        <v>45413</v>
      </c>
      <c r="N206" s="44" t="s">
        <v>45</v>
      </c>
      <c r="O206" s="23" t="s">
        <v>26</v>
      </c>
      <c r="P206" s="24" t="s">
        <v>17</v>
      </c>
      <c r="Q206" s="23" t="s">
        <v>305</v>
      </c>
    </row>
    <row r="207" spans="1:17">
      <c r="A207" s="14">
        <v>203</v>
      </c>
      <c r="B207" s="15" t="s">
        <v>561</v>
      </c>
      <c r="C207" s="16">
        <f>'Медикаменты Май'!L206</f>
        <v>0</v>
      </c>
      <c r="D207" s="17"/>
      <c r="E207" s="14"/>
      <c r="F207" s="18"/>
      <c r="G207" s="19"/>
      <c r="H207" s="20"/>
      <c r="I207" s="21"/>
      <c r="J207" s="14"/>
      <c r="K207" s="14">
        <f t="shared" si="6"/>
        <v>0</v>
      </c>
      <c r="L207" s="16">
        <f t="shared" si="7"/>
        <v>0</v>
      </c>
      <c r="M207" s="22">
        <v>45689</v>
      </c>
      <c r="N207" s="44" t="s">
        <v>551</v>
      </c>
      <c r="O207" s="23" t="s">
        <v>26</v>
      </c>
      <c r="P207" s="24" t="s">
        <v>17</v>
      </c>
      <c r="Q207" s="23" t="s">
        <v>562</v>
      </c>
    </row>
    <row r="208" spans="1:17">
      <c r="A208" s="14">
        <v>204</v>
      </c>
      <c r="B208" s="15" t="s">
        <v>563</v>
      </c>
      <c r="C208" s="16">
        <f>'Медикаменты Май'!L207</f>
        <v>86</v>
      </c>
      <c r="D208" s="17"/>
      <c r="E208" s="14"/>
      <c r="F208" s="18"/>
      <c r="G208" s="19"/>
      <c r="H208" s="20"/>
      <c r="I208" s="21"/>
      <c r="J208" s="14"/>
      <c r="K208" s="14">
        <f t="shared" si="6"/>
        <v>0</v>
      </c>
      <c r="L208" s="16">
        <f t="shared" si="7"/>
        <v>86</v>
      </c>
      <c r="M208" s="22">
        <v>46023</v>
      </c>
      <c r="N208" s="44" t="s">
        <v>551</v>
      </c>
      <c r="O208" s="23" t="s">
        <v>16</v>
      </c>
      <c r="P208" s="24" t="s">
        <v>17</v>
      </c>
      <c r="Q208" s="23" t="s">
        <v>564</v>
      </c>
    </row>
    <row r="209" spans="1:17">
      <c r="A209" s="14">
        <v>205</v>
      </c>
      <c r="B209" s="15" t="s">
        <v>306</v>
      </c>
      <c r="C209" s="16">
        <f>'Медикаменты Май'!L208</f>
        <v>0</v>
      </c>
      <c r="D209" s="17"/>
      <c r="E209" s="14"/>
      <c r="F209" s="18"/>
      <c r="G209" s="19"/>
      <c r="H209" s="20"/>
      <c r="I209" s="21"/>
      <c r="J209" s="14"/>
      <c r="K209" s="14">
        <f t="shared" si="6"/>
        <v>0</v>
      </c>
      <c r="L209" s="16">
        <f t="shared" si="7"/>
        <v>0</v>
      </c>
      <c r="M209" s="22"/>
      <c r="N209" s="44"/>
      <c r="O209" s="23" t="s">
        <v>16</v>
      </c>
      <c r="P209" s="24"/>
      <c r="Q209" s="25"/>
    </row>
    <row r="210" spans="1:17">
      <c r="A210" s="14">
        <v>206</v>
      </c>
      <c r="B210" s="15" t="s">
        <v>307</v>
      </c>
      <c r="C210" s="16">
        <f>'Медикаменты Май'!L209</f>
        <v>0</v>
      </c>
      <c r="D210" s="17"/>
      <c r="E210" s="14"/>
      <c r="F210" s="18"/>
      <c r="G210" s="19"/>
      <c r="H210" s="20"/>
      <c r="I210" s="21"/>
      <c r="J210" s="14"/>
      <c r="K210" s="14">
        <f t="shared" si="6"/>
        <v>0</v>
      </c>
      <c r="L210" s="16">
        <f t="shared" si="7"/>
        <v>0</v>
      </c>
      <c r="M210" s="22"/>
      <c r="N210" s="44"/>
      <c r="O210" s="23" t="s">
        <v>16</v>
      </c>
      <c r="P210" s="24"/>
      <c r="Q210" s="25"/>
    </row>
    <row r="211" spans="1:17">
      <c r="A211" s="14">
        <v>207</v>
      </c>
      <c r="B211" s="15" t="s">
        <v>308</v>
      </c>
      <c r="C211" s="16">
        <f>'Медикаменты Май'!L210</f>
        <v>0</v>
      </c>
      <c r="D211" s="17"/>
      <c r="E211" s="14">
        <f>70</f>
        <v>70</v>
      </c>
      <c r="F211" s="18">
        <f>10+3</f>
        <v>13</v>
      </c>
      <c r="G211" s="19"/>
      <c r="H211" s="20"/>
      <c r="I211" s="21"/>
      <c r="J211" s="14"/>
      <c r="K211" s="14">
        <f t="shared" si="6"/>
        <v>13</v>
      </c>
      <c r="L211" s="16">
        <f t="shared" si="7"/>
        <v>57</v>
      </c>
      <c r="M211" s="22">
        <v>45200</v>
      </c>
      <c r="N211" s="44" t="s">
        <v>551</v>
      </c>
      <c r="O211" s="23" t="s">
        <v>16</v>
      </c>
      <c r="P211" s="24" t="s">
        <v>17</v>
      </c>
      <c r="Q211" s="23" t="s">
        <v>309</v>
      </c>
    </row>
    <row r="212" spans="1:17">
      <c r="A212" s="14">
        <v>208</v>
      </c>
      <c r="B212" s="15" t="s">
        <v>308</v>
      </c>
      <c r="C212" s="16"/>
      <c r="D212" s="17"/>
      <c r="E212" s="14">
        <f>30</f>
        <v>30</v>
      </c>
      <c r="F212" s="18"/>
      <c r="G212" s="19"/>
      <c r="H212" s="20"/>
      <c r="I212" s="21"/>
      <c r="J212" s="14"/>
      <c r="K212" s="14">
        <f t="shared" si="6"/>
        <v>0</v>
      </c>
      <c r="L212" s="16">
        <f t="shared" si="7"/>
        <v>30</v>
      </c>
      <c r="M212" s="22">
        <v>45200</v>
      </c>
      <c r="N212" s="44" t="s">
        <v>551</v>
      </c>
      <c r="O212" s="23" t="s">
        <v>26</v>
      </c>
      <c r="P212" s="24" t="s">
        <v>17</v>
      </c>
      <c r="Q212" s="23" t="s">
        <v>309</v>
      </c>
    </row>
    <row r="213" spans="1:17">
      <c r="A213" s="14">
        <v>209</v>
      </c>
      <c r="B213" s="15" t="s">
        <v>310</v>
      </c>
      <c r="C213" s="16">
        <f>'Медикаменты Май'!L211</f>
        <v>17</v>
      </c>
      <c r="D213" s="17"/>
      <c r="E213" s="14"/>
      <c r="F213" s="18">
        <f>2</f>
        <v>2</v>
      </c>
      <c r="G213" s="19"/>
      <c r="H213" s="20"/>
      <c r="I213" s="21"/>
      <c r="J213" s="14"/>
      <c r="K213" s="14">
        <f t="shared" si="6"/>
        <v>2</v>
      </c>
      <c r="L213" s="16">
        <f t="shared" si="7"/>
        <v>15</v>
      </c>
      <c r="M213" s="22">
        <v>44652</v>
      </c>
      <c r="N213" s="44" t="s">
        <v>45</v>
      </c>
      <c r="O213" s="23" t="s">
        <v>16</v>
      </c>
      <c r="P213" s="24" t="s">
        <v>17</v>
      </c>
      <c r="Q213" s="28" t="s">
        <v>311</v>
      </c>
    </row>
    <row r="214" spans="1:17">
      <c r="A214" s="14">
        <v>210</v>
      </c>
      <c r="B214" s="15" t="s">
        <v>310</v>
      </c>
      <c r="C214" s="16">
        <f>'Медикаменты Май'!L212</f>
        <v>0</v>
      </c>
      <c r="D214" s="17"/>
      <c r="E214" s="14"/>
      <c r="F214" s="18"/>
      <c r="G214" s="19"/>
      <c r="H214" s="20"/>
      <c r="I214" s="21"/>
      <c r="J214" s="14"/>
      <c r="K214" s="14">
        <f t="shared" si="6"/>
        <v>0</v>
      </c>
      <c r="L214" s="16">
        <f t="shared" si="7"/>
        <v>0</v>
      </c>
      <c r="M214" s="22">
        <v>44652</v>
      </c>
      <c r="N214" s="44"/>
      <c r="O214" s="23" t="s">
        <v>26</v>
      </c>
      <c r="P214" s="24"/>
      <c r="Q214" s="28" t="s">
        <v>311</v>
      </c>
    </row>
    <row r="215" spans="1:17">
      <c r="A215" s="14">
        <v>211</v>
      </c>
      <c r="B215" s="15" t="s">
        <v>312</v>
      </c>
      <c r="C215" s="16">
        <f>'Медикаменты Май'!L213</f>
        <v>0</v>
      </c>
      <c r="D215" s="17"/>
      <c r="E215" s="14"/>
      <c r="F215" s="18"/>
      <c r="G215" s="19"/>
      <c r="H215" s="20"/>
      <c r="I215" s="21"/>
      <c r="J215" s="14"/>
      <c r="K215" s="14">
        <f t="shared" si="6"/>
        <v>0</v>
      </c>
      <c r="L215" s="16">
        <f t="shared" si="7"/>
        <v>0</v>
      </c>
      <c r="M215" s="22">
        <v>45658</v>
      </c>
      <c r="N215" s="44"/>
      <c r="O215" s="23" t="s">
        <v>16</v>
      </c>
      <c r="P215" s="24"/>
      <c r="Q215" s="28" t="s">
        <v>313</v>
      </c>
    </row>
    <row r="216" spans="1:17">
      <c r="A216" s="14">
        <v>212</v>
      </c>
      <c r="B216" s="15" t="s">
        <v>312</v>
      </c>
      <c r="C216" s="16">
        <f>'Медикаменты Май'!L214</f>
        <v>0</v>
      </c>
      <c r="D216" s="17"/>
      <c r="E216" s="14"/>
      <c r="F216" s="18"/>
      <c r="G216" s="19"/>
      <c r="H216" s="20"/>
      <c r="I216" s="21"/>
      <c r="J216" s="14"/>
      <c r="K216" s="14">
        <f t="shared" si="6"/>
        <v>0</v>
      </c>
      <c r="L216" s="16">
        <f t="shared" si="7"/>
        <v>0</v>
      </c>
      <c r="M216" s="22">
        <v>45658</v>
      </c>
      <c r="N216" s="44"/>
      <c r="O216" s="23" t="s">
        <v>26</v>
      </c>
      <c r="P216" s="24"/>
      <c r="Q216" s="28" t="s">
        <v>313</v>
      </c>
    </row>
    <row r="217" spans="1:17">
      <c r="A217" s="14">
        <v>213</v>
      </c>
      <c r="B217" s="15" t="s">
        <v>314</v>
      </c>
      <c r="C217" s="16">
        <f>'Медикаменты Май'!L215</f>
        <v>0</v>
      </c>
      <c r="D217" s="17"/>
      <c r="E217" s="14"/>
      <c r="F217" s="18"/>
      <c r="G217" s="19"/>
      <c r="H217" s="20"/>
      <c r="I217" s="21"/>
      <c r="J217" s="14"/>
      <c r="K217" s="14">
        <f t="shared" si="6"/>
        <v>0</v>
      </c>
      <c r="L217" s="16">
        <f t="shared" si="7"/>
        <v>0</v>
      </c>
      <c r="M217" s="22">
        <v>44562</v>
      </c>
      <c r="N217" s="44"/>
      <c r="O217" s="23" t="s">
        <v>16</v>
      </c>
      <c r="P217" s="24"/>
      <c r="Q217" s="23" t="s">
        <v>315</v>
      </c>
    </row>
    <row r="218" spans="1:17">
      <c r="A218" s="14">
        <v>214</v>
      </c>
      <c r="B218" s="15" t="s">
        <v>316</v>
      </c>
      <c r="C218" s="16">
        <f>'Медикаменты Май'!L216</f>
        <v>0</v>
      </c>
      <c r="D218" s="17"/>
      <c r="E218" s="14"/>
      <c r="F218" s="18"/>
      <c r="G218" s="19"/>
      <c r="H218" s="20"/>
      <c r="I218" s="21"/>
      <c r="J218" s="14"/>
      <c r="K218" s="14">
        <f t="shared" si="6"/>
        <v>0</v>
      </c>
      <c r="L218" s="16">
        <f t="shared" si="7"/>
        <v>0</v>
      </c>
      <c r="M218" s="22"/>
      <c r="N218" s="44"/>
      <c r="O218" s="23" t="s">
        <v>16</v>
      </c>
      <c r="P218" s="24"/>
      <c r="Q218" s="25"/>
    </row>
    <row r="219" spans="1:17">
      <c r="A219" s="14">
        <v>215</v>
      </c>
      <c r="B219" s="29" t="s">
        <v>317</v>
      </c>
      <c r="C219" s="16">
        <f>'Медикаменты Май'!L217</f>
        <v>0</v>
      </c>
      <c r="D219" s="17"/>
      <c r="E219" s="14"/>
      <c r="F219" s="18"/>
      <c r="G219" s="19"/>
      <c r="H219" s="20"/>
      <c r="I219" s="21"/>
      <c r="J219" s="14"/>
      <c r="K219" s="14">
        <f t="shared" si="6"/>
        <v>0</v>
      </c>
      <c r="L219" s="16">
        <f t="shared" si="7"/>
        <v>0</v>
      </c>
      <c r="M219" s="22"/>
      <c r="N219" s="44"/>
      <c r="O219" s="23" t="s">
        <v>16</v>
      </c>
      <c r="P219" s="24"/>
      <c r="Q219" s="25"/>
    </row>
    <row r="220" spans="1:17">
      <c r="A220" s="14">
        <v>216</v>
      </c>
      <c r="B220" s="29" t="s">
        <v>318</v>
      </c>
      <c r="C220" s="16">
        <f>'Медикаменты Май'!L218</f>
        <v>0</v>
      </c>
      <c r="D220" s="17"/>
      <c r="E220" s="14"/>
      <c r="F220" s="18"/>
      <c r="G220" s="19"/>
      <c r="H220" s="20"/>
      <c r="I220" s="21"/>
      <c r="J220" s="14"/>
      <c r="K220" s="14">
        <f t="shared" si="6"/>
        <v>0</v>
      </c>
      <c r="L220" s="16">
        <f t="shared" si="7"/>
        <v>0</v>
      </c>
      <c r="M220" s="22"/>
      <c r="N220" s="44"/>
      <c r="O220" s="23" t="s">
        <v>16</v>
      </c>
      <c r="P220" s="24"/>
      <c r="Q220" s="25"/>
    </row>
    <row r="221" spans="1:17">
      <c r="A221" s="14">
        <v>217</v>
      </c>
      <c r="B221" s="29" t="s">
        <v>319</v>
      </c>
      <c r="C221" s="16">
        <f>'Медикаменты Май'!L219</f>
        <v>0</v>
      </c>
      <c r="D221" s="17"/>
      <c r="E221" s="14"/>
      <c r="F221" s="18"/>
      <c r="G221" s="19"/>
      <c r="H221" s="20"/>
      <c r="I221" s="21"/>
      <c r="J221" s="14"/>
      <c r="K221" s="14">
        <f t="shared" si="6"/>
        <v>0</v>
      </c>
      <c r="L221" s="16">
        <f t="shared" si="7"/>
        <v>0</v>
      </c>
      <c r="M221" s="22"/>
      <c r="N221" s="44"/>
      <c r="O221" s="23" t="s">
        <v>16</v>
      </c>
      <c r="P221" s="24"/>
      <c r="Q221" s="25"/>
    </row>
    <row r="222" spans="1:17">
      <c r="A222" s="14">
        <v>218</v>
      </c>
      <c r="B222" s="29" t="s">
        <v>320</v>
      </c>
      <c r="C222" s="16">
        <f>'Медикаменты Май'!L220</f>
        <v>0</v>
      </c>
      <c r="D222" s="17"/>
      <c r="E222" s="14"/>
      <c r="F222" s="18"/>
      <c r="G222" s="19"/>
      <c r="H222" s="20"/>
      <c r="I222" s="21"/>
      <c r="J222" s="14"/>
      <c r="K222" s="14">
        <f t="shared" si="6"/>
        <v>0</v>
      </c>
      <c r="L222" s="16">
        <f t="shared" si="7"/>
        <v>0</v>
      </c>
      <c r="M222" s="22">
        <v>44652</v>
      </c>
      <c r="N222" s="44"/>
      <c r="O222" s="23" t="s">
        <v>16</v>
      </c>
      <c r="P222" s="24" t="s">
        <v>17</v>
      </c>
      <c r="Q222" s="28" t="s">
        <v>321</v>
      </c>
    </row>
    <row r="223" spans="1:17">
      <c r="A223" s="14">
        <v>219</v>
      </c>
      <c r="B223" s="29" t="s">
        <v>322</v>
      </c>
      <c r="C223" s="16">
        <f>'Медикаменты Май'!L221</f>
        <v>0</v>
      </c>
      <c r="D223" s="17"/>
      <c r="E223" s="14"/>
      <c r="F223" s="18"/>
      <c r="G223" s="19"/>
      <c r="H223" s="20"/>
      <c r="I223" s="21"/>
      <c r="J223" s="14"/>
      <c r="K223" s="14">
        <f t="shared" si="6"/>
        <v>0</v>
      </c>
      <c r="L223" s="16">
        <f t="shared" si="7"/>
        <v>0</v>
      </c>
      <c r="M223" s="22"/>
      <c r="N223" s="44"/>
      <c r="O223" s="23" t="s">
        <v>16</v>
      </c>
      <c r="P223" s="24"/>
      <c r="Q223" s="25"/>
    </row>
    <row r="224" spans="1:17">
      <c r="A224" s="14">
        <v>220</v>
      </c>
      <c r="B224" s="29" t="s">
        <v>323</v>
      </c>
      <c r="C224" s="16">
        <f>'Медикаменты Май'!L222</f>
        <v>0</v>
      </c>
      <c r="D224" s="17"/>
      <c r="E224" s="14"/>
      <c r="F224" s="18"/>
      <c r="G224" s="19"/>
      <c r="H224" s="20"/>
      <c r="I224" s="21"/>
      <c r="J224" s="14"/>
      <c r="K224" s="14">
        <f t="shared" si="6"/>
        <v>0</v>
      </c>
      <c r="L224" s="16">
        <f t="shared" si="7"/>
        <v>0</v>
      </c>
      <c r="M224" s="22"/>
      <c r="N224" s="44"/>
      <c r="O224" s="23" t="s">
        <v>16</v>
      </c>
      <c r="P224" s="24"/>
      <c r="Q224" s="25"/>
    </row>
    <row r="225" spans="1:17">
      <c r="A225" s="14">
        <v>221</v>
      </c>
      <c r="B225" s="29" t="s">
        <v>555</v>
      </c>
      <c r="C225" s="16">
        <f>'Медикаменты Май'!L223</f>
        <v>26</v>
      </c>
      <c r="D225" s="17"/>
      <c r="E225" s="14"/>
      <c r="F225" s="18">
        <f>5+5+5</f>
        <v>15</v>
      </c>
      <c r="G225" s="19"/>
      <c r="H225" s="20"/>
      <c r="I225" s="21"/>
      <c r="J225" s="14"/>
      <c r="K225" s="14">
        <f t="shared" si="6"/>
        <v>15</v>
      </c>
      <c r="L225" s="16">
        <f t="shared" si="7"/>
        <v>11</v>
      </c>
      <c r="M225" s="22">
        <v>45017</v>
      </c>
      <c r="N225" s="44" t="s">
        <v>45</v>
      </c>
      <c r="O225" s="23" t="s">
        <v>16</v>
      </c>
      <c r="P225" s="24" t="s">
        <v>17</v>
      </c>
      <c r="Q225" s="23" t="s">
        <v>325</v>
      </c>
    </row>
    <row r="226" spans="1:17">
      <c r="A226" s="14">
        <v>222</v>
      </c>
      <c r="B226" s="29" t="s">
        <v>326</v>
      </c>
      <c r="C226" s="16">
        <f>'Медикаменты Май'!L224</f>
        <v>0</v>
      </c>
      <c r="D226" s="17"/>
      <c r="E226" s="14"/>
      <c r="F226" s="18"/>
      <c r="G226" s="19"/>
      <c r="H226" s="20"/>
      <c r="I226" s="21"/>
      <c r="J226" s="14"/>
      <c r="K226" s="14">
        <f t="shared" si="6"/>
        <v>0</v>
      </c>
      <c r="L226" s="16">
        <f t="shared" si="7"/>
        <v>0</v>
      </c>
      <c r="M226" s="22"/>
      <c r="N226" s="44"/>
      <c r="O226" s="23" t="s">
        <v>16</v>
      </c>
      <c r="P226" s="24"/>
      <c r="Q226" s="25"/>
    </row>
    <row r="227" spans="1:17">
      <c r="A227" s="14">
        <v>223</v>
      </c>
      <c r="B227" s="29" t="s">
        <v>327</v>
      </c>
      <c r="C227" s="16">
        <f>'Медикаменты Май'!L225</f>
        <v>1</v>
      </c>
      <c r="D227" s="17"/>
      <c r="E227" s="14"/>
      <c r="F227" s="18">
        <f>1</f>
        <v>1</v>
      </c>
      <c r="G227" s="19"/>
      <c r="H227" s="20"/>
      <c r="I227" s="21"/>
      <c r="J227" s="14"/>
      <c r="K227" s="14">
        <f t="shared" si="6"/>
        <v>1</v>
      </c>
      <c r="L227" s="16">
        <f t="shared" si="7"/>
        <v>0</v>
      </c>
      <c r="M227" s="22">
        <v>44774</v>
      </c>
      <c r="N227" s="44" t="s">
        <v>45</v>
      </c>
      <c r="O227" s="23" t="s">
        <v>16</v>
      </c>
      <c r="P227" s="24" t="s">
        <v>17</v>
      </c>
      <c r="Q227" s="23" t="s">
        <v>328</v>
      </c>
    </row>
    <row r="228" spans="1:17">
      <c r="A228" s="14">
        <v>224</v>
      </c>
      <c r="B228" s="29" t="s">
        <v>327</v>
      </c>
      <c r="C228" s="16">
        <f>'Медикаменты Май'!L226</f>
        <v>0</v>
      </c>
      <c r="D228" s="17"/>
      <c r="E228" s="14"/>
      <c r="F228" s="18"/>
      <c r="G228" s="19"/>
      <c r="H228" s="20"/>
      <c r="I228" s="21"/>
      <c r="J228" s="14"/>
      <c r="K228" s="14">
        <f t="shared" si="6"/>
        <v>0</v>
      </c>
      <c r="L228" s="16">
        <f t="shared" si="7"/>
        <v>0</v>
      </c>
      <c r="M228" s="22">
        <v>44743</v>
      </c>
      <c r="N228" s="44"/>
      <c r="O228" s="23" t="s">
        <v>16</v>
      </c>
      <c r="P228" s="24" t="s">
        <v>17</v>
      </c>
      <c r="Q228" s="23" t="s">
        <v>328</v>
      </c>
    </row>
    <row r="229" spans="1:17">
      <c r="A229" s="14">
        <v>225</v>
      </c>
      <c r="B229" s="29" t="s">
        <v>327</v>
      </c>
      <c r="C229" s="16">
        <f>'Медикаменты Май'!L227</f>
        <v>25</v>
      </c>
      <c r="D229" s="17"/>
      <c r="E229" s="14"/>
      <c r="F229" s="18"/>
      <c r="G229" s="19"/>
      <c r="H229" s="20"/>
      <c r="I229" s="21"/>
      <c r="J229" s="14"/>
      <c r="K229" s="14">
        <f t="shared" si="6"/>
        <v>0</v>
      </c>
      <c r="L229" s="16">
        <f t="shared" si="7"/>
        <v>25</v>
      </c>
      <c r="M229" s="22">
        <v>44774</v>
      </c>
      <c r="N229" s="44" t="s">
        <v>45</v>
      </c>
      <c r="O229" s="23" t="s">
        <v>26</v>
      </c>
      <c r="P229" s="24" t="s">
        <v>17</v>
      </c>
      <c r="Q229" s="23" t="s">
        <v>328</v>
      </c>
    </row>
    <row r="230" spans="1:17">
      <c r="A230" s="14">
        <v>226</v>
      </c>
      <c r="B230" s="29" t="s">
        <v>329</v>
      </c>
      <c r="C230" s="16">
        <f>'Медикаменты Май'!L228</f>
        <v>0</v>
      </c>
      <c r="D230" s="17"/>
      <c r="E230" s="14"/>
      <c r="F230" s="18"/>
      <c r="G230" s="19"/>
      <c r="H230" s="20"/>
      <c r="I230" s="21"/>
      <c r="J230" s="14"/>
      <c r="K230" s="14">
        <f t="shared" si="6"/>
        <v>0</v>
      </c>
      <c r="L230" s="16">
        <f t="shared" si="7"/>
        <v>0</v>
      </c>
      <c r="M230" s="22">
        <v>44713</v>
      </c>
      <c r="N230" s="44"/>
      <c r="O230" s="23" t="s">
        <v>16</v>
      </c>
      <c r="P230" s="24"/>
      <c r="Q230" s="23" t="s">
        <v>330</v>
      </c>
    </row>
    <row r="231" spans="1:17">
      <c r="A231" s="14">
        <v>227</v>
      </c>
      <c r="B231" s="29" t="s">
        <v>331</v>
      </c>
      <c r="C231" s="16">
        <f>'Медикаменты Май'!L229</f>
        <v>0</v>
      </c>
      <c r="D231" s="17"/>
      <c r="E231" s="14"/>
      <c r="F231" s="18"/>
      <c r="G231" s="19"/>
      <c r="H231" s="20"/>
      <c r="I231" s="21"/>
      <c r="J231" s="14"/>
      <c r="K231" s="14">
        <f t="shared" si="6"/>
        <v>0</v>
      </c>
      <c r="L231" s="16">
        <f t="shared" si="7"/>
        <v>0</v>
      </c>
      <c r="M231" s="22">
        <v>44317</v>
      </c>
      <c r="N231" s="44"/>
      <c r="O231" s="23" t="s">
        <v>16</v>
      </c>
      <c r="P231" s="24" t="s">
        <v>45</v>
      </c>
      <c r="Q231" s="23" t="s">
        <v>332</v>
      </c>
    </row>
    <row r="232" spans="1:17">
      <c r="A232" s="14">
        <v>228</v>
      </c>
      <c r="B232" s="29" t="s">
        <v>333</v>
      </c>
      <c r="C232" s="16">
        <f>'Медикаменты Май'!L230</f>
        <v>0</v>
      </c>
      <c r="D232" s="17"/>
      <c r="E232" s="14"/>
      <c r="F232" s="18"/>
      <c r="G232" s="19"/>
      <c r="H232" s="20"/>
      <c r="I232" s="21"/>
      <c r="J232" s="14"/>
      <c r="K232" s="14">
        <f t="shared" si="6"/>
        <v>0</v>
      </c>
      <c r="L232" s="16">
        <f t="shared" si="7"/>
        <v>0</v>
      </c>
      <c r="M232" s="22">
        <v>44348</v>
      </c>
      <c r="N232" s="44"/>
      <c r="O232" s="23" t="s">
        <v>16</v>
      </c>
      <c r="P232" s="24"/>
      <c r="Q232" s="23" t="s">
        <v>334</v>
      </c>
    </row>
    <row r="233" spans="1:17">
      <c r="A233" s="14">
        <v>229</v>
      </c>
      <c r="B233" s="29" t="s">
        <v>335</v>
      </c>
      <c r="C233" s="16">
        <f>'Медикаменты Май'!L231</f>
        <v>0</v>
      </c>
      <c r="D233" s="17"/>
      <c r="E233" s="14"/>
      <c r="F233" s="18"/>
      <c r="G233" s="19"/>
      <c r="H233" s="20"/>
      <c r="I233" s="21"/>
      <c r="J233" s="14"/>
      <c r="K233" s="14">
        <f t="shared" si="6"/>
        <v>0</v>
      </c>
      <c r="L233" s="16">
        <f t="shared" si="7"/>
        <v>0</v>
      </c>
      <c r="M233" s="22">
        <v>44348</v>
      </c>
      <c r="N233" s="44"/>
      <c r="O233" s="23" t="s">
        <v>16</v>
      </c>
      <c r="P233" s="24"/>
      <c r="Q233" s="25"/>
    </row>
    <row r="234" spans="1:17">
      <c r="A234" s="14">
        <v>230</v>
      </c>
      <c r="B234" s="29" t="s">
        <v>336</v>
      </c>
      <c r="C234" s="16">
        <f>'Медикаменты Май'!L232</f>
        <v>100</v>
      </c>
      <c r="D234" s="17"/>
      <c r="E234" s="14"/>
      <c r="F234" s="18"/>
      <c r="G234" s="19"/>
      <c r="H234" s="20"/>
      <c r="I234" s="21"/>
      <c r="J234" s="14"/>
      <c r="K234" s="14">
        <f t="shared" si="6"/>
        <v>0</v>
      </c>
      <c r="L234" s="16">
        <f t="shared" si="7"/>
        <v>100</v>
      </c>
      <c r="M234" s="22">
        <v>45413</v>
      </c>
      <c r="N234" s="44" t="s">
        <v>45</v>
      </c>
      <c r="O234" s="23" t="s">
        <v>16</v>
      </c>
      <c r="P234" s="24" t="s">
        <v>17</v>
      </c>
      <c r="Q234" s="23" t="s">
        <v>337</v>
      </c>
    </row>
    <row r="235" spans="1:17">
      <c r="A235" s="14">
        <v>231</v>
      </c>
      <c r="B235" s="29" t="s">
        <v>338</v>
      </c>
      <c r="C235" s="16">
        <f>'Медикаменты Май'!L233</f>
        <v>0</v>
      </c>
      <c r="D235" s="17"/>
      <c r="E235" s="14"/>
      <c r="F235" s="18"/>
      <c r="G235" s="19"/>
      <c r="H235" s="20"/>
      <c r="I235" s="21"/>
      <c r="J235" s="14"/>
      <c r="K235" s="14">
        <f t="shared" si="6"/>
        <v>0</v>
      </c>
      <c r="L235" s="16">
        <f t="shared" si="7"/>
        <v>0</v>
      </c>
      <c r="M235" s="22">
        <v>44562</v>
      </c>
      <c r="N235" s="44"/>
      <c r="O235" s="23" t="s">
        <v>16</v>
      </c>
      <c r="P235" s="24"/>
      <c r="Q235" s="23" t="s">
        <v>339</v>
      </c>
    </row>
    <row r="236" spans="1:17">
      <c r="A236" s="14">
        <v>232</v>
      </c>
      <c r="B236" s="29" t="s">
        <v>340</v>
      </c>
      <c r="C236" s="16">
        <f>'Медикаменты Май'!L234</f>
        <v>0</v>
      </c>
      <c r="D236" s="17"/>
      <c r="E236" s="14"/>
      <c r="F236" s="18"/>
      <c r="G236" s="19"/>
      <c r="H236" s="20"/>
      <c r="I236" s="21"/>
      <c r="J236" s="14"/>
      <c r="K236" s="14">
        <f t="shared" si="6"/>
        <v>0</v>
      </c>
      <c r="L236" s="16">
        <f t="shared" si="7"/>
        <v>0</v>
      </c>
      <c r="M236" s="22"/>
      <c r="N236" s="44"/>
      <c r="O236" s="23" t="s">
        <v>16</v>
      </c>
      <c r="P236" s="24"/>
      <c r="Q236" s="25"/>
    </row>
    <row r="237" spans="1:17">
      <c r="A237" s="14">
        <v>233</v>
      </c>
      <c r="B237" s="29" t="s">
        <v>341</v>
      </c>
      <c r="C237" s="16">
        <f>'Медикаменты Май'!L235</f>
        <v>47</v>
      </c>
      <c r="D237" s="17"/>
      <c r="E237" s="14"/>
      <c r="F237" s="18"/>
      <c r="G237" s="19"/>
      <c r="H237" s="20"/>
      <c r="I237" s="21"/>
      <c r="J237" s="14"/>
      <c r="K237" s="14">
        <f t="shared" si="6"/>
        <v>0</v>
      </c>
      <c r="L237" s="16">
        <f t="shared" si="7"/>
        <v>47</v>
      </c>
      <c r="M237" s="22">
        <v>45108</v>
      </c>
      <c r="N237" s="44" t="s">
        <v>45</v>
      </c>
      <c r="O237" s="23" t="s">
        <v>16</v>
      </c>
      <c r="P237" s="24" t="s">
        <v>17</v>
      </c>
      <c r="Q237" s="28" t="s">
        <v>342</v>
      </c>
    </row>
    <row r="238" spans="1:17">
      <c r="A238" s="14">
        <v>234</v>
      </c>
      <c r="B238" s="29" t="s">
        <v>343</v>
      </c>
      <c r="C238" s="16">
        <f>'Медикаменты Май'!L236</f>
        <v>0</v>
      </c>
      <c r="D238" s="17"/>
      <c r="E238" s="14"/>
      <c r="F238" s="18"/>
      <c r="G238" s="19"/>
      <c r="H238" s="20"/>
      <c r="I238" s="21"/>
      <c r="J238" s="14"/>
      <c r="K238" s="14">
        <f t="shared" si="6"/>
        <v>0</v>
      </c>
      <c r="L238" s="16">
        <f t="shared" si="7"/>
        <v>0</v>
      </c>
      <c r="M238" s="22">
        <v>44835</v>
      </c>
      <c r="N238" s="44"/>
      <c r="O238" s="23" t="s">
        <v>16</v>
      </c>
      <c r="P238" s="24" t="s">
        <v>17</v>
      </c>
      <c r="Q238" s="28" t="s">
        <v>344</v>
      </c>
    </row>
    <row r="239" spans="1:17">
      <c r="A239" s="14">
        <v>235</v>
      </c>
      <c r="B239" s="29" t="s">
        <v>343</v>
      </c>
      <c r="C239" s="16">
        <f>'Медикаменты Май'!L237</f>
        <v>0</v>
      </c>
      <c r="D239" s="17"/>
      <c r="E239" s="14"/>
      <c r="F239" s="18"/>
      <c r="G239" s="19"/>
      <c r="H239" s="20"/>
      <c r="I239" s="21"/>
      <c r="J239" s="14"/>
      <c r="K239" s="14">
        <f t="shared" si="6"/>
        <v>0</v>
      </c>
      <c r="L239" s="16">
        <f t="shared" si="7"/>
        <v>0</v>
      </c>
      <c r="M239" s="22">
        <v>44835</v>
      </c>
      <c r="N239" s="44"/>
      <c r="O239" s="23" t="s">
        <v>26</v>
      </c>
      <c r="P239" s="24"/>
      <c r="Q239" s="28" t="s">
        <v>344</v>
      </c>
    </row>
    <row r="240" spans="1:17">
      <c r="A240" s="14">
        <v>236</v>
      </c>
      <c r="B240" s="29" t="s">
        <v>345</v>
      </c>
      <c r="C240" s="16">
        <f>'Медикаменты Май'!L238</f>
        <v>100</v>
      </c>
      <c r="D240" s="17"/>
      <c r="E240" s="14"/>
      <c r="F240" s="18">
        <f>10+5+5+5</f>
        <v>25</v>
      </c>
      <c r="G240" s="19"/>
      <c r="H240" s="20"/>
      <c r="I240" s="21"/>
      <c r="J240" s="14"/>
      <c r="K240" s="14">
        <f t="shared" si="6"/>
        <v>25</v>
      </c>
      <c r="L240" s="16">
        <f t="shared" si="7"/>
        <v>75</v>
      </c>
      <c r="M240" s="22">
        <v>45017</v>
      </c>
      <c r="N240" s="44" t="s">
        <v>45</v>
      </c>
      <c r="O240" s="23" t="s">
        <v>16</v>
      </c>
      <c r="P240" s="24" t="s">
        <v>45</v>
      </c>
      <c r="Q240" s="28" t="s">
        <v>346</v>
      </c>
    </row>
    <row r="241" spans="1:17">
      <c r="A241" s="14">
        <v>237</v>
      </c>
      <c r="B241" s="29" t="s">
        <v>347</v>
      </c>
      <c r="C241" s="16">
        <f>'Медикаменты Май'!L239</f>
        <v>0</v>
      </c>
      <c r="D241" s="17"/>
      <c r="E241" s="14">
        <f>100</f>
        <v>100</v>
      </c>
      <c r="F241" s="18"/>
      <c r="G241" s="19"/>
      <c r="H241" s="20"/>
      <c r="I241" s="21"/>
      <c r="J241" s="14"/>
      <c r="K241" s="14">
        <f t="shared" si="6"/>
        <v>0</v>
      </c>
      <c r="L241" s="16">
        <f t="shared" si="7"/>
        <v>100</v>
      </c>
      <c r="M241" s="22">
        <v>45323</v>
      </c>
      <c r="N241" s="44" t="s">
        <v>551</v>
      </c>
      <c r="O241" s="23" t="s">
        <v>16</v>
      </c>
      <c r="P241" s="24" t="s">
        <v>45</v>
      </c>
      <c r="Q241" s="23" t="s">
        <v>348</v>
      </c>
    </row>
    <row r="242" spans="1:17">
      <c r="A242" s="14">
        <v>238</v>
      </c>
      <c r="B242" s="29" t="s">
        <v>349</v>
      </c>
      <c r="C242" s="16">
        <f>'Медикаменты Май'!L240</f>
        <v>0</v>
      </c>
      <c r="D242" s="17"/>
      <c r="E242" s="14"/>
      <c r="F242" s="18"/>
      <c r="G242" s="19"/>
      <c r="H242" s="20"/>
      <c r="I242" s="21"/>
      <c r="J242" s="14"/>
      <c r="K242" s="14">
        <f t="shared" si="6"/>
        <v>0</v>
      </c>
      <c r="L242" s="16">
        <f t="shared" si="7"/>
        <v>0</v>
      </c>
      <c r="M242" s="22"/>
      <c r="N242" s="44"/>
      <c r="O242" s="23" t="s">
        <v>16</v>
      </c>
      <c r="P242" s="24"/>
      <c r="Q242" s="25"/>
    </row>
    <row r="243" spans="1:17">
      <c r="A243" s="14">
        <v>239</v>
      </c>
      <c r="B243" s="29" t="s">
        <v>350</v>
      </c>
      <c r="C243" s="16">
        <f>'Медикаменты Май'!L241</f>
        <v>0</v>
      </c>
      <c r="D243" s="17"/>
      <c r="E243" s="14"/>
      <c r="F243" s="18"/>
      <c r="G243" s="19"/>
      <c r="H243" s="20"/>
      <c r="I243" s="21"/>
      <c r="J243" s="14"/>
      <c r="K243" s="14">
        <f t="shared" si="6"/>
        <v>0</v>
      </c>
      <c r="L243" s="16">
        <f t="shared" si="7"/>
        <v>0</v>
      </c>
      <c r="M243" s="22"/>
      <c r="N243" s="44"/>
      <c r="O243" s="23" t="s">
        <v>16</v>
      </c>
      <c r="P243" s="24"/>
      <c r="Q243" s="25"/>
    </row>
    <row r="244" spans="1:17">
      <c r="A244" s="14">
        <v>240</v>
      </c>
      <c r="B244" s="29" t="s">
        <v>351</v>
      </c>
      <c r="C244" s="16">
        <f>'Медикаменты Май'!L242</f>
        <v>0</v>
      </c>
      <c r="D244" s="17"/>
      <c r="E244" s="14"/>
      <c r="F244" s="18"/>
      <c r="G244" s="19"/>
      <c r="H244" s="20"/>
      <c r="I244" s="21"/>
      <c r="J244" s="14"/>
      <c r="K244" s="14">
        <f t="shared" si="6"/>
        <v>0</v>
      </c>
      <c r="L244" s="16">
        <f t="shared" si="7"/>
        <v>0</v>
      </c>
      <c r="M244" s="22">
        <v>44197</v>
      </c>
      <c r="N244" s="44"/>
      <c r="O244" s="23" t="s">
        <v>16</v>
      </c>
      <c r="P244" s="24"/>
      <c r="Q244" s="28" t="s">
        <v>352</v>
      </c>
    </row>
    <row r="245" spans="1:17">
      <c r="A245" s="14">
        <v>241</v>
      </c>
      <c r="B245" s="29" t="s">
        <v>353</v>
      </c>
      <c r="C245" s="16">
        <f>'Медикаменты Май'!L243</f>
        <v>313</v>
      </c>
      <c r="D245" s="17"/>
      <c r="E245" s="14"/>
      <c r="F245" s="18">
        <f>5+5+30</f>
        <v>40</v>
      </c>
      <c r="G245" s="19"/>
      <c r="H245" s="20">
        <f>10</f>
        <v>10</v>
      </c>
      <c r="I245" s="21"/>
      <c r="J245" s="14"/>
      <c r="K245" s="14">
        <f t="shared" si="6"/>
        <v>50</v>
      </c>
      <c r="L245" s="16">
        <f t="shared" si="7"/>
        <v>263</v>
      </c>
      <c r="M245" s="22">
        <v>44652</v>
      </c>
      <c r="N245" s="44" t="s">
        <v>45</v>
      </c>
      <c r="O245" s="23" t="s">
        <v>16</v>
      </c>
      <c r="P245" s="24" t="s">
        <v>17</v>
      </c>
      <c r="Q245" s="28" t="s">
        <v>354</v>
      </c>
    </row>
    <row r="246" spans="1:17">
      <c r="A246" s="14">
        <v>242</v>
      </c>
      <c r="B246" s="29" t="s">
        <v>355</v>
      </c>
      <c r="C246" s="16">
        <f>'Медикаменты Май'!L244</f>
        <v>8</v>
      </c>
      <c r="D246" s="17"/>
      <c r="E246" s="14"/>
      <c r="F246" s="18"/>
      <c r="G246" s="19"/>
      <c r="H246" s="20"/>
      <c r="I246" s="21"/>
      <c r="J246" s="14"/>
      <c r="K246" s="14">
        <f t="shared" si="6"/>
        <v>0</v>
      </c>
      <c r="L246" s="16">
        <f t="shared" si="7"/>
        <v>8</v>
      </c>
      <c r="M246" s="22">
        <v>44713</v>
      </c>
      <c r="N246" s="44" t="s">
        <v>45</v>
      </c>
      <c r="O246" s="23" t="s">
        <v>16</v>
      </c>
      <c r="P246" s="24" t="s">
        <v>17</v>
      </c>
      <c r="Q246" s="28" t="s">
        <v>356</v>
      </c>
    </row>
    <row r="247" spans="1:17">
      <c r="A247" s="14">
        <v>243</v>
      </c>
      <c r="B247" s="29" t="s">
        <v>357</v>
      </c>
      <c r="C247" s="16">
        <f>'Медикаменты Май'!L245</f>
        <v>0</v>
      </c>
      <c r="D247" s="17"/>
      <c r="E247" s="14"/>
      <c r="F247" s="18"/>
      <c r="G247" s="19"/>
      <c r="H247" s="20"/>
      <c r="I247" s="21"/>
      <c r="J247" s="14"/>
      <c r="K247" s="14">
        <f t="shared" si="6"/>
        <v>0</v>
      </c>
      <c r="L247" s="16">
        <f t="shared" si="7"/>
        <v>0</v>
      </c>
      <c r="M247" s="22"/>
      <c r="N247" s="44"/>
      <c r="O247" s="23" t="s">
        <v>16</v>
      </c>
      <c r="P247" s="24"/>
      <c r="Q247" s="25"/>
    </row>
    <row r="248" spans="1:17">
      <c r="A248" s="14">
        <v>244</v>
      </c>
      <c r="B248" s="29" t="s">
        <v>358</v>
      </c>
      <c r="C248" s="16">
        <f>'Медикаменты Май'!L246</f>
        <v>0</v>
      </c>
      <c r="D248" s="17"/>
      <c r="E248" s="14"/>
      <c r="F248" s="18"/>
      <c r="G248" s="19"/>
      <c r="H248" s="20"/>
      <c r="I248" s="21"/>
      <c r="J248" s="14"/>
      <c r="K248" s="14">
        <f t="shared" si="6"/>
        <v>0</v>
      </c>
      <c r="L248" s="16">
        <f t="shared" si="7"/>
        <v>0</v>
      </c>
      <c r="M248" s="22">
        <v>44562</v>
      </c>
      <c r="N248" s="44"/>
      <c r="O248" s="23" t="s">
        <v>26</v>
      </c>
      <c r="P248" s="24"/>
      <c r="Q248" s="28" t="s">
        <v>359</v>
      </c>
    </row>
    <row r="249" spans="1:17">
      <c r="A249" s="14">
        <v>245</v>
      </c>
      <c r="B249" s="29" t="s">
        <v>360</v>
      </c>
      <c r="C249" s="16">
        <f>'Медикаменты Май'!L247</f>
        <v>0</v>
      </c>
      <c r="D249" s="17"/>
      <c r="E249" s="14"/>
      <c r="F249" s="18"/>
      <c r="G249" s="19"/>
      <c r="H249" s="20"/>
      <c r="I249" s="21"/>
      <c r="J249" s="14"/>
      <c r="K249" s="14">
        <f t="shared" si="6"/>
        <v>0</v>
      </c>
      <c r="L249" s="16">
        <f t="shared" si="7"/>
        <v>0</v>
      </c>
      <c r="M249" s="22"/>
      <c r="N249" s="44"/>
      <c r="O249" s="23" t="s">
        <v>16</v>
      </c>
      <c r="P249" s="24"/>
      <c r="Q249" s="25"/>
    </row>
    <row r="250" spans="1:17">
      <c r="A250" s="14">
        <v>246</v>
      </c>
      <c r="B250" s="29" t="s">
        <v>361</v>
      </c>
      <c r="C250" s="16">
        <f>'Медикаменты Май'!L248</f>
        <v>0</v>
      </c>
      <c r="D250" s="17"/>
      <c r="E250" s="14"/>
      <c r="F250" s="18"/>
      <c r="G250" s="19"/>
      <c r="H250" s="20"/>
      <c r="I250" s="21"/>
      <c r="J250" s="14"/>
      <c r="K250" s="14">
        <f t="shared" si="6"/>
        <v>0</v>
      </c>
      <c r="L250" s="16">
        <f t="shared" si="7"/>
        <v>0</v>
      </c>
      <c r="M250" s="22"/>
      <c r="N250" s="44"/>
      <c r="O250" s="23" t="s">
        <v>16</v>
      </c>
      <c r="P250" s="24"/>
      <c r="Q250" s="25"/>
    </row>
    <row r="251" spans="1:17">
      <c r="A251" s="14">
        <v>247</v>
      </c>
      <c r="B251" s="29" t="s">
        <v>362</v>
      </c>
      <c r="C251" s="16">
        <f>'Медикаменты Май'!L249</f>
        <v>0</v>
      </c>
      <c r="D251" s="17"/>
      <c r="E251" s="14"/>
      <c r="F251" s="18"/>
      <c r="G251" s="19"/>
      <c r="H251" s="20"/>
      <c r="I251" s="21"/>
      <c r="J251" s="14"/>
      <c r="K251" s="14">
        <f t="shared" si="6"/>
        <v>0</v>
      </c>
      <c r="L251" s="16">
        <f t="shared" si="7"/>
        <v>0</v>
      </c>
      <c r="M251" s="22">
        <v>45200</v>
      </c>
      <c r="N251" s="44"/>
      <c r="O251" s="23" t="s">
        <v>16</v>
      </c>
      <c r="P251" s="24"/>
      <c r="Q251" s="23" t="s">
        <v>363</v>
      </c>
    </row>
    <row r="252" spans="1:17">
      <c r="A252" s="14">
        <v>248</v>
      </c>
      <c r="B252" s="29" t="s">
        <v>364</v>
      </c>
      <c r="C252" s="16">
        <f>'Медикаменты Май'!L250</f>
        <v>0</v>
      </c>
      <c r="D252" s="17"/>
      <c r="E252" s="14"/>
      <c r="F252" s="18"/>
      <c r="G252" s="19"/>
      <c r="H252" s="20"/>
      <c r="I252" s="21"/>
      <c r="J252" s="14"/>
      <c r="K252" s="14">
        <f t="shared" si="6"/>
        <v>0</v>
      </c>
      <c r="L252" s="16">
        <f t="shared" si="7"/>
        <v>0</v>
      </c>
      <c r="M252" s="22">
        <v>44378</v>
      </c>
      <c r="N252" s="44"/>
      <c r="O252" s="23" t="s">
        <v>26</v>
      </c>
      <c r="P252" s="24"/>
      <c r="Q252" s="25"/>
    </row>
    <row r="253" spans="1:17">
      <c r="A253" s="14">
        <v>249</v>
      </c>
      <c r="B253" s="29" t="s">
        <v>365</v>
      </c>
      <c r="C253" s="16">
        <f>'Медикаменты Май'!L251</f>
        <v>0</v>
      </c>
      <c r="D253" s="17"/>
      <c r="E253" s="14"/>
      <c r="F253" s="18"/>
      <c r="G253" s="19"/>
      <c r="H253" s="20"/>
      <c r="I253" s="21"/>
      <c r="J253" s="14"/>
      <c r="K253" s="14">
        <f t="shared" si="6"/>
        <v>0</v>
      </c>
      <c r="L253" s="16">
        <f t="shared" si="7"/>
        <v>0</v>
      </c>
      <c r="M253" s="22"/>
      <c r="N253" s="44"/>
      <c r="O253" s="23" t="s">
        <v>16</v>
      </c>
      <c r="P253" s="24"/>
      <c r="Q253" s="25"/>
    </row>
    <row r="254" spans="1:17">
      <c r="A254" s="14">
        <v>250</v>
      </c>
      <c r="B254" s="29" t="s">
        <v>556</v>
      </c>
      <c r="C254" s="16">
        <f>'Медикаменты Май'!L252</f>
        <v>9</v>
      </c>
      <c r="D254" s="17"/>
      <c r="E254" s="14"/>
      <c r="F254" s="18">
        <f>2</f>
        <v>2</v>
      </c>
      <c r="G254" s="19"/>
      <c r="H254" s="20"/>
      <c r="I254" s="21"/>
      <c r="J254" s="14"/>
      <c r="K254" s="14">
        <f t="shared" si="6"/>
        <v>2</v>
      </c>
      <c r="L254" s="16">
        <f t="shared" si="7"/>
        <v>7</v>
      </c>
      <c r="M254" s="22">
        <v>45231</v>
      </c>
      <c r="N254" s="44" t="s">
        <v>551</v>
      </c>
      <c r="O254" s="23" t="s">
        <v>16</v>
      </c>
      <c r="P254" s="24" t="s">
        <v>17</v>
      </c>
      <c r="Q254" s="23" t="s">
        <v>557</v>
      </c>
    </row>
    <row r="255" spans="1:17">
      <c r="A255" s="14">
        <v>251</v>
      </c>
      <c r="B255" s="29" t="s">
        <v>556</v>
      </c>
      <c r="C255" s="16">
        <f>'Медикаменты Май'!L253</f>
        <v>0</v>
      </c>
      <c r="D255" s="17"/>
      <c r="E255" s="14"/>
      <c r="F255" s="18"/>
      <c r="G255" s="19"/>
      <c r="H255" s="20"/>
      <c r="I255" s="21"/>
      <c r="J255" s="14"/>
      <c r="K255" s="14">
        <f t="shared" si="6"/>
        <v>0</v>
      </c>
      <c r="L255" s="16">
        <f t="shared" si="7"/>
        <v>0</v>
      </c>
      <c r="M255" s="22">
        <v>45231</v>
      </c>
      <c r="N255" s="44" t="s">
        <v>551</v>
      </c>
      <c r="O255" s="23" t="s">
        <v>26</v>
      </c>
      <c r="P255" s="24" t="s">
        <v>17</v>
      </c>
      <c r="Q255" s="23" t="s">
        <v>557</v>
      </c>
    </row>
    <row r="256" spans="1:17">
      <c r="A256" s="14">
        <v>252</v>
      </c>
      <c r="B256" s="29" t="s">
        <v>367</v>
      </c>
      <c r="C256" s="16">
        <f>'Медикаменты Май'!L254</f>
        <v>2</v>
      </c>
      <c r="D256" s="17"/>
      <c r="E256" s="14"/>
      <c r="F256" s="18">
        <f>2</f>
        <v>2</v>
      </c>
      <c r="G256" s="19"/>
      <c r="H256" s="20"/>
      <c r="I256" s="21"/>
      <c r="J256" s="14"/>
      <c r="K256" s="14">
        <f t="shared" si="6"/>
        <v>2</v>
      </c>
      <c r="L256" s="16">
        <f t="shared" si="7"/>
        <v>0</v>
      </c>
      <c r="M256" s="22">
        <v>45261</v>
      </c>
      <c r="N256" s="44" t="s">
        <v>45</v>
      </c>
      <c r="O256" s="23" t="s">
        <v>16</v>
      </c>
      <c r="P256" s="24" t="s">
        <v>17</v>
      </c>
      <c r="Q256" s="23" t="s">
        <v>368</v>
      </c>
    </row>
    <row r="257" spans="1:17">
      <c r="A257" s="14">
        <v>253</v>
      </c>
      <c r="B257" s="29" t="s">
        <v>369</v>
      </c>
      <c r="C257" s="16">
        <f>'Медикаменты Май'!L255</f>
        <v>0</v>
      </c>
      <c r="D257" s="17"/>
      <c r="E257" s="14"/>
      <c r="F257" s="18"/>
      <c r="G257" s="19"/>
      <c r="H257" s="20"/>
      <c r="I257" s="21"/>
      <c r="J257" s="14"/>
      <c r="K257" s="14">
        <f t="shared" si="6"/>
        <v>0</v>
      </c>
      <c r="L257" s="16">
        <f t="shared" si="7"/>
        <v>0</v>
      </c>
      <c r="M257" s="22">
        <v>44927</v>
      </c>
      <c r="N257" s="44" t="s">
        <v>45</v>
      </c>
      <c r="O257" s="23" t="s">
        <v>16</v>
      </c>
      <c r="P257" s="24" t="s">
        <v>45</v>
      </c>
      <c r="Q257" s="28" t="s">
        <v>370</v>
      </c>
    </row>
    <row r="258" spans="1:17">
      <c r="A258" s="14">
        <v>254</v>
      </c>
      <c r="B258" s="29" t="s">
        <v>371</v>
      </c>
      <c r="C258" s="16">
        <f>'Медикаменты Май'!L256</f>
        <v>0</v>
      </c>
      <c r="D258" s="17"/>
      <c r="E258" s="14"/>
      <c r="F258" s="18"/>
      <c r="G258" s="19"/>
      <c r="H258" s="20"/>
      <c r="I258" s="21"/>
      <c r="J258" s="14"/>
      <c r="K258" s="14">
        <f t="shared" si="6"/>
        <v>0</v>
      </c>
      <c r="L258" s="16">
        <f t="shared" si="7"/>
        <v>0</v>
      </c>
      <c r="M258" s="22">
        <v>45413</v>
      </c>
      <c r="N258" s="44"/>
      <c r="O258" s="23" t="s">
        <v>16</v>
      </c>
      <c r="P258" s="24" t="s">
        <v>17</v>
      </c>
      <c r="Q258" s="23" t="s">
        <v>372</v>
      </c>
    </row>
    <row r="259" spans="1:17">
      <c r="A259" s="14">
        <v>255</v>
      </c>
      <c r="B259" s="29" t="s">
        <v>371</v>
      </c>
      <c r="C259" s="16">
        <f>'Медикаменты Май'!L257</f>
        <v>0</v>
      </c>
      <c r="D259" s="17"/>
      <c r="E259" s="14"/>
      <c r="F259" s="18"/>
      <c r="G259" s="19"/>
      <c r="H259" s="20"/>
      <c r="I259" s="21"/>
      <c r="J259" s="14"/>
      <c r="K259" s="14">
        <f t="shared" si="6"/>
        <v>0</v>
      </c>
      <c r="L259" s="16">
        <f t="shared" si="7"/>
        <v>0</v>
      </c>
      <c r="M259" s="22">
        <v>45413</v>
      </c>
      <c r="N259" s="44"/>
      <c r="O259" s="23" t="s">
        <v>26</v>
      </c>
      <c r="P259" s="24"/>
      <c r="Q259" s="23" t="s">
        <v>372</v>
      </c>
    </row>
    <row r="260" spans="1:17">
      <c r="A260" s="14">
        <v>256</v>
      </c>
      <c r="B260" s="29" t="s">
        <v>373</v>
      </c>
      <c r="C260" s="16">
        <f>'Медикаменты Май'!L258</f>
        <v>0</v>
      </c>
      <c r="D260" s="17"/>
      <c r="E260" s="14"/>
      <c r="F260" s="18"/>
      <c r="G260" s="19"/>
      <c r="H260" s="20"/>
      <c r="I260" s="21"/>
      <c r="J260" s="14"/>
      <c r="K260" s="14">
        <f t="shared" si="6"/>
        <v>0</v>
      </c>
      <c r="L260" s="16">
        <f t="shared" si="7"/>
        <v>0</v>
      </c>
      <c r="M260" s="22">
        <v>45108</v>
      </c>
      <c r="N260" s="44"/>
      <c r="O260" s="23" t="s">
        <v>16</v>
      </c>
      <c r="P260" s="24"/>
      <c r="Q260" s="23" t="s">
        <v>374</v>
      </c>
    </row>
    <row r="261" spans="1:17">
      <c r="A261" s="14">
        <v>257</v>
      </c>
      <c r="B261" s="29" t="s">
        <v>373</v>
      </c>
      <c r="C261" s="16">
        <f>'Медикаменты Май'!L259</f>
        <v>0</v>
      </c>
      <c r="D261" s="17"/>
      <c r="E261" s="14"/>
      <c r="F261" s="18"/>
      <c r="G261" s="19"/>
      <c r="H261" s="20"/>
      <c r="I261" s="21"/>
      <c r="J261" s="14"/>
      <c r="K261" s="14">
        <f t="shared" ref="K261:K324" si="8">SUM(F261:J261)</f>
        <v>0</v>
      </c>
      <c r="L261" s="16">
        <f t="shared" ref="L261:L324" si="9">(C261+E261)-K261</f>
        <v>0</v>
      </c>
      <c r="M261" s="22">
        <v>45108</v>
      </c>
      <c r="N261" s="44"/>
      <c r="O261" s="23" t="s">
        <v>26</v>
      </c>
      <c r="P261" s="24"/>
      <c r="Q261" s="23" t="s">
        <v>374</v>
      </c>
    </row>
    <row r="262" spans="1:17">
      <c r="A262" s="14">
        <v>258</v>
      </c>
      <c r="B262" s="29" t="s">
        <v>375</v>
      </c>
      <c r="C262" s="16">
        <f>'Медикаменты Май'!L260</f>
        <v>0</v>
      </c>
      <c r="D262" s="17"/>
      <c r="E262" s="14"/>
      <c r="F262" s="18"/>
      <c r="G262" s="19"/>
      <c r="H262" s="20"/>
      <c r="I262" s="21"/>
      <c r="J262" s="14"/>
      <c r="K262" s="14">
        <f t="shared" si="8"/>
        <v>0</v>
      </c>
      <c r="L262" s="16">
        <f t="shared" si="9"/>
        <v>0</v>
      </c>
      <c r="M262" s="22">
        <v>44805</v>
      </c>
      <c r="N262" s="44"/>
      <c r="O262" s="23" t="s">
        <v>16</v>
      </c>
      <c r="P262" s="24" t="s">
        <v>17</v>
      </c>
      <c r="Q262" s="28" t="s">
        <v>376</v>
      </c>
    </row>
    <row r="263" spans="1:17">
      <c r="A263" s="14">
        <v>259</v>
      </c>
      <c r="B263" s="29" t="s">
        <v>375</v>
      </c>
      <c r="C263" s="16">
        <f>'Медикаменты Май'!L261</f>
        <v>0</v>
      </c>
      <c r="D263" s="17"/>
      <c r="E263" s="14"/>
      <c r="F263" s="18"/>
      <c r="G263" s="19"/>
      <c r="H263" s="20"/>
      <c r="I263" s="21"/>
      <c r="J263" s="14"/>
      <c r="K263" s="14">
        <f t="shared" si="8"/>
        <v>0</v>
      </c>
      <c r="L263" s="16">
        <f t="shared" si="9"/>
        <v>0</v>
      </c>
      <c r="M263" s="22">
        <v>44958</v>
      </c>
      <c r="N263" s="44"/>
      <c r="O263" s="23" t="s">
        <v>26</v>
      </c>
      <c r="P263" s="24"/>
      <c r="Q263" s="28" t="s">
        <v>376</v>
      </c>
    </row>
    <row r="264" spans="1:17">
      <c r="A264" s="14">
        <v>260</v>
      </c>
      <c r="B264" s="29" t="s">
        <v>377</v>
      </c>
      <c r="C264" s="16">
        <f>'Медикаменты Май'!L262</f>
        <v>54</v>
      </c>
      <c r="D264" s="17"/>
      <c r="E264" s="14"/>
      <c r="F264" s="18">
        <f>5+5+5+10</f>
        <v>25</v>
      </c>
      <c r="G264" s="19"/>
      <c r="H264" s="20">
        <f>10</f>
        <v>10</v>
      </c>
      <c r="I264" s="21"/>
      <c r="J264" s="14"/>
      <c r="K264" s="14">
        <f t="shared" si="8"/>
        <v>35</v>
      </c>
      <c r="L264" s="16">
        <f t="shared" si="9"/>
        <v>19</v>
      </c>
      <c r="M264" s="22">
        <v>45170</v>
      </c>
      <c r="N264" s="44" t="s">
        <v>45</v>
      </c>
      <c r="O264" s="23" t="s">
        <v>16</v>
      </c>
      <c r="P264" s="24" t="s">
        <v>17</v>
      </c>
      <c r="Q264" s="23" t="s">
        <v>378</v>
      </c>
    </row>
    <row r="265" spans="1:17">
      <c r="A265" s="14">
        <v>261</v>
      </c>
      <c r="B265" s="29" t="s">
        <v>377</v>
      </c>
      <c r="C265" s="16">
        <f>'Медикаменты Май'!L263</f>
        <v>0</v>
      </c>
      <c r="D265" s="17"/>
      <c r="E265" s="14"/>
      <c r="F265" s="18"/>
      <c r="G265" s="19"/>
      <c r="H265" s="20"/>
      <c r="I265" s="21"/>
      <c r="J265" s="14"/>
      <c r="K265" s="14">
        <f t="shared" si="8"/>
        <v>0</v>
      </c>
      <c r="L265" s="16">
        <f t="shared" si="9"/>
        <v>0</v>
      </c>
      <c r="M265" s="22">
        <v>45170</v>
      </c>
      <c r="N265" s="44"/>
      <c r="O265" s="23" t="s">
        <v>26</v>
      </c>
      <c r="P265" s="24" t="s">
        <v>17</v>
      </c>
      <c r="Q265" s="23" t="s">
        <v>378</v>
      </c>
    </row>
    <row r="266" spans="1:17">
      <c r="A266" s="14">
        <v>262</v>
      </c>
      <c r="B266" s="29" t="s">
        <v>379</v>
      </c>
      <c r="C266" s="16">
        <f>'Медикаменты Май'!L264</f>
        <v>0</v>
      </c>
      <c r="D266" s="17"/>
      <c r="E266" s="14">
        <f>200</f>
        <v>200</v>
      </c>
      <c r="F266" s="18"/>
      <c r="G266" s="19"/>
      <c r="H266" s="20"/>
      <c r="I266" s="21"/>
      <c r="J266" s="14"/>
      <c r="K266" s="14">
        <f t="shared" si="8"/>
        <v>0</v>
      </c>
      <c r="L266" s="16">
        <f t="shared" si="9"/>
        <v>200</v>
      </c>
      <c r="M266" s="22">
        <v>45292</v>
      </c>
      <c r="N266" s="44" t="s">
        <v>551</v>
      </c>
      <c r="O266" s="23" t="s">
        <v>16</v>
      </c>
      <c r="P266" s="24" t="s">
        <v>17</v>
      </c>
      <c r="Q266" s="23" t="s">
        <v>586</v>
      </c>
    </row>
    <row r="267" spans="1:17">
      <c r="A267" s="14">
        <v>263</v>
      </c>
      <c r="B267" s="29" t="s">
        <v>380</v>
      </c>
      <c r="C267" s="16">
        <f>'Медикаменты Май'!L265</f>
        <v>0</v>
      </c>
      <c r="D267" s="17"/>
      <c r="E267" s="14"/>
      <c r="F267" s="18"/>
      <c r="G267" s="19"/>
      <c r="H267" s="20"/>
      <c r="I267" s="21"/>
      <c r="J267" s="14"/>
      <c r="K267" s="14">
        <f t="shared" si="8"/>
        <v>0</v>
      </c>
      <c r="L267" s="16">
        <f t="shared" si="9"/>
        <v>0</v>
      </c>
      <c r="M267" s="22">
        <v>44682</v>
      </c>
      <c r="N267" s="44"/>
      <c r="O267" s="23" t="s">
        <v>16</v>
      </c>
      <c r="P267" s="24" t="s">
        <v>45</v>
      </c>
      <c r="Q267" s="23" t="s">
        <v>381</v>
      </c>
    </row>
    <row r="268" spans="1:17">
      <c r="A268" s="14">
        <v>264</v>
      </c>
      <c r="B268" s="29" t="s">
        <v>382</v>
      </c>
      <c r="C268" s="16">
        <f>'Медикаменты Май'!L266</f>
        <v>0</v>
      </c>
      <c r="D268" s="17"/>
      <c r="E268" s="14"/>
      <c r="F268" s="18"/>
      <c r="G268" s="19"/>
      <c r="H268" s="20"/>
      <c r="I268" s="21"/>
      <c r="J268" s="14"/>
      <c r="K268" s="14">
        <f t="shared" si="8"/>
        <v>0</v>
      </c>
      <c r="L268" s="16">
        <f t="shared" si="9"/>
        <v>0</v>
      </c>
      <c r="M268" s="22">
        <v>44743</v>
      </c>
      <c r="N268" s="44"/>
      <c r="O268" s="23" t="s">
        <v>16</v>
      </c>
      <c r="P268" s="24"/>
      <c r="Q268" s="23" t="s">
        <v>383</v>
      </c>
    </row>
    <row r="269" spans="1:17">
      <c r="A269" s="14">
        <v>265</v>
      </c>
      <c r="B269" s="29" t="s">
        <v>384</v>
      </c>
      <c r="C269" s="16">
        <f>'Медикаменты Май'!L267</f>
        <v>0</v>
      </c>
      <c r="D269" s="17"/>
      <c r="E269" s="14"/>
      <c r="F269" s="18"/>
      <c r="G269" s="19"/>
      <c r="H269" s="20"/>
      <c r="I269" s="21"/>
      <c r="J269" s="14"/>
      <c r="K269" s="14">
        <f t="shared" si="8"/>
        <v>0</v>
      </c>
      <c r="L269" s="16">
        <f t="shared" si="9"/>
        <v>0</v>
      </c>
      <c r="M269" s="22"/>
      <c r="N269" s="44"/>
      <c r="O269" s="23" t="s">
        <v>16</v>
      </c>
      <c r="P269" s="24"/>
      <c r="Q269" s="25"/>
    </row>
    <row r="270" spans="1:17">
      <c r="A270" s="14">
        <v>266</v>
      </c>
      <c r="B270" s="29" t="s">
        <v>385</v>
      </c>
      <c r="C270" s="16">
        <f>'Медикаменты Май'!L268</f>
        <v>0</v>
      </c>
      <c r="D270" s="17"/>
      <c r="E270" s="14"/>
      <c r="F270" s="18"/>
      <c r="G270" s="19"/>
      <c r="H270" s="20"/>
      <c r="I270" s="21"/>
      <c r="J270" s="14"/>
      <c r="K270" s="14">
        <f t="shared" si="8"/>
        <v>0</v>
      </c>
      <c r="L270" s="16">
        <f t="shared" si="9"/>
        <v>0</v>
      </c>
      <c r="M270" s="22"/>
      <c r="N270" s="44"/>
      <c r="O270" s="23" t="s">
        <v>16</v>
      </c>
      <c r="P270" s="24"/>
      <c r="Q270" s="25"/>
    </row>
    <row r="271" spans="1:17">
      <c r="A271" s="14">
        <v>267</v>
      </c>
      <c r="B271" s="29" t="s">
        <v>386</v>
      </c>
      <c r="C271" s="16">
        <f>'Медикаменты Май'!L269</f>
        <v>0</v>
      </c>
      <c r="D271" s="17"/>
      <c r="E271" s="14"/>
      <c r="F271" s="18"/>
      <c r="G271" s="19"/>
      <c r="H271" s="20"/>
      <c r="I271" s="21"/>
      <c r="J271" s="14"/>
      <c r="K271" s="14">
        <f t="shared" si="8"/>
        <v>0</v>
      </c>
      <c r="L271" s="16">
        <f t="shared" si="9"/>
        <v>0</v>
      </c>
      <c r="M271" s="22"/>
      <c r="N271" s="44"/>
      <c r="O271" s="23" t="s">
        <v>16</v>
      </c>
      <c r="P271" s="24"/>
      <c r="Q271" s="25"/>
    </row>
    <row r="272" spans="1:17">
      <c r="A272" s="14">
        <v>268</v>
      </c>
      <c r="B272" s="29" t="s">
        <v>387</v>
      </c>
      <c r="C272" s="16">
        <f>'Медикаменты Май'!L270</f>
        <v>0</v>
      </c>
      <c r="D272" s="17"/>
      <c r="E272" s="14"/>
      <c r="F272" s="18"/>
      <c r="G272" s="19"/>
      <c r="H272" s="20"/>
      <c r="I272" s="21"/>
      <c r="J272" s="14"/>
      <c r="K272" s="14">
        <f t="shared" si="8"/>
        <v>0</v>
      </c>
      <c r="L272" s="16">
        <f t="shared" si="9"/>
        <v>0</v>
      </c>
      <c r="M272" s="22"/>
      <c r="N272" s="44"/>
      <c r="O272" s="23" t="s">
        <v>16</v>
      </c>
      <c r="P272" s="24"/>
      <c r="Q272" s="25"/>
    </row>
    <row r="273" spans="1:17">
      <c r="A273" s="14">
        <v>269</v>
      </c>
      <c r="B273" s="29" t="s">
        <v>388</v>
      </c>
      <c r="C273" s="16">
        <f>'Медикаменты Май'!L271</f>
        <v>0</v>
      </c>
      <c r="D273" s="17"/>
      <c r="E273" s="14"/>
      <c r="F273" s="18"/>
      <c r="G273" s="19"/>
      <c r="H273" s="20"/>
      <c r="I273" s="21"/>
      <c r="J273" s="14"/>
      <c r="K273" s="14">
        <f t="shared" si="8"/>
        <v>0</v>
      </c>
      <c r="L273" s="16">
        <f t="shared" si="9"/>
        <v>0</v>
      </c>
      <c r="M273" s="22">
        <v>45139</v>
      </c>
      <c r="N273" s="44"/>
      <c r="O273" s="23" t="s">
        <v>16</v>
      </c>
      <c r="P273" s="24"/>
      <c r="Q273" s="23" t="s">
        <v>389</v>
      </c>
    </row>
    <row r="274" spans="1:17">
      <c r="A274" s="14">
        <v>270</v>
      </c>
      <c r="B274" s="29" t="s">
        <v>390</v>
      </c>
      <c r="C274" s="16">
        <f>'Медикаменты Май'!L272</f>
        <v>0</v>
      </c>
      <c r="D274" s="26"/>
      <c r="E274" s="14"/>
      <c r="F274" s="18"/>
      <c r="G274" s="19"/>
      <c r="H274" s="20"/>
      <c r="I274" s="21"/>
      <c r="J274" s="14"/>
      <c r="K274" s="14">
        <f t="shared" si="8"/>
        <v>0</v>
      </c>
      <c r="L274" s="16">
        <f t="shared" si="9"/>
        <v>0</v>
      </c>
      <c r="M274" s="22"/>
      <c r="N274" s="44"/>
      <c r="O274" s="23" t="s">
        <v>16</v>
      </c>
      <c r="P274" s="24"/>
      <c r="Q274" s="23" t="s">
        <v>391</v>
      </c>
    </row>
    <row r="275" spans="1:17">
      <c r="A275" s="14">
        <v>271</v>
      </c>
      <c r="B275" s="29" t="s">
        <v>392</v>
      </c>
      <c r="C275" s="16">
        <f>'Медикаменты Май'!L273</f>
        <v>0</v>
      </c>
      <c r="D275" s="17"/>
      <c r="E275" s="14"/>
      <c r="F275" s="18"/>
      <c r="G275" s="19"/>
      <c r="H275" s="20"/>
      <c r="I275" s="21"/>
      <c r="J275" s="14"/>
      <c r="K275" s="14">
        <f t="shared" si="8"/>
        <v>0</v>
      </c>
      <c r="L275" s="16">
        <f t="shared" si="9"/>
        <v>0</v>
      </c>
      <c r="M275" s="22"/>
      <c r="N275" s="44"/>
      <c r="O275" s="23" t="s">
        <v>16</v>
      </c>
      <c r="P275" s="24"/>
      <c r="Q275" s="25"/>
    </row>
    <row r="276" spans="1:17">
      <c r="A276" s="14">
        <v>272</v>
      </c>
      <c r="B276" s="29" t="s">
        <v>573</v>
      </c>
      <c r="C276" s="16">
        <f>'Медикаменты Май'!L274</f>
        <v>6</v>
      </c>
      <c r="D276" s="17"/>
      <c r="E276" s="14"/>
      <c r="F276" s="18">
        <f>1</f>
        <v>1</v>
      </c>
      <c r="G276" s="19"/>
      <c r="H276" s="20"/>
      <c r="I276" s="21"/>
      <c r="J276" s="14"/>
      <c r="K276" s="14">
        <f t="shared" si="8"/>
        <v>1</v>
      </c>
      <c r="L276" s="16">
        <f t="shared" si="9"/>
        <v>5</v>
      </c>
      <c r="M276" s="22">
        <v>45047</v>
      </c>
      <c r="N276" s="44" t="s">
        <v>45</v>
      </c>
      <c r="O276" s="23" t="s">
        <v>16</v>
      </c>
      <c r="P276" s="24" t="s">
        <v>17</v>
      </c>
      <c r="Q276" s="23" t="s">
        <v>574</v>
      </c>
    </row>
    <row r="277" spans="1:17">
      <c r="A277" s="14">
        <v>273</v>
      </c>
      <c r="B277" s="29" t="s">
        <v>393</v>
      </c>
      <c r="C277" s="16">
        <f>'Медикаменты Май'!L275</f>
        <v>69</v>
      </c>
      <c r="D277" s="17"/>
      <c r="E277" s="14"/>
      <c r="F277" s="18"/>
      <c r="G277" s="19"/>
      <c r="H277" s="20"/>
      <c r="I277" s="21"/>
      <c r="J277" s="14"/>
      <c r="K277" s="14">
        <f t="shared" si="8"/>
        <v>0</v>
      </c>
      <c r="L277" s="16">
        <f t="shared" si="9"/>
        <v>69</v>
      </c>
      <c r="M277" s="22">
        <v>44652</v>
      </c>
      <c r="N277" s="44" t="s">
        <v>45</v>
      </c>
      <c r="O277" s="23" t="s">
        <v>16</v>
      </c>
      <c r="P277" s="24" t="s">
        <v>17</v>
      </c>
      <c r="Q277" s="23" t="s">
        <v>394</v>
      </c>
    </row>
    <row r="278" spans="1:17">
      <c r="A278" s="14">
        <v>274</v>
      </c>
      <c r="B278" s="29" t="s">
        <v>395</v>
      </c>
      <c r="C278" s="16">
        <f>'Медикаменты Май'!L276</f>
        <v>0</v>
      </c>
      <c r="D278" s="17"/>
      <c r="E278" s="14">
        <f>37</f>
        <v>37</v>
      </c>
      <c r="F278" s="18"/>
      <c r="G278" s="19"/>
      <c r="H278" s="20"/>
      <c r="I278" s="21"/>
      <c r="J278" s="14"/>
      <c r="K278" s="14">
        <f t="shared" si="8"/>
        <v>0</v>
      </c>
      <c r="L278" s="16">
        <f t="shared" si="9"/>
        <v>37</v>
      </c>
      <c r="M278" s="22">
        <v>44378</v>
      </c>
      <c r="N278" s="44" t="s">
        <v>551</v>
      </c>
      <c r="O278" s="23" t="s">
        <v>16</v>
      </c>
      <c r="P278" s="24" t="s">
        <v>17</v>
      </c>
      <c r="Q278" s="23" t="s">
        <v>396</v>
      </c>
    </row>
    <row r="279" spans="1:17">
      <c r="A279" s="14">
        <v>275</v>
      </c>
      <c r="B279" s="29" t="s">
        <v>397</v>
      </c>
      <c r="C279" s="16">
        <f>'Медикаменты Май'!L277</f>
        <v>0</v>
      </c>
      <c r="D279" s="17"/>
      <c r="E279" s="14">
        <f>9</f>
        <v>9</v>
      </c>
      <c r="F279" s="18"/>
      <c r="G279" s="19"/>
      <c r="H279" s="20"/>
      <c r="I279" s="21"/>
      <c r="J279" s="14"/>
      <c r="K279" s="14">
        <f t="shared" si="8"/>
        <v>0</v>
      </c>
      <c r="L279" s="16">
        <f t="shared" si="9"/>
        <v>9</v>
      </c>
      <c r="M279" s="22">
        <v>45689</v>
      </c>
      <c r="N279" s="44" t="s">
        <v>45</v>
      </c>
      <c r="O279" s="23" t="s">
        <v>16</v>
      </c>
      <c r="P279" s="24" t="s">
        <v>17</v>
      </c>
      <c r="Q279" s="23" t="s">
        <v>587</v>
      </c>
    </row>
    <row r="280" spans="1:17">
      <c r="A280" s="14">
        <v>276</v>
      </c>
      <c r="B280" s="29" t="s">
        <v>398</v>
      </c>
      <c r="C280" s="16">
        <f>'Медикаменты Май'!L278</f>
        <v>0</v>
      </c>
      <c r="D280" s="17"/>
      <c r="E280" s="14"/>
      <c r="F280" s="18"/>
      <c r="G280" s="19"/>
      <c r="H280" s="20"/>
      <c r="I280" s="21"/>
      <c r="J280" s="14"/>
      <c r="K280" s="14">
        <f t="shared" si="8"/>
        <v>0</v>
      </c>
      <c r="L280" s="16">
        <f t="shared" si="9"/>
        <v>0</v>
      </c>
      <c r="M280" s="22">
        <v>44256</v>
      </c>
      <c r="N280" s="44"/>
      <c r="O280" s="23" t="s">
        <v>16</v>
      </c>
      <c r="P280" s="24"/>
      <c r="Q280" s="28" t="s">
        <v>399</v>
      </c>
    </row>
    <row r="281" spans="1:17">
      <c r="A281" s="14">
        <v>277</v>
      </c>
      <c r="B281" s="29" t="s">
        <v>400</v>
      </c>
      <c r="C281" s="16">
        <f>'Медикаменты Май'!L279</f>
        <v>0</v>
      </c>
      <c r="D281" s="17"/>
      <c r="E281" s="14"/>
      <c r="F281" s="18"/>
      <c r="G281" s="19"/>
      <c r="H281" s="20"/>
      <c r="I281" s="21"/>
      <c r="J281" s="14"/>
      <c r="K281" s="14">
        <f t="shared" si="8"/>
        <v>0</v>
      </c>
      <c r="L281" s="16">
        <f t="shared" si="9"/>
        <v>0</v>
      </c>
      <c r="M281" s="22">
        <v>44531</v>
      </c>
      <c r="N281" s="44"/>
      <c r="O281" s="23" t="s">
        <v>16</v>
      </c>
      <c r="P281" s="24" t="s">
        <v>45</v>
      </c>
      <c r="Q281" s="28" t="s">
        <v>401</v>
      </c>
    </row>
    <row r="282" spans="1:17">
      <c r="A282" s="14">
        <v>278</v>
      </c>
      <c r="B282" s="29" t="s">
        <v>402</v>
      </c>
      <c r="C282" s="16">
        <f>'Медикаменты Май'!L280</f>
        <v>0</v>
      </c>
      <c r="D282" s="17"/>
      <c r="E282" s="14"/>
      <c r="F282" s="18"/>
      <c r="G282" s="19"/>
      <c r="H282" s="20"/>
      <c r="I282" s="21"/>
      <c r="J282" s="14"/>
      <c r="K282" s="14">
        <f t="shared" si="8"/>
        <v>0</v>
      </c>
      <c r="L282" s="16">
        <f t="shared" si="9"/>
        <v>0</v>
      </c>
      <c r="M282" s="22">
        <v>45108</v>
      </c>
      <c r="N282" s="44"/>
      <c r="O282" s="23" t="s">
        <v>26</v>
      </c>
      <c r="P282" s="24" t="s">
        <v>45</v>
      </c>
      <c r="Q282" s="23" t="s">
        <v>403</v>
      </c>
    </row>
    <row r="283" spans="1:17">
      <c r="A283" s="14">
        <v>279</v>
      </c>
      <c r="B283" s="29" t="s">
        <v>404</v>
      </c>
      <c r="C283" s="16">
        <f>'Медикаменты Май'!L281</f>
        <v>0</v>
      </c>
      <c r="D283" s="17"/>
      <c r="E283" s="14"/>
      <c r="F283" s="18"/>
      <c r="G283" s="19"/>
      <c r="H283" s="20"/>
      <c r="I283" s="21"/>
      <c r="J283" s="14"/>
      <c r="K283" s="14">
        <f t="shared" si="8"/>
        <v>0</v>
      </c>
      <c r="L283" s="16">
        <f t="shared" si="9"/>
        <v>0</v>
      </c>
      <c r="M283" s="22"/>
      <c r="N283" s="44"/>
      <c r="O283" s="23" t="s">
        <v>16</v>
      </c>
      <c r="P283" s="24"/>
      <c r="Q283" s="25"/>
    </row>
    <row r="284" spans="1:17">
      <c r="A284" s="14">
        <v>280</v>
      </c>
      <c r="B284" s="29" t="s">
        <v>549</v>
      </c>
      <c r="C284" s="16">
        <f>'Медикаменты Май'!L282</f>
        <v>0</v>
      </c>
      <c r="D284" s="17"/>
      <c r="E284" s="14"/>
      <c r="F284" s="18"/>
      <c r="G284" s="19"/>
      <c r="H284" s="20"/>
      <c r="I284" s="21"/>
      <c r="J284" s="14"/>
      <c r="K284" s="14">
        <f t="shared" si="8"/>
        <v>0</v>
      </c>
      <c r="L284" s="16">
        <f t="shared" si="9"/>
        <v>0</v>
      </c>
      <c r="M284" s="22">
        <v>44287</v>
      </c>
      <c r="N284" s="44"/>
      <c r="O284" s="23" t="s">
        <v>16</v>
      </c>
      <c r="P284" s="24" t="s">
        <v>45</v>
      </c>
      <c r="Q284" s="23" t="s">
        <v>406</v>
      </c>
    </row>
    <row r="285" spans="1:17">
      <c r="A285" s="14">
        <v>281</v>
      </c>
      <c r="B285" s="29" t="s">
        <v>407</v>
      </c>
      <c r="C285" s="16">
        <f>'Медикаменты Май'!L283</f>
        <v>0</v>
      </c>
      <c r="D285" s="17"/>
      <c r="E285" s="14"/>
      <c r="F285" s="18"/>
      <c r="G285" s="19"/>
      <c r="H285" s="20"/>
      <c r="I285" s="21"/>
      <c r="J285" s="14"/>
      <c r="K285" s="14">
        <f t="shared" si="8"/>
        <v>0</v>
      </c>
      <c r="L285" s="16">
        <f t="shared" si="9"/>
        <v>0</v>
      </c>
      <c r="M285" s="22">
        <v>44562</v>
      </c>
      <c r="N285" s="44"/>
      <c r="O285" s="23" t="s">
        <v>16</v>
      </c>
      <c r="P285" s="24" t="s">
        <v>17</v>
      </c>
      <c r="Q285" s="28" t="s">
        <v>408</v>
      </c>
    </row>
    <row r="286" spans="1:17">
      <c r="A286" s="14">
        <v>282</v>
      </c>
      <c r="B286" s="29" t="s">
        <v>409</v>
      </c>
      <c r="C286" s="16">
        <f>'Медикаменты Май'!L284</f>
        <v>285</v>
      </c>
      <c r="D286" s="17"/>
      <c r="E286" s="14"/>
      <c r="F286" s="18">
        <f>5+5+10</f>
        <v>20</v>
      </c>
      <c r="G286" s="19"/>
      <c r="H286" s="20">
        <f>10</f>
        <v>10</v>
      </c>
      <c r="I286" s="21"/>
      <c r="J286" s="14"/>
      <c r="K286" s="14">
        <f t="shared" si="8"/>
        <v>30</v>
      </c>
      <c r="L286" s="16">
        <f t="shared" si="9"/>
        <v>255</v>
      </c>
      <c r="M286" s="22">
        <v>45139</v>
      </c>
      <c r="N286" s="44" t="s">
        <v>45</v>
      </c>
      <c r="O286" s="23" t="s">
        <v>16</v>
      </c>
      <c r="P286" s="24" t="s">
        <v>17</v>
      </c>
      <c r="Q286" s="28" t="s">
        <v>410</v>
      </c>
    </row>
    <row r="287" spans="1:17">
      <c r="A287" s="14">
        <v>283</v>
      </c>
      <c r="B287" s="29" t="s">
        <v>411</v>
      </c>
      <c r="C287" s="16">
        <f>'Медикаменты Май'!L285</f>
        <v>0</v>
      </c>
      <c r="D287" s="17"/>
      <c r="E287" s="14"/>
      <c r="F287" s="18"/>
      <c r="G287" s="19"/>
      <c r="H287" s="20"/>
      <c r="I287" s="21"/>
      <c r="J287" s="14"/>
      <c r="K287" s="14">
        <f t="shared" si="8"/>
        <v>0</v>
      </c>
      <c r="L287" s="16">
        <f t="shared" si="9"/>
        <v>0</v>
      </c>
      <c r="M287" s="22">
        <v>45413</v>
      </c>
      <c r="N287" s="44" t="s">
        <v>45</v>
      </c>
      <c r="O287" s="23" t="s">
        <v>16</v>
      </c>
      <c r="P287" s="24" t="s">
        <v>45</v>
      </c>
      <c r="Q287" s="23" t="s">
        <v>412</v>
      </c>
    </row>
    <row r="288" spans="1:17">
      <c r="A288" s="14">
        <v>284</v>
      </c>
      <c r="B288" s="29" t="s">
        <v>413</v>
      </c>
      <c r="C288" s="16">
        <f>'Медикаменты Май'!L286</f>
        <v>0</v>
      </c>
      <c r="D288" s="17"/>
      <c r="E288" s="14"/>
      <c r="F288" s="18"/>
      <c r="G288" s="19"/>
      <c r="H288" s="20"/>
      <c r="I288" s="21"/>
      <c r="J288" s="14"/>
      <c r="K288" s="14">
        <f t="shared" si="8"/>
        <v>0</v>
      </c>
      <c r="L288" s="16">
        <f t="shared" si="9"/>
        <v>0</v>
      </c>
      <c r="M288" s="22">
        <v>45474</v>
      </c>
      <c r="N288" s="44"/>
      <c r="O288" s="23" t="s">
        <v>16</v>
      </c>
      <c r="P288" s="24"/>
      <c r="Q288" s="23"/>
    </row>
    <row r="289" spans="1:17">
      <c r="A289" s="14">
        <v>285</v>
      </c>
      <c r="B289" s="29" t="s">
        <v>414</v>
      </c>
      <c r="C289" s="16">
        <f>'Медикаменты Май'!L287</f>
        <v>0</v>
      </c>
      <c r="D289" s="17"/>
      <c r="E289" s="14"/>
      <c r="F289" s="18"/>
      <c r="G289" s="19"/>
      <c r="H289" s="20"/>
      <c r="I289" s="21"/>
      <c r="J289" s="14"/>
      <c r="K289" s="14">
        <f t="shared" si="8"/>
        <v>0</v>
      </c>
      <c r="L289" s="16">
        <f t="shared" si="9"/>
        <v>0</v>
      </c>
      <c r="M289" s="22"/>
      <c r="N289" s="44"/>
      <c r="O289" s="23" t="s">
        <v>16</v>
      </c>
      <c r="P289" s="24"/>
      <c r="Q289" s="23"/>
    </row>
    <row r="290" spans="1:17">
      <c r="A290" s="14">
        <v>286</v>
      </c>
      <c r="B290" s="29" t="s">
        <v>415</v>
      </c>
      <c r="C290" s="16">
        <f>'Медикаменты Май'!L288</f>
        <v>0</v>
      </c>
      <c r="D290" s="17"/>
      <c r="E290" s="14"/>
      <c r="F290" s="18"/>
      <c r="G290" s="19"/>
      <c r="H290" s="20"/>
      <c r="I290" s="21"/>
      <c r="J290" s="14"/>
      <c r="K290" s="14">
        <f t="shared" si="8"/>
        <v>0</v>
      </c>
      <c r="L290" s="16">
        <f t="shared" si="9"/>
        <v>0</v>
      </c>
      <c r="M290" s="22">
        <v>44986</v>
      </c>
      <c r="N290" s="44"/>
      <c r="O290" s="23" t="s">
        <v>16</v>
      </c>
      <c r="P290" s="24" t="s">
        <v>17</v>
      </c>
      <c r="Q290" s="23" t="s">
        <v>416</v>
      </c>
    </row>
    <row r="291" spans="1:17">
      <c r="A291" s="14">
        <v>287</v>
      </c>
      <c r="B291" s="29" t="s">
        <v>415</v>
      </c>
      <c r="C291" s="16">
        <f>'Медикаменты Май'!L289</f>
        <v>0</v>
      </c>
      <c r="D291" s="17"/>
      <c r="E291" s="14"/>
      <c r="F291" s="18"/>
      <c r="G291" s="19"/>
      <c r="H291" s="20"/>
      <c r="I291" s="21"/>
      <c r="J291" s="14"/>
      <c r="K291" s="14">
        <f t="shared" si="8"/>
        <v>0</v>
      </c>
      <c r="L291" s="16">
        <f t="shared" si="9"/>
        <v>0</v>
      </c>
      <c r="M291" s="22">
        <v>44986</v>
      </c>
      <c r="N291" s="44"/>
      <c r="O291" s="23" t="s">
        <v>26</v>
      </c>
      <c r="P291" s="24"/>
      <c r="Q291" s="23" t="s">
        <v>416</v>
      </c>
    </row>
    <row r="292" spans="1:17">
      <c r="A292" s="14">
        <v>288</v>
      </c>
      <c r="B292" s="31" t="s">
        <v>417</v>
      </c>
      <c r="C292" s="16">
        <f>'Медикаменты Май'!L290</f>
        <v>0</v>
      </c>
      <c r="D292" s="17"/>
      <c r="E292" s="14"/>
      <c r="F292" s="18"/>
      <c r="G292" s="19"/>
      <c r="H292" s="20"/>
      <c r="I292" s="21"/>
      <c r="J292" s="14"/>
      <c r="K292" s="14">
        <f t="shared" si="8"/>
        <v>0</v>
      </c>
      <c r="L292" s="16">
        <f t="shared" si="9"/>
        <v>0</v>
      </c>
      <c r="M292" s="22">
        <v>44136</v>
      </c>
      <c r="N292" s="44"/>
      <c r="O292" s="23" t="s">
        <v>16</v>
      </c>
      <c r="P292" s="24"/>
      <c r="Q292" s="23" t="s">
        <v>418</v>
      </c>
    </row>
    <row r="293" spans="1:17">
      <c r="A293" s="14">
        <v>289</v>
      </c>
      <c r="B293" s="29" t="s">
        <v>419</v>
      </c>
      <c r="C293" s="16">
        <f>'Медикаменты Май'!L291</f>
        <v>0</v>
      </c>
      <c r="D293" s="17"/>
      <c r="E293" s="14"/>
      <c r="F293" s="18"/>
      <c r="G293" s="19"/>
      <c r="H293" s="20"/>
      <c r="I293" s="21"/>
      <c r="J293" s="14"/>
      <c r="K293" s="14">
        <f t="shared" si="8"/>
        <v>0</v>
      </c>
      <c r="L293" s="16">
        <f t="shared" si="9"/>
        <v>0</v>
      </c>
      <c r="M293" s="22"/>
      <c r="N293" s="44"/>
      <c r="O293" s="23" t="s">
        <v>16</v>
      </c>
      <c r="P293" s="24"/>
      <c r="Q293" s="25"/>
    </row>
    <row r="294" spans="1:17">
      <c r="A294" s="14">
        <v>290</v>
      </c>
      <c r="B294" s="29" t="s">
        <v>420</v>
      </c>
      <c r="C294" s="16">
        <f>'Медикаменты Май'!L292</f>
        <v>0</v>
      </c>
      <c r="D294" s="17"/>
      <c r="E294" s="14"/>
      <c r="F294" s="18"/>
      <c r="G294" s="19"/>
      <c r="H294" s="20"/>
      <c r="I294" s="21"/>
      <c r="J294" s="14"/>
      <c r="K294" s="14">
        <f t="shared" si="8"/>
        <v>0</v>
      </c>
      <c r="L294" s="16">
        <f t="shared" si="9"/>
        <v>0</v>
      </c>
      <c r="M294" s="22">
        <v>45047</v>
      </c>
      <c r="N294" s="44" t="s">
        <v>45</v>
      </c>
      <c r="O294" s="23" t="s">
        <v>16</v>
      </c>
      <c r="P294" s="24" t="s">
        <v>17</v>
      </c>
      <c r="Q294" s="23" t="s">
        <v>421</v>
      </c>
    </row>
    <row r="295" spans="1:17">
      <c r="A295" s="14">
        <v>291</v>
      </c>
      <c r="B295" s="29" t="s">
        <v>420</v>
      </c>
      <c r="C295" s="16">
        <f>'Медикаменты Май'!L293</f>
        <v>0</v>
      </c>
      <c r="D295" s="17"/>
      <c r="E295" s="14"/>
      <c r="F295" s="18"/>
      <c r="G295" s="19"/>
      <c r="H295" s="20"/>
      <c r="I295" s="21"/>
      <c r="J295" s="14"/>
      <c r="K295" s="14">
        <f t="shared" si="8"/>
        <v>0</v>
      </c>
      <c r="L295" s="16">
        <f t="shared" si="9"/>
        <v>0</v>
      </c>
      <c r="M295" s="22">
        <v>45047</v>
      </c>
      <c r="N295" s="44"/>
      <c r="O295" s="23" t="s">
        <v>26</v>
      </c>
      <c r="P295" s="24"/>
      <c r="Q295" s="23" t="s">
        <v>421</v>
      </c>
    </row>
    <row r="296" spans="1:17">
      <c r="A296" s="14">
        <v>292</v>
      </c>
      <c r="B296" s="29" t="s">
        <v>422</v>
      </c>
      <c r="C296" s="16">
        <f>'Медикаменты Май'!L294</f>
        <v>0</v>
      </c>
      <c r="D296" s="17"/>
      <c r="E296" s="14"/>
      <c r="F296" s="18"/>
      <c r="G296" s="19"/>
      <c r="H296" s="20"/>
      <c r="I296" s="21"/>
      <c r="J296" s="14"/>
      <c r="K296" s="14">
        <f t="shared" si="8"/>
        <v>0</v>
      </c>
      <c r="L296" s="16">
        <f t="shared" si="9"/>
        <v>0</v>
      </c>
      <c r="M296" s="22"/>
      <c r="N296" s="44"/>
      <c r="O296" s="23" t="s">
        <v>26</v>
      </c>
      <c r="P296" s="24"/>
      <c r="Q296" s="25"/>
    </row>
    <row r="297" spans="1:17">
      <c r="A297" s="14">
        <v>293</v>
      </c>
      <c r="B297" s="29" t="s">
        <v>422</v>
      </c>
      <c r="C297" s="16">
        <f>'Медикаменты Май'!L295</f>
        <v>33</v>
      </c>
      <c r="D297" s="17"/>
      <c r="E297" s="14"/>
      <c r="F297" s="18">
        <f>5+10</f>
        <v>15</v>
      </c>
      <c r="G297" s="19"/>
      <c r="H297" s="20"/>
      <c r="I297" s="21"/>
      <c r="J297" s="14"/>
      <c r="K297" s="14">
        <f t="shared" si="8"/>
        <v>15</v>
      </c>
      <c r="L297" s="16">
        <f t="shared" si="9"/>
        <v>18</v>
      </c>
      <c r="M297" s="22">
        <v>44531</v>
      </c>
      <c r="N297" s="44" t="s">
        <v>45</v>
      </c>
      <c r="O297" s="23" t="s">
        <v>16</v>
      </c>
      <c r="P297" s="24" t="s">
        <v>17</v>
      </c>
      <c r="Q297" s="28" t="s">
        <v>423</v>
      </c>
    </row>
    <row r="298" spans="1:17">
      <c r="A298" s="14">
        <v>294</v>
      </c>
      <c r="B298" s="29" t="s">
        <v>424</v>
      </c>
      <c r="C298" s="16">
        <f>'Медикаменты Май'!L296</f>
        <v>7</v>
      </c>
      <c r="D298" s="17"/>
      <c r="E298" s="14"/>
      <c r="F298" s="18">
        <f>3</f>
        <v>3</v>
      </c>
      <c r="G298" s="19"/>
      <c r="H298" s="20"/>
      <c r="I298" s="21"/>
      <c r="J298" s="14"/>
      <c r="K298" s="14">
        <f t="shared" si="8"/>
        <v>3</v>
      </c>
      <c r="L298" s="16">
        <f t="shared" si="9"/>
        <v>4</v>
      </c>
      <c r="M298" s="22">
        <v>44986</v>
      </c>
      <c r="N298" s="44" t="s">
        <v>551</v>
      </c>
      <c r="O298" s="23" t="s">
        <v>16</v>
      </c>
      <c r="P298" s="24" t="s">
        <v>17</v>
      </c>
      <c r="Q298" s="28" t="s">
        <v>425</v>
      </c>
    </row>
    <row r="299" spans="1:17">
      <c r="A299" s="14">
        <v>295</v>
      </c>
      <c r="B299" s="29" t="s">
        <v>426</v>
      </c>
      <c r="C299" s="16">
        <f>'Медикаменты Май'!L297</f>
        <v>0</v>
      </c>
      <c r="D299" s="17"/>
      <c r="E299" s="14"/>
      <c r="F299" s="18"/>
      <c r="G299" s="19"/>
      <c r="H299" s="20"/>
      <c r="I299" s="21"/>
      <c r="J299" s="14"/>
      <c r="K299" s="14">
        <f t="shared" si="8"/>
        <v>0</v>
      </c>
      <c r="L299" s="16">
        <f t="shared" si="9"/>
        <v>0</v>
      </c>
      <c r="M299" s="22"/>
      <c r="N299" s="44"/>
      <c r="O299" s="23" t="s">
        <v>16</v>
      </c>
      <c r="P299" s="24"/>
      <c r="Q299" s="25"/>
    </row>
    <row r="300" spans="1:17">
      <c r="A300" s="14">
        <v>296</v>
      </c>
      <c r="B300" s="29" t="s">
        <v>427</v>
      </c>
      <c r="C300" s="16">
        <f>'Медикаменты Май'!L298</f>
        <v>0</v>
      </c>
      <c r="D300" s="17"/>
      <c r="E300" s="14"/>
      <c r="F300" s="18"/>
      <c r="G300" s="19"/>
      <c r="H300" s="20"/>
      <c r="I300" s="21"/>
      <c r="J300" s="14"/>
      <c r="K300" s="14">
        <f t="shared" si="8"/>
        <v>0</v>
      </c>
      <c r="L300" s="16">
        <f t="shared" si="9"/>
        <v>0</v>
      </c>
      <c r="M300" s="22"/>
      <c r="N300" s="44"/>
      <c r="O300" s="23" t="s">
        <v>16</v>
      </c>
      <c r="P300" s="24"/>
      <c r="Q300" s="25"/>
    </row>
    <row r="301" spans="1:17">
      <c r="A301" s="14">
        <v>297</v>
      </c>
      <c r="B301" s="29" t="s">
        <v>428</v>
      </c>
      <c r="C301" s="16">
        <f>'Медикаменты Май'!L299</f>
        <v>42</v>
      </c>
      <c r="D301" s="17"/>
      <c r="E301" s="14"/>
      <c r="F301" s="18">
        <f>5+10</f>
        <v>15</v>
      </c>
      <c r="G301" s="19"/>
      <c r="H301" s="20"/>
      <c r="I301" s="21"/>
      <c r="J301" s="14"/>
      <c r="K301" s="14">
        <f t="shared" si="8"/>
        <v>15</v>
      </c>
      <c r="L301" s="16">
        <f t="shared" si="9"/>
        <v>27</v>
      </c>
      <c r="M301" s="22">
        <v>44501</v>
      </c>
      <c r="N301" s="44" t="s">
        <v>45</v>
      </c>
      <c r="O301" s="23" t="s">
        <v>16</v>
      </c>
      <c r="P301" s="24" t="s">
        <v>17</v>
      </c>
      <c r="Q301" s="28" t="s">
        <v>429</v>
      </c>
    </row>
    <row r="302" spans="1:17">
      <c r="A302" s="14">
        <v>298</v>
      </c>
      <c r="B302" s="29" t="s">
        <v>430</v>
      </c>
      <c r="C302" s="16">
        <f>'Медикаменты Май'!L300</f>
        <v>17</v>
      </c>
      <c r="D302" s="26"/>
      <c r="E302" s="14"/>
      <c r="F302" s="18">
        <f>3</f>
        <v>3</v>
      </c>
      <c r="G302" s="19"/>
      <c r="H302" s="20"/>
      <c r="I302" s="21"/>
      <c r="J302" s="14"/>
      <c r="K302" s="14">
        <f t="shared" si="8"/>
        <v>3</v>
      </c>
      <c r="L302" s="16">
        <f t="shared" si="9"/>
        <v>14</v>
      </c>
      <c r="M302" s="22">
        <v>44835</v>
      </c>
      <c r="N302" s="44" t="s">
        <v>45</v>
      </c>
      <c r="O302" s="23" t="s">
        <v>16</v>
      </c>
      <c r="P302" s="24" t="s">
        <v>17</v>
      </c>
      <c r="Q302" s="28" t="s">
        <v>431</v>
      </c>
    </row>
    <row r="303" spans="1:17">
      <c r="A303" s="14">
        <v>299</v>
      </c>
      <c r="B303" s="29" t="s">
        <v>430</v>
      </c>
      <c r="C303" s="16"/>
      <c r="D303" s="26"/>
      <c r="E303" s="14">
        <f>50</f>
        <v>50</v>
      </c>
      <c r="F303" s="18"/>
      <c r="G303" s="19"/>
      <c r="H303" s="20"/>
      <c r="I303" s="21"/>
      <c r="J303" s="14"/>
      <c r="K303" s="14">
        <f t="shared" si="8"/>
        <v>0</v>
      </c>
      <c r="L303" s="16">
        <f t="shared" si="9"/>
        <v>50</v>
      </c>
      <c r="M303" s="22">
        <v>45323</v>
      </c>
      <c r="N303" s="44" t="s">
        <v>551</v>
      </c>
      <c r="O303" s="23" t="s">
        <v>16</v>
      </c>
      <c r="P303" s="24" t="s">
        <v>17</v>
      </c>
      <c r="Q303" s="28" t="s">
        <v>431</v>
      </c>
    </row>
    <row r="304" spans="1:17">
      <c r="A304" s="14">
        <v>300</v>
      </c>
      <c r="B304" s="29" t="s">
        <v>430</v>
      </c>
      <c r="C304" s="16">
        <f>'Медикаменты Май'!L301</f>
        <v>0</v>
      </c>
      <c r="D304" s="26"/>
      <c r="E304" s="14">
        <f>46</f>
        <v>46</v>
      </c>
      <c r="F304" s="18"/>
      <c r="G304" s="19"/>
      <c r="H304" s="20"/>
      <c r="I304" s="21"/>
      <c r="J304" s="14"/>
      <c r="K304" s="14">
        <f t="shared" si="8"/>
        <v>0</v>
      </c>
      <c r="L304" s="16">
        <f t="shared" si="9"/>
        <v>46</v>
      </c>
      <c r="M304" s="22">
        <v>45323</v>
      </c>
      <c r="N304" s="44" t="s">
        <v>551</v>
      </c>
      <c r="O304" s="23" t="s">
        <v>26</v>
      </c>
      <c r="P304" s="24" t="s">
        <v>17</v>
      </c>
      <c r="Q304" s="28" t="s">
        <v>431</v>
      </c>
    </row>
    <row r="305" spans="1:17">
      <c r="A305" s="14">
        <v>301</v>
      </c>
      <c r="B305" s="29" t="s">
        <v>432</v>
      </c>
      <c r="C305" s="16">
        <f>'Медикаменты Май'!L302</f>
        <v>0</v>
      </c>
      <c r="D305" s="17"/>
      <c r="E305" s="14"/>
      <c r="F305" s="18"/>
      <c r="G305" s="19"/>
      <c r="H305" s="20"/>
      <c r="I305" s="21"/>
      <c r="J305" s="14"/>
      <c r="K305" s="14">
        <f t="shared" si="8"/>
        <v>0</v>
      </c>
      <c r="L305" s="16">
        <f t="shared" si="9"/>
        <v>0</v>
      </c>
      <c r="M305" s="22"/>
      <c r="N305" s="44"/>
      <c r="O305" s="23" t="s">
        <v>16</v>
      </c>
      <c r="P305" s="24"/>
      <c r="Q305" s="25"/>
    </row>
    <row r="306" spans="1:17">
      <c r="A306" s="14">
        <v>302</v>
      </c>
      <c r="B306" s="29" t="s">
        <v>433</v>
      </c>
      <c r="C306" s="16">
        <f>'Медикаменты Май'!L303</f>
        <v>0</v>
      </c>
      <c r="D306" s="17"/>
      <c r="E306" s="14"/>
      <c r="F306" s="18"/>
      <c r="G306" s="19"/>
      <c r="H306" s="20"/>
      <c r="I306" s="21"/>
      <c r="J306" s="14"/>
      <c r="K306" s="14">
        <f t="shared" si="8"/>
        <v>0</v>
      </c>
      <c r="L306" s="16">
        <f t="shared" si="9"/>
        <v>0</v>
      </c>
      <c r="M306" s="22"/>
      <c r="N306" s="44"/>
      <c r="O306" s="23" t="s">
        <v>16</v>
      </c>
      <c r="P306" s="24"/>
      <c r="Q306" s="25"/>
    </row>
    <row r="307" spans="1:17">
      <c r="A307" s="14">
        <v>303</v>
      </c>
      <c r="B307" s="29" t="s">
        <v>434</v>
      </c>
      <c r="C307" s="16">
        <f>'Медикаменты Май'!L304</f>
        <v>0</v>
      </c>
      <c r="D307" s="17"/>
      <c r="E307" s="14"/>
      <c r="F307" s="18"/>
      <c r="G307" s="19"/>
      <c r="H307" s="20"/>
      <c r="I307" s="21"/>
      <c r="J307" s="14"/>
      <c r="K307" s="14">
        <f t="shared" si="8"/>
        <v>0</v>
      </c>
      <c r="L307" s="16">
        <f t="shared" si="9"/>
        <v>0</v>
      </c>
      <c r="M307" s="22"/>
      <c r="N307" s="44"/>
      <c r="O307" s="23" t="s">
        <v>16</v>
      </c>
      <c r="P307" s="24"/>
      <c r="Q307" s="25"/>
    </row>
    <row r="308" spans="1:17">
      <c r="A308" s="14">
        <v>304</v>
      </c>
      <c r="B308" s="29" t="s">
        <v>435</v>
      </c>
      <c r="C308" s="16">
        <f>'Медикаменты Май'!L305</f>
        <v>0</v>
      </c>
      <c r="D308" s="17"/>
      <c r="E308" s="14"/>
      <c r="F308" s="18"/>
      <c r="G308" s="19"/>
      <c r="H308" s="20"/>
      <c r="I308" s="21"/>
      <c r="J308" s="14"/>
      <c r="K308" s="14">
        <f t="shared" si="8"/>
        <v>0</v>
      </c>
      <c r="L308" s="16">
        <f t="shared" si="9"/>
        <v>0</v>
      </c>
      <c r="M308" s="22"/>
      <c r="N308" s="44"/>
      <c r="O308" s="23" t="s">
        <v>16</v>
      </c>
      <c r="P308" s="24"/>
      <c r="Q308" s="25"/>
    </row>
    <row r="309" spans="1:17">
      <c r="A309" s="14">
        <v>305</v>
      </c>
      <c r="B309" s="29" t="s">
        <v>436</v>
      </c>
      <c r="C309" s="16">
        <f>'Медикаменты Май'!L306</f>
        <v>0</v>
      </c>
      <c r="D309" s="17"/>
      <c r="E309" s="14"/>
      <c r="F309" s="18"/>
      <c r="G309" s="19"/>
      <c r="H309" s="20"/>
      <c r="I309" s="21"/>
      <c r="J309" s="14"/>
      <c r="K309" s="14">
        <f t="shared" si="8"/>
        <v>0</v>
      </c>
      <c r="L309" s="16">
        <f t="shared" si="9"/>
        <v>0</v>
      </c>
      <c r="M309" s="22"/>
      <c r="N309" s="44"/>
      <c r="O309" s="23" t="s">
        <v>16</v>
      </c>
      <c r="P309" s="24"/>
      <c r="Q309" s="25"/>
    </row>
    <row r="310" spans="1:17">
      <c r="A310" s="14">
        <v>306</v>
      </c>
      <c r="B310" s="29" t="s">
        <v>437</v>
      </c>
      <c r="C310" s="16">
        <f>'Медикаменты Май'!L308</f>
        <v>0</v>
      </c>
      <c r="D310" s="17"/>
      <c r="E310" s="14">
        <f>450+50</f>
        <v>500</v>
      </c>
      <c r="F310" s="18">
        <f>15</f>
        <v>15</v>
      </c>
      <c r="G310" s="19"/>
      <c r="H310" s="20"/>
      <c r="I310" s="21"/>
      <c r="J310" s="14"/>
      <c r="K310" s="14">
        <f t="shared" si="8"/>
        <v>15</v>
      </c>
      <c r="L310" s="16">
        <f t="shared" si="9"/>
        <v>485</v>
      </c>
      <c r="M310" s="22">
        <v>45689</v>
      </c>
      <c r="N310" s="44" t="s">
        <v>551</v>
      </c>
      <c r="O310" s="23" t="s">
        <v>16</v>
      </c>
      <c r="P310" s="24" t="s">
        <v>45</v>
      </c>
      <c r="Q310" s="23" t="s">
        <v>438</v>
      </c>
    </row>
    <row r="311" spans="1:17">
      <c r="A311" s="14">
        <v>307</v>
      </c>
      <c r="B311" s="29" t="s">
        <v>437</v>
      </c>
      <c r="C311" s="16">
        <f>'Медикаменты Май'!L309</f>
        <v>0</v>
      </c>
      <c r="D311" s="17"/>
      <c r="E311" s="14">
        <f>150+350</f>
        <v>500</v>
      </c>
      <c r="F311" s="18"/>
      <c r="G311" s="19">
        <f>50</f>
        <v>50</v>
      </c>
      <c r="H311" s="20"/>
      <c r="I311" s="21"/>
      <c r="J311" s="14"/>
      <c r="K311" s="14">
        <f t="shared" si="8"/>
        <v>50</v>
      </c>
      <c r="L311" s="16">
        <f t="shared" si="9"/>
        <v>450</v>
      </c>
      <c r="M311" s="22">
        <v>45689</v>
      </c>
      <c r="N311" s="44" t="s">
        <v>551</v>
      </c>
      <c r="O311" s="23" t="s">
        <v>26</v>
      </c>
      <c r="P311" s="24" t="s">
        <v>45</v>
      </c>
      <c r="Q311" s="23" t="s">
        <v>438</v>
      </c>
    </row>
    <row r="312" spans="1:17">
      <c r="A312" s="14">
        <v>308</v>
      </c>
      <c r="B312" s="29" t="s">
        <v>440</v>
      </c>
      <c r="C312" s="16">
        <f>'Медикаменты Май'!L310</f>
        <v>0</v>
      </c>
      <c r="D312" s="17"/>
      <c r="E312" s="14"/>
      <c r="F312" s="18"/>
      <c r="G312" s="19"/>
      <c r="H312" s="20"/>
      <c r="I312" s="21"/>
      <c r="J312" s="14"/>
      <c r="K312" s="14">
        <f t="shared" si="8"/>
        <v>0</v>
      </c>
      <c r="L312" s="16">
        <f t="shared" si="9"/>
        <v>0</v>
      </c>
      <c r="M312" s="22"/>
      <c r="N312" s="44"/>
      <c r="O312" s="23" t="s">
        <v>16</v>
      </c>
      <c r="P312" s="24"/>
      <c r="Q312" s="25"/>
    </row>
    <row r="313" spans="1:17">
      <c r="A313" s="14">
        <v>309</v>
      </c>
      <c r="B313" s="29" t="s">
        <v>441</v>
      </c>
      <c r="C313" s="16">
        <f>'Медикаменты Май'!L311</f>
        <v>0</v>
      </c>
      <c r="D313" s="17"/>
      <c r="E313" s="14"/>
      <c r="F313" s="18"/>
      <c r="G313" s="19"/>
      <c r="H313" s="20"/>
      <c r="I313" s="21"/>
      <c r="J313" s="14"/>
      <c r="K313" s="14">
        <f t="shared" si="8"/>
        <v>0</v>
      </c>
      <c r="L313" s="16">
        <f t="shared" si="9"/>
        <v>0</v>
      </c>
      <c r="M313" s="22"/>
      <c r="N313" s="44"/>
      <c r="O313" s="23" t="s">
        <v>16</v>
      </c>
      <c r="P313" s="24"/>
      <c r="Q313" s="25"/>
    </row>
    <row r="314" spans="1:17">
      <c r="A314" s="14">
        <v>310</v>
      </c>
      <c r="B314" s="29" t="s">
        <v>442</v>
      </c>
      <c r="C314" s="16">
        <f>'Медикаменты Май'!L312</f>
        <v>0</v>
      </c>
      <c r="D314" s="17"/>
      <c r="E314" s="14"/>
      <c r="F314" s="18"/>
      <c r="G314" s="19"/>
      <c r="H314" s="20"/>
      <c r="I314" s="21"/>
      <c r="J314" s="14"/>
      <c r="K314" s="14">
        <f t="shared" si="8"/>
        <v>0</v>
      </c>
      <c r="L314" s="16">
        <f t="shared" si="9"/>
        <v>0</v>
      </c>
      <c r="M314" s="22"/>
      <c r="N314" s="44"/>
      <c r="O314" s="23" t="s">
        <v>16</v>
      </c>
      <c r="P314" s="24"/>
      <c r="Q314" s="25"/>
    </row>
    <row r="315" spans="1:17">
      <c r="A315" s="14">
        <v>311</v>
      </c>
      <c r="B315" s="29" t="s">
        <v>443</v>
      </c>
      <c r="C315" s="16">
        <f>'Медикаменты Май'!L313</f>
        <v>0</v>
      </c>
      <c r="D315" s="17"/>
      <c r="E315" s="14"/>
      <c r="F315" s="18"/>
      <c r="G315" s="19"/>
      <c r="H315" s="20"/>
      <c r="I315" s="21"/>
      <c r="J315" s="14"/>
      <c r="K315" s="14">
        <f t="shared" si="8"/>
        <v>0</v>
      </c>
      <c r="L315" s="16">
        <f t="shared" si="9"/>
        <v>0</v>
      </c>
      <c r="M315" s="22"/>
      <c r="N315" s="44"/>
      <c r="O315" s="23" t="s">
        <v>16</v>
      </c>
      <c r="P315" s="24"/>
      <c r="Q315" s="25"/>
    </row>
    <row r="316" spans="1:17">
      <c r="A316" s="14">
        <v>312</v>
      </c>
      <c r="B316" s="29" t="s">
        <v>444</v>
      </c>
      <c r="C316" s="16">
        <f>'Медикаменты Май'!L314</f>
        <v>20</v>
      </c>
      <c r="D316" s="17"/>
      <c r="E316" s="14"/>
      <c r="F316" s="18">
        <f>5</f>
        <v>5</v>
      </c>
      <c r="G316" s="19"/>
      <c r="H316" s="20"/>
      <c r="I316" s="21"/>
      <c r="J316" s="14"/>
      <c r="K316" s="14">
        <f t="shared" si="8"/>
        <v>5</v>
      </c>
      <c r="L316" s="16">
        <f t="shared" si="9"/>
        <v>15</v>
      </c>
      <c r="M316" s="22">
        <v>44501</v>
      </c>
      <c r="N316" s="44" t="s">
        <v>45</v>
      </c>
      <c r="O316" s="23" t="s">
        <v>16</v>
      </c>
      <c r="P316" s="24" t="s">
        <v>17</v>
      </c>
      <c r="Q316" s="23" t="s">
        <v>445</v>
      </c>
    </row>
    <row r="317" spans="1:17">
      <c r="A317" s="14">
        <v>313</v>
      </c>
      <c r="B317" s="29" t="s">
        <v>446</v>
      </c>
      <c r="C317" s="16">
        <f>'Медикаменты Май'!L315</f>
        <v>0</v>
      </c>
      <c r="D317" s="17"/>
      <c r="E317" s="14"/>
      <c r="F317" s="18"/>
      <c r="G317" s="19"/>
      <c r="H317" s="20"/>
      <c r="I317" s="21"/>
      <c r="J317" s="14"/>
      <c r="K317" s="14">
        <f t="shared" si="8"/>
        <v>0</v>
      </c>
      <c r="L317" s="16">
        <f t="shared" si="9"/>
        <v>0</v>
      </c>
      <c r="M317" s="22"/>
      <c r="N317" s="44"/>
      <c r="O317" s="23" t="s">
        <v>16</v>
      </c>
      <c r="P317" s="24"/>
      <c r="Q317" s="25"/>
    </row>
    <row r="318" spans="1:17">
      <c r="A318" s="14">
        <v>314</v>
      </c>
      <c r="B318" s="29" t="s">
        <v>447</v>
      </c>
      <c r="C318" s="16">
        <f>'Медикаменты Май'!L316</f>
        <v>0</v>
      </c>
      <c r="D318" s="17"/>
      <c r="E318" s="14"/>
      <c r="F318" s="18"/>
      <c r="G318" s="19"/>
      <c r="H318" s="20"/>
      <c r="I318" s="21"/>
      <c r="J318" s="14"/>
      <c r="K318" s="14">
        <f t="shared" si="8"/>
        <v>0</v>
      </c>
      <c r="L318" s="16">
        <f t="shared" si="9"/>
        <v>0</v>
      </c>
      <c r="M318" s="22">
        <v>44593</v>
      </c>
      <c r="N318" s="44"/>
      <c r="O318" s="23" t="s">
        <v>16</v>
      </c>
      <c r="P318" s="24"/>
      <c r="Q318" s="23" t="s">
        <v>448</v>
      </c>
    </row>
    <row r="319" spans="1:17">
      <c r="A319" s="14">
        <v>315</v>
      </c>
      <c r="B319" s="29" t="s">
        <v>449</v>
      </c>
      <c r="C319" s="16">
        <f>'Медикаменты Май'!L317</f>
        <v>0</v>
      </c>
      <c r="D319" s="17"/>
      <c r="E319" s="14"/>
      <c r="F319" s="18"/>
      <c r="G319" s="19"/>
      <c r="H319" s="20"/>
      <c r="I319" s="21"/>
      <c r="J319" s="14"/>
      <c r="K319" s="14">
        <f t="shared" si="8"/>
        <v>0</v>
      </c>
      <c r="L319" s="16">
        <f t="shared" si="9"/>
        <v>0</v>
      </c>
      <c r="M319" s="22">
        <v>44228</v>
      </c>
      <c r="N319" s="44"/>
      <c r="O319" s="23" t="s">
        <v>16</v>
      </c>
      <c r="P319" s="24" t="s">
        <v>17</v>
      </c>
      <c r="Q319" s="23" t="s">
        <v>450</v>
      </c>
    </row>
    <row r="320" spans="1:17">
      <c r="A320" s="14">
        <v>316</v>
      </c>
      <c r="B320" s="29" t="s">
        <v>451</v>
      </c>
      <c r="C320" s="16">
        <f>'Медикаменты Май'!L318</f>
        <v>0</v>
      </c>
      <c r="D320" s="17"/>
      <c r="E320" s="14"/>
      <c r="F320" s="18"/>
      <c r="G320" s="19"/>
      <c r="H320" s="20"/>
      <c r="I320" s="21"/>
      <c r="J320" s="14"/>
      <c r="K320" s="14">
        <f t="shared" si="8"/>
        <v>0</v>
      </c>
      <c r="L320" s="16">
        <f t="shared" si="9"/>
        <v>0</v>
      </c>
      <c r="M320" s="22">
        <v>44317</v>
      </c>
      <c r="N320" s="44"/>
      <c r="O320" s="23" t="s">
        <v>16</v>
      </c>
      <c r="P320" s="24" t="s">
        <v>17</v>
      </c>
      <c r="Q320" s="23" t="s">
        <v>452</v>
      </c>
    </row>
    <row r="321" spans="1:17" ht="25.5">
      <c r="A321" s="14">
        <v>317</v>
      </c>
      <c r="B321" s="29" t="s">
        <v>453</v>
      </c>
      <c r="C321" s="16">
        <f>'Медикаменты Май'!L319</f>
        <v>19</v>
      </c>
      <c r="D321" s="17"/>
      <c r="E321" s="14"/>
      <c r="F321" s="18"/>
      <c r="G321" s="19"/>
      <c r="H321" s="20"/>
      <c r="I321" s="21"/>
      <c r="J321" s="14"/>
      <c r="K321" s="14">
        <f t="shared" si="8"/>
        <v>0</v>
      </c>
      <c r="L321" s="16">
        <f t="shared" si="9"/>
        <v>19</v>
      </c>
      <c r="M321" s="22">
        <v>44470</v>
      </c>
      <c r="N321" s="44" t="s">
        <v>45</v>
      </c>
      <c r="O321" s="23" t="s">
        <v>16</v>
      </c>
      <c r="P321" s="24" t="s">
        <v>17</v>
      </c>
      <c r="Q321" s="28" t="s">
        <v>454</v>
      </c>
    </row>
    <row r="322" spans="1:17">
      <c r="A322" s="14">
        <v>318</v>
      </c>
      <c r="B322" s="29" t="s">
        <v>575</v>
      </c>
      <c r="C322" s="16">
        <f>'Медикаменты Май'!L320</f>
        <v>2</v>
      </c>
      <c r="D322" s="17"/>
      <c r="E322" s="14"/>
      <c r="F322" s="18"/>
      <c r="G322" s="19"/>
      <c r="H322" s="20"/>
      <c r="I322" s="21"/>
      <c r="J322" s="14"/>
      <c r="K322" s="14">
        <f t="shared" si="8"/>
        <v>0</v>
      </c>
      <c r="L322" s="16">
        <f t="shared" si="9"/>
        <v>2</v>
      </c>
      <c r="M322" s="22">
        <v>45444</v>
      </c>
      <c r="N322" s="44" t="s">
        <v>45</v>
      </c>
      <c r="O322" s="23" t="s">
        <v>16</v>
      </c>
      <c r="P322" s="24" t="s">
        <v>17</v>
      </c>
      <c r="Q322" s="23" t="s">
        <v>576</v>
      </c>
    </row>
    <row r="323" spans="1:17">
      <c r="A323" s="14">
        <v>319</v>
      </c>
      <c r="B323" s="29" t="s">
        <v>455</v>
      </c>
      <c r="C323" s="16">
        <f>'Медикаменты Май'!L321</f>
        <v>0</v>
      </c>
      <c r="D323" s="17"/>
      <c r="E323" s="14"/>
      <c r="F323" s="18"/>
      <c r="G323" s="19"/>
      <c r="H323" s="20"/>
      <c r="I323" s="21"/>
      <c r="J323" s="14"/>
      <c r="K323" s="14">
        <f t="shared" si="8"/>
        <v>0</v>
      </c>
      <c r="L323" s="16">
        <f t="shared" si="9"/>
        <v>0</v>
      </c>
      <c r="M323" s="22"/>
      <c r="N323" s="44"/>
      <c r="O323" s="23" t="s">
        <v>16</v>
      </c>
      <c r="P323" s="24"/>
      <c r="Q323" s="25"/>
    </row>
    <row r="324" spans="1:17">
      <c r="A324" s="14">
        <v>320</v>
      </c>
      <c r="B324" s="29" t="s">
        <v>456</v>
      </c>
      <c r="C324" s="16">
        <f>'Медикаменты Май'!L322</f>
        <v>0</v>
      </c>
      <c r="D324" s="17"/>
      <c r="E324" s="14"/>
      <c r="F324" s="18"/>
      <c r="G324" s="19"/>
      <c r="H324" s="20"/>
      <c r="I324" s="21"/>
      <c r="J324" s="14"/>
      <c r="K324" s="14">
        <f t="shared" si="8"/>
        <v>0</v>
      </c>
      <c r="L324" s="16">
        <f t="shared" si="9"/>
        <v>0</v>
      </c>
      <c r="M324" s="22">
        <v>44287</v>
      </c>
      <c r="N324" s="44"/>
      <c r="O324" s="23" t="s">
        <v>16</v>
      </c>
      <c r="P324" s="24"/>
      <c r="Q324" s="23" t="s">
        <v>457</v>
      </c>
    </row>
    <row r="325" spans="1:17">
      <c r="A325" s="14">
        <v>321</v>
      </c>
      <c r="B325" s="29" t="s">
        <v>458</v>
      </c>
      <c r="C325" s="16">
        <f>'Медикаменты Май'!L323</f>
        <v>0</v>
      </c>
      <c r="D325" s="17"/>
      <c r="E325" s="14"/>
      <c r="F325" s="18"/>
      <c r="G325" s="19"/>
      <c r="H325" s="20"/>
      <c r="I325" s="21"/>
      <c r="J325" s="14"/>
      <c r="K325" s="14">
        <f t="shared" ref="K325:K388" si="10">SUM(F325:J325)</f>
        <v>0</v>
      </c>
      <c r="L325" s="16">
        <f t="shared" ref="L325:L388" si="11">(C325+E325)-K325</f>
        <v>0</v>
      </c>
      <c r="M325" s="22">
        <v>44287</v>
      </c>
      <c r="N325" s="44" t="s">
        <v>45</v>
      </c>
      <c r="O325" s="23" t="s">
        <v>16</v>
      </c>
      <c r="P325" s="24" t="s">
        <v>45</v>
      </c>
      <c r="Q325" s="28" t="s">
        <v>459</v>
      </c>
    </row>
    <row r="326" spans="1:17">
      <c r="A326" s="14">
        <v>322</v>
      </c>
      <c r="B326" s="29" t="s">
        <v>460</v>
      </c>
      <c r="C326" s="16">
        <f>'Медикаменты Май'!L324</f>
        <v>0</v>
      </c>
      <c r="D326" s="17"/>
      <c r="E326" s="14"/>
      <c r="F326" s="18"/>
      <c r="G326" s="19"/>
      <c r="H326" s="20"/>
      <c r="I326" s="21"/>
      <c r="J326" s="14"/>
      <c r="K326" s="14">
        <f t="shared" si="10"/>
        <v>0</v>
      </c>
      <c r="L326" s="16">
        <f t="shared" si="11"/>
        <v>0</v>
      </c>
      <c r="M326" s="22">
        <v>45597</v>
      </c>
      <c r="N326" s="44"/>
      <c r="O326" s="23" t="s">
        <v>16</v>
      </c>
      <c r="P326" s="24" t="s">
        <v>45</v>
      </c>
      <c r="Q326" s="23" t="s">
        <v>461</v>
      </c>
    </row>
    <row r="327" spans="1:17">
      <c r="A327" s="14">
        <v>323</v>
      </c>
      <c r="B327" s="29" t="s">
        <v>462</v>
      </c>
      <c r="C327" s="16">
        <f>'Медикаменты Май'!L325</f>
        <v>0</v>
      </c>
      <c r="D327" s="17"/>
      <c r="E327" s="14"/>
      <c r="F327" s="18"/>
      <c r="G327" s="19"/>
      <c r="H327" s="20"/>
      <c r="I327" s="21"/>
      <c r="J327" s="14"/>
      <c r="K327" s="14">
        <f t="shared" si="10"/>
        <v>0</v>
      </c>
      <c r="L327" s="16">
        <f t="shared" si="11"/>
        <v>0</v>
      </c>
      <c r="M327" s="22">
        <v>43952</v>
      </c>
      <c r="N327" s="44"/>
      <c r="O327" s="23" t="s">
        <v>16</v>
      </c>
      <c r="P327" s="24"/>
      <c r="Q327" s="25"/>
    </row>
    <row r="328" spans="1:17">
      <c r="A328" s="14">
        <v>324</v>
      </c>
      <c r="B328" s="29" t="s">
        <v>463</v>
      </c>
      <c r="C328" s="16">
        <f>'Медикаменты Май'!L326</f>
        <v>0</v>
      </c>
      <c r="D328" s="17"/>
      <c r="E328" s="14"/>
      <c r="F328" s="18"/>
      <c r="G328" s="19"/>
      <c r="H328" s="20"/>
      <c r="I328" s="21"/>
      <c r="J328" s="14"/>
      <c r="K328" s="14">
        <f t="shared" si="10"/>
        <v>0</v>
      </c>
      <c r="L328" s="16">
        <f t="shared" si="11"/>
        <v>0</v>
      </c>
      <c r="M328" s="22"/>
      <c r="N328" s="44"/>
      <c r="O328" s="23" t="s">
        <v>16</v>
      </c>
      <c r="P328" s="24"/>
      <c r="Q328" s="25"/>
    </row>
    <row r="329" spans="1:17">
      <c r="A329" s="14">
        <v>325</v>
      </c>
      <c r="B329" s="29" t="s">
        <v>464</v>
      </c>
      <c r="C329" s="16">
        <f>'Медикаменты Май'!L327</f>
        <v>0</v>
      </c>
      <c r="D329" s="17"/>
      <c r="E329" s="14"/>
      <c r="F329" s="18"/>
      <c r="G329" s="19"/>
      <c r="H329" s="20"/>
      <c r="I329" s="21"/>
      <c r="J329" s="14"/>
      <c r="K329" s="14">
        <f t="shared" si="10"/>
        <v>0</v>
      </c>
      <c r="L329" s="16">
        <f t="shared" si="11"/>
        <v>0</v>
      </c>
      <c r="M329" s="22"/>
      <c r="N329" s="44"/>
      <c r="O329" s="23" t="s">
        <v>16</v>
      </c>
      <c r="P329" s="24"/>
      <c r="Q329" s="25"/>
    </row>
    <row r="330" spans="1:17">
      <c r="A330" s="14">
        <v>326</v>
      </c>
      <c r="B330" s="29" t="s">
        <v>465</v>
      </c>
      <c r="C330" s="16">
        <f>'Медикаменты Май'!L328</f>
        <v>0</v>
      </c>
      <c r="D330" s="17"/>
      <c r="E330" s="14"/>
      <c r="F330" s="18"/>
      <c r="G330" s="19"/>
      <c r="H330" s="20"/>
      <c r="I330" s="21"/>
      <c r="J330" s="14"/>
      <c r="K330" s="14">
        <f t="shared" si="10"/>
        <v>0</v>
      </c>
      <c r="L330" s="16">
        <f t="shared" si="11"/>
        <v>0</v>
      </c>
      <c r="M330" s="22"/>
      <c r="N330" s="44"/>
      <c r="O330" s="23" t="s">
        <v>16</v>
      </c>
      <c r="P330" s="24"/>
      <c r="Q330" s="25"/>
    </row>
    <row r="331" spans="1:17">
      <c r="A331" s="14">
        <v>327</v>
      </c>
      <c r="B331" s="29" t="s">
        <v>466</v>
      </c>
      <c r="C331" s="16">
        <f>'Медикаменты Май'!L329</f>
        <v>0</v>
      </c>
      <c r="D331" s="17"/>
      <c r="E331" s="14"/>
      <c r="F331" s="18"/>
      <c r="G331" s="19"/>
      <c r="H331" s="20"/>
      <c r="I331" s="21"/>
      <c r="J331" s="14"/>
      <c r="K331" s="14">
        <f t="shared" si="10"/>
        <v>0</v>
      </c>
      <c r="L331" s="16">
        <f t="shared" si="11"/>
        <v>0</v>
      </c>
      <c r="M331" s="22">
        <v>44835</v>
      </c>
      <c r="N331" s="44"/>
      <c r="O331" s="23" t="s">
        <v>16</v>
      </c>
      <c r="P331" s="24"/>
      <c r="Q331" s="25"/>
    </row>
    <row r="332" spans="1:17">
      <c r="A332" s="14">
        <v>328</v>
      </c>
      <c r="B332" s="29" t="s">
        <v>467</v>
      </c>
      <c r="C332" s="16">
        <f>'Медикаменты Май'!L330</f>
        <v>0</v>
      </c>
      <c r="D332" s="26"/>
      <c r="E332" s="14"/>
      <c r="F332" s="18"/>
      <c r="G332" s="19"/>
      <c r="H332" s="20"/>
      <c r="I332" s="21"/>
      <c r="J332" s="14"/>
      <c r="K332" s="14">
        <f t="shared" si="10"/>
        <v>0</v>
      </c>
      <c r="L332" s="16">
        <f t="shared" si="11"/>
        <v>0</v>
      </c>
      <c r="M332" s="22"/>
      <c r="N332" s="44"/>
      <c r="O332" s="23" t="s">
        <v>16</v>
      </c>
      <c r="P332" s="24"/>
      <c r="Q332" s="25"/>
    </row>
    <row r="333" spans="1:17">
      <c r="A333" s="14">
        <v>329</v>
      </c>
      <c r="B333" s="29" t="s">
        <v>468</v>
      </c>
      <c r="C333" s="16">
        <f>'Медикаменты Май'!L331</f>
        <v>0</v>
      </c>
      <c r="D333" s="17"/>
      <c r="E333" s="14"/>
      <c r="F333" s="18"/>
      <c r="G333" s="19"/>
      <c r="H333" s="20"/>
      <c r="I333" s="21"/>
      <c r="J333" s="14"/>
      <c r="K333" s="14">
        <f t="shared" si="10"/>
        <v>0</v>
      </c>
      <c r="L333" s="16">
        <f t="shared" si="11"/>
        <v>0</v>
      </c>
      <c r="M333" s="22"/>
      <c r="N333" s="44"/>
      <c r="O333" s="23" t="s">
        <v>16</v>
      </c>
      <c r="P333" s="24"/>
      <c r="Q333" s="25"/>
    </row>
    <row r="334" spans="1:17">
      <c r="A334" s="14">
        <v>330</v>
      </c>
      <c r="B334" s="29" t="s">
        <v>469</v>
      </c>
      <c r="C334" s="16">
        <f>'Медикаменты Май'!L332</f>
        <v>25</v>
      </c>
      <c r="D334" s="17"/>
      <c r="E334" s="14"/>
      <c r="F334" s="18"/>
      <c r="G334" s="19"/>
      <c r="H334" s="20"/>
      <c r="I334" s="21"/>
      <c r="J334" s="14"/>
      <c r="K334" s="14">
        <f t="shared" si="10"/>
        <v>0</v>
      </c>
      <c r="L334" s="16">
        <f t="shared" si="11"/>
        <v>25</v>
      </c>
      <c r="M334" s="22">
        <v>44652</v>
      </c>
      <c r="N334" s="44" t="s">
        <v>45</v>
      </c>
      <c r="O334" s="23" t="s">
        <v>16</v>
      </c>
      <c r="P334" s="24" t="s">
        <v>17</v>
      </c>
      <c r="Q334" s="28" t="s">
        <v>470</v>
      </c>
    </row>
    <row r="335" spans="1:17">
      <c r="A335" s="14">
        <v>331</v>
      </c>
      <c r="B335" s="29" t="s">
        <v>577</v>
      </c>
      <c r="C335" s="16">
        <f>'Медикаменты Май'!L333</f>
        <v>465</v>
      </c>
      <c r="D335" s="17"/>
      <c r="E335" s="14"/>
      <c r="F335" s="18">
        <f>5+10+10+12+50</f>
        <v>87</v>
      </c>
      <c r="G335" s="19"/>
      <c r="H335" s="20">
        <f>100</f>
        <v>100</v>
      </c>
      <c r="I335" s="21"/>
      <c r="J335" s="14"/>
      <c r="K335" s="14">
        <f t="shared" si="10"/>
        <v>187</v>
      </c>
      <c r="L335" s="16">
        <f t="shared" si="11"/>
        <v>278</v>
      </c>
      <c r="M335" s="22">
        <v>44927</v>
      </c>
      <c r="N335" s="44" t="s">
        <v>551</v>
      </c>
      <c r="O335" s="23" t="s">
        <v>16</v>
      </c>
      <c r="P335" s="24" t="s">
        <v>17</v>
      </c>
      <c r="Q335" s="28" t="s">
        <v>578</v>
      </c>
    </row>
    <row r="336" spans="1:17">
      <c r="A336" s="14">
        <v>332</v>
      </c>
      <c r="B336" s="29" t="s">
        <v>577</v>
      </c>
      <c r="C336" s="16">
        <f>'Медикаменты Май'!L334</f>
        <v>53</v>
      </c>
      <c r="D336" s="17"/>
      <c r="E336" s="14"/>
      <c r="F336" s="18"/>
      <c r="G336" s="19"/>
      <c r="H336" s="20"/>
      <c r="I336" s="21"/>
      <c r="J336" s="14"/>
      <c r="K336" s="14">
        <f t="shared" si="10"/>
        <v>0</v>
      </c>
      <c r="L336" s="16">
        <f t="shared" si="11"/>
        <v>53</v>
      </c>
      <c r="M336" s="22">
        <v>44927</v>
      </c>
      <c r="N336" s="44" t="s">
        <v>551</v>
      </c>
      <c r="O336" s="23" t="s">
        <v>26</v>
      </c>
      <c r="P336" s="24" t="s">
        <v>17</v>
      </c>
      <c r="Q336" s="28" t="s">
        <v>578</v>
      </c>
    </row>
    <row r="337" spans="1:17">
      <c r="A337" s="14">
        <v>333</v>
      </c>
      <c r="B337" s="29" t="s">
        <v>579</v>
      </c>
      <c r="C337" s="16">
        <f>'Медикаменты Май'!L335</f>
        <v>355</v>
      </c>
      <c r="D337" s="17"/>
      <c r="E337" s="14"/>
      <c r="F337" s="18">
        <f>5+10+10+3+35</f>
        <v>63</v>
      </c>
      <c r="G337" s="19"/>
      <c r="H337" s="20">
        <f>100</f>
        <v>100</v>
      </c>
      <c r="I337" s="21"/>
      <c r="J337" s="14"/>
      <c r="K337" s="14">
        <f t="shared" si="10"/>
        <v>163</v>
      </c>
      <c r="L337" s="16">
        <f t="shared" si="11"/>
        <v>192</v>
      </c>
      <c r="M337" s="22">
        <v>44927</v>
      </c>
      <c r="N337" s="44" t="s">
        <v>551</v>
      </c>
      <c r="O337" s="23" t="s">
        <v>16</v>
      </c>
      <c r="P337" s="24" t="s">
        <v>17</v>
      </c>
      <c r="Q337" s="28" t="s">
        <v>580</v>
      </c>
    </row>
    <row r="338" spans="1:17">
      <c r="A338" s="14">
        <v>334</v>
      </c>
      <c r="B338" s="29" t="s">
        <v>581</v>
      </c>
      <c r="C338" s="16">
        <f>'Медикаменты Май'!L336</f>
        <v>135</v>
      </c>
      <c r="D338" s="17"/>
      <c r="E338" s="14"/>
      <c r="F338" s="18">
        <f>5</f>
        <v>5</v>
      </c>
      <c r="G338" s="19"/>
      <c r="H338" s="20">
        <f>50</f>
        <v>50</v>
      </c>
      <c r="I338" s="21"/>
      <c r="J338" s="14"/>
      <c r="K338" s="14">
        <f t="shared" si="10"/>
        <v>55</v>
      </c>
      <c r="L338" s="16">
        <f t="shared" si="11"/>
        <v>80</v>
      </c>
      <c r="M338" s="22">
        <v>44927</v>
      </c>
      <c r="N338" s="44" t="s">
        <v>551</v>
      </c>
      <c r="O338" s="23" t="s">
        <v>16</v>
      </c>
      <c r="P338" s="24" t="s">
        <v>17</v>
      </c>
      <c r="Q338" s="28" t="s">
        <v>582</v>
      </c>
    </row>
    <row r="339" spans="1:17">
      <c r="A339" s="14">
        <v>335</v>
      </c>
      <c r="B339" s="29" t="s">
        <v>471</v>
      </c>
      <c r="C339" s="16">
        <f>'Медикаменты Май'!L337</f>
        <v>0</v>
      </c>
      <c r="D339" s="17"/>
      <c r="E339" s="14"/>
      <c r="F339" s="18"/>
      <c r="G339" s="19"/>
      <c r="H339" s="20"/>
      <c r="I339" s="21"/>
      <c r="J339" s="14"/>
      <c r="K339" s="14">
        <f t="shared" si="10"/>
        <v>0</v>
      </c>
      <c r="L339" s="16">
        <f t="shared" si="11"/>
        <v>0</v>
      </c>
      <c r="M339" s="22"/>
      <c r="N339" s="44"/>
      <c r="O339" s="23" t="s">
        <v>16</v>
      </c>
      <c r="P339" s="24"/>
      <c r="Q339" s="25"/>
    </row>
    <row r="340" spans="1:17">
      <c r="A340" s="14">
        <v>336</v>
      </c>
      <c r="B340" s="29" t="s">
        <v>472</v>
      </c>
      <c r="C340" s="16">
        <f>'Медикаменты Май'!L338</f>
        <v>0</v>
      </c>
      <c r="D340" s="17"/>
      <c r="E340" s="14"/>
      <c r="F340" s="18"/>
      <c r="G340" s="19"/>
      <c r="H340" s="20"/>
      <c r="I340" s="21"/>
      <c r="J340" s="14"/>
      <c r="K340" s="14">
        <f t="shared" si="10"/>
        <v>0</v>
      </c>
      <c r="L340" s="16">
        <f t="shared" si="11"/>
        <v>0</v>
      </c>
      <c r="M340" s="22">
        <v>44562</v>
      </c>
      <c r="N340" s="44"/>
      <c r="O340" s="23" t="s">
        <v>16</v>
      </c>
      <c r="P340" s="24"/>
      <c r="Q340" s="23" t="s">
        <v>473</v>
      </c>
    </row>
    <row r="341" spans="1:17">
      <c r="A341" s="14">
        <v>337</v>
      </c>
      <c r="B341" s="29" t="s">
        <v>474</v>
      </c>
      <c r="C341" s="16">
        <f>'Медикаменты Май'!L339</f>
        <v>0</v>
      </c>
      <c r="D341" s="17"/>
      <c r="E341" s="14">
        <f>300</f>
        <v>300</v>
      </c>
      <c r="F341" s="18">
        <f>15+5+10</f>
        <v>30</v>
      </c>
      <c r="G341" s="19"/>
      <c r="H341" s="20"/>
      <c r="I341" s="21"/>
      <c r="J341" s="14"/>
      <c r="K341" s="14">
        <f t="shared" si="10"/>
        <v>30</v>
      </c>
      <c r="L341" s="16">
        <f t="shared" si="11"/>
        <v>270</v>
      </c>
      <c r="M341" s="22">
        <v>44743</v>
      </c>
      <c r="N341" s="44" t="s">
        <v>551</v>
      </c>
      <c r="O341" s="23" t="s">
        <v>16</v>
      </c>
      <c r="P341" s="24" t="s">
        <v>45</v>
      </c>
      <c r="Q341" s="23" t="s">
        <v>475</v>
      </c>
    </row>
    <row r="342" spans="1:17">
      <c r="A342" s="14">
        <v>338</v>
      </c>
      <c r="B342" s="29" t="s">
        <v>476</v>
      </c>
      <c r="C342" s="16">
        <f>'Медикаменты Май'!L340</f>
        <v>0</v>
      </c>
      <c r="D342" s="17"/>
      <c r="E342" s="14"/>
      <c r="F342" s="18"/>
      <c r="G342" s="19"/>
      <c r="H342" s="20"/>
      <c r="I342" s="21"/>
      <c r="J342" s="14"/>
      <c r="K342" s="14">
        <f t="shared" si="10"/>
        <v>0</v>
      </c>
      <c r="L342" s="16">
        <f t="shared" si="11"/>
        <v>0</v>
      </c>
      <c r="M342" s="22">
        <v>44531</v>
      </c>
      <c r="N342" s="44"/>
      <c r="O342" s="23" t="s">
        <v>16</v>
      </c>
      <c r="P342" s="24" t="s">
        <v>45</v>
      </c>
      <c r="Q342" s="23" t="s">
        <v>477</v>
      </c>
    </row>
    <row r="343" spans="1:17">
      <c r="A343" s="14">
        <v>339</v>
      </c>
      <c r="B343" s="29" t="s">
        <v>478</v>
      </c>
      <c r="C343" s="16">
        <f>'Медикаменты Май'!L341</f>
        <v>0</v>
      </c>
      <c r="D343" s="17"/>
      <c r="E343" s="14"/>
      <c r="F343" s="18"/>
      <c r="G343" s="19"/>
      <c r="H343" s="20"/>
      <c r="I343" s="21"/>
      <c r="J343" s="14"/>
      <c r="K343" s="14">
        <f t="shared" si="10"/>
        <v>0</v>
      </c>
      <c r="L343" s="16">
        <f t="shared" si="11"/>
        <v>0</v>
      </c>
      <c r="M343" s="22"/>
      <c r="N343" s="44"/>
      <c r="O343" s="23" t="s">
        <v>16</v>
      </c>
      <c r="P343" s="24"/>
      <c r="Q343" s="25"/>
    </row>
    <row r="344" spans="1:17">
      <c r="A344" s="14">
        <v>340</v>
      </c>
      <c r="B344" s="29" t="s">
        <v>479</v>
      </c>
      <c r="C344" s="16">
        <f>'Медикаменты Май'!L342</f>
        <v>0</v>
      </c>
      <c r="D344" s="17"/>
      <c r="E344" s="14"/>
      <c r="F344" s="18"/>
      <c r="G344" s="19"/>
      <c r="H344" s="20"/>
      <c r="I344" s="21"/>
      <c r="J344" s="14"/>
      <c r="K344" s="14">
        <f t="shared" si="10"/>
        <v>0</v>
      </c>
      <c r="L344" s="16">
        <f t="shared" si="11"/>
        <v>0</v>
      </c>
      <c r="M344" s="22">
        <v>44743</v>
      </c>
      <c r="N344" s="44"/>
      <c r="O344" s="23" t="s">
        <v>16</v>
      </c>
      <c r="P344" s="24"/>
      <c r="Q344" s="28" t="s">
        <v>480</v>
      </c>
    </row>
    <row r="345" spans="1:17">
      <c r="A345" s="14">
        <v>341</v>
      </c>
      <c r="B345" s="29" t="s">
        <v>481</v>
      </c>
      <c r="C345" s="16">
        <f>'Медикаменты Май'!L343</f>
        <v>55</v>
      </c>
      <c r="D345" s="17"/>
      <c r="E345" s="14"/>
      <c r="F345" s="18">
        <f>5+15+10</f>
        <v>30</v>
      </c>
      <c r="G345" s="19"/>
      <c r="H345" s="20"/>
      <c r="I345" s="21"/>
      <c r="J345" s="14"/>
      <c r="K345" s="14">
        <f t="shared" si="10"/>
        <v>30</v>
      </c>
      <c r="L345" s="16">
        <f t="shared" si="11"/>
        <v>25</v>
      </c>
      <c r="M345" s="22">
        <v>45078</v>
      </c>
      <c r="N345" s="44" t="s">
        <v>45</v>
      </c>
      <c r="O345" s="23" t="s">
        <v>16</v>
      </c>
      <c r="P345" s="24" t="s">
        <v>17</v>
      </c>
      <c r="Q345" s="28" t="s">
        <v>558</v>
      </c>
    </row>
    <row r="346" spans="1:17">
      <c r="A346" s="14">
        <v>342</v>
      </c>
      <c r="B346" s="29" t="s">
        <v>481</v>
      </c>
      <c r="C346" s="16">
        <f>'Медикаменты Май'!L344</f>
        <v>0</v>
      </c>
      <c r="D346" s="17"/>
      <c r="E346" s="14"/>
      <c r="F346" s="18"/>
      <c r="G346" s="19"/>
      <c r="H346" s="20"/>
      <c r="I346" s="21"/>
      <c r="J346" s="14"/>
      <c r="K346" s="14">
        <f t="shared" si="10"/>
        <v>0</v>
      </c>
      <c r="L346" s="16">
        <f t="shared" si="11"/>
        <v>0</v>
      </c>
      <c r="M346" s="22">
        <v>45078</v>
      </c>
      <c r="N346" s="44" t="s">
        <v>45</v>
      </c>
      <c r="O346" s="23" t="s">
        <v>26</v>
      </c>
      <c r="P346" s="24" t="s">
        <v>17</v>
      </c>
      <c r="Q346" s="28" t="s">
        <v>558</v>
      </c>
    </row>
    <row r="347" spans="1:17">
      <c r="A347" s="14">
        <v>343</v>
      </c>
      <c r="B347" s="29" t="s">
        <v>483</v>
      </c>
      <c r="C347" s="16">
        <f>'Медикаменты Май'!L345</f>
        <v>0</v>
      </c>
      <c r="D347" s="17"/>
      <c r="E347" s="14"/>
      <c r="F347" s="18"/>
      <c r="G347" s="19"/>
      <c r="H347" s="20"/>
      <c r="I347" s="21"/>
      <c r="J347" s="14"/>
      <c r="K347" s="14">
        <f t="shared" si="10"/>
        <v>0</v>
      </c>
      <c r="L347" s="16">
        <f t="shared" si="11"/>
        <v>0</v>
      </c>
      <c r="M347" s="22">
        <v>45689</v>
      </c>
      <c r="N347" s="44" t="s">
        <v>45</v>
      </c>
      <c r="O347" s="23" t="s">
        <v>16</v>
      </c>
      <c r="P347" s="24" t="s">
        <v>17</v>
      </c>
      <c r="Q347" s="28" t="s">
        <v>484</v>
      </c>
    </row>
    <row r="348" spans="1:17">
      <c r="A348" s="14">
        <v>344</v>
      </c>
      <c r="B348" s="29" t="s">
        <v>483</v>
      </c>
      <c r="C348" s="16">
        <f>'Медикаменты Май'!L346</f>
        <v>0</v>
      </c>
      <c r="D348" s="17"/>
      <c r="E348" s="14"/>
      <c r="F348" s="18"/>
      <c r="G348" s="19"/>
      <c r="H348" s="20"/>
      <c r="I348" s="21"/>
      <c r="J348" s="14"/>
      <c r="K348" s="14">
        <f t="shared" si="10"/>
        <v>0</v>
      </c>
      <c r="L348" s="16">
        <f t="shared" si="11"/>
        <v>0</v>
      </c>
      <c r="M348" s="22">
        <v>45689</v>
      </c>
      <c r="N348" s="44" t="s">
        <v>45</v>
      </c>
      <c r="O348" s="23" t="s">
        <v>26</v>
      </c>
      <c r="P348" s="24" t="s">
        <v>17</v>
      </c>
      <c r="Q348" s="28" t="s">
        <v>484</v>
      </c>
    </row>
    <row r="349" spans="1:17">
      <c r="A349" s="14">
        <v>345</v>
      </c>
      <c r="B349" s="29" t="s">
        <v>485</v>
      </c>
      <c r="C349" s="16">
        <f>'Медикаменты Май'!L347</f>
        <v>0</v>
      </c>
      <c r="D349" s="17"/>
      <c r="E349" s="14"/>
      <c r="F349" s="18"/>
      <c r="G349" s="19"/>
      <c r="H349" s="20"/>
      <c r="I349" s="21"/>
      <c r="J349" s="14"/>
      <c r="K349" s="14">
        <f t="shared" si="10"/>
        <v>0</v>
      </c>
      <c r="L349" s="16">
        <f t="shared" si="11"/>
        <v>0</v>
      </c>
      <c r="M349" s="22">
        <v>45597</v>
      </c>
      <c r="N349" s="44"/>
      <c r="O349" s="23" t="s">
        <v>16</v>
      </c>
      <c r="P349" s="24"/>
      <c r="Q349" s="28" t="s">
        <v>486</v>
      </c>
    </row>
    <row r="350" spans="1:17">
      <c r="A350" s="14">
        <v>346</v>
      </c>
      <c r="B350" s="29" t="s">
        <v>487</v>
      </c>
      <c r="C350" s="16">
        <f>'Медикаменты Май'!L348</f>
        <v>0</v>
      </c>
      <c r="D350" s="17"/>
      <c r="E350" s="14"/>
      <c r="F350" s="18"/>
      <c r="G350" s="19"/>
      <c r="H350" s="20"/>
      <c r="I350" s="21"/>
      <c r="J350" s="14"/>
      <c r="K350" s="14">
        <f t="shared" si="10"/>
        <v>0</v>
      </c>
      <c r="L350" s="16">
        <f t="shared" si="11"/>
        <v>0</v>
      </c>
      <c r="M350" s="22"/>
      <c r="N350" s="44"/>
      <c r="O350" s="23" t="s">
        <v>16</v>
      </c>
      <c r="P350" s="24"/>
      <c r="Q350" s="25"/>
    </row>
    <row r="351" spans="1:17">
      <c r="A351" s="14">
        <v>347</v>
      </c>
      <c r="B351" s="29" t="s">
        <v>488</v>
      </c>
      <c r="C351" s="16">
        <f>'Медикаменты Май'!L349</f>
        <v>25</v>
      </c>
      <c r="D351" s="17"/>
      <c r="E351" s="14"/>
      <c r="F351" s="18">
        <f>3+10</f>
        <v>13</v>
      </c>
      <c r="G351" s="19"/>
      <c r="H351" s="20"/>
      <c r="I351" s="21"/>
      <c r="J351" s="14"/>
      <c r="K351" s="14">
        <f t="shared" si="10"/>
        <v>13</v>
      </c>
      <c r="L351" s="16">
        <f t="shared" si="11"/>
        <v>12</v>
      </c>
      <c r="M351" s="22">
        <v>45200</v>
      </c>
      <c r="N351" s="44" t="s">
        <v>551</v>
      </c>
      <c r="O351" s="23" t="s">
        <v>16</v>
      </c>
      <c r="P351" s="24" t="s">
        <v>17</v>
      </c>
      <c r="Q351" s="23" t="s">
        <v>489</v>
      </c>
    </row>
    <row r="352" spans="1:17">
      <c r="A352" s="14">
        <v>348</v>
      </c>
      <c r="B352" s="29" t="s">
        <v>490</v>
      </c>
      <c r="C352" s="16">
        <f>'Медикаменты Май'!L350</f>
        <v>0</v>
      </c>
      <c r="D352" s="17"/>
      <c r="E352" s="14"/>
      <c r="F352" s="18"/>
      <c r="G352" s="19"/>
      <c r="H352" s="20"/>
      <c r="I352" s="21"/>
      <c r="J352" s="14"/>
      <c r="K352" s="14">
        <f t="shared" si="10"/>
        <v>0</v>
      </c>
      <c r="L352" s="16">
        <f t="shared" si="11"/>
        <v>0</v>
      </c>
      <c r="M352" s="22"/>
      <c r="N352" s="44"/>
      <c r="O352" s="23" t="s">
        <v>16</v>
      </c>
      <c r="P352" s="24"/>
      <c r="Q352" s="25"/>
    </row>
    <row r="353" spans="1:17" ht="25.5">
      <c r="A353" s="14">
        <v>349</v>
      </c>
      <c r="B353" s="29" t="s">
        <v>491</v>
      </c>
      <c r="C353" s="16">
        <f>'Медикаменты Май'!L351</f>
        <v>50</v>
      </c>
      <c r="D353" s="17"/>
      <c r="E353" s="14"/>
      <c r="F353" s="18"/>
      <c r="G353" s="19"/>
      <c r="H353" s="20"/>
      <c r="I353" s="21"/>
      <c r="J353" s="14"/>
      <c r="K353" s="14">
        <f t="shared" si="10"/>
        <v>0</v>
      </c>
      <c r="L353" s="16">
        <f t="shared" si="11"/>
        <v>50</v>
      </c>
      <c r="M353" s="22">
        <v>45231</v>
      </c>
      <c r="N353" s="44" t="s">
        <v>551</v>
      </c>
      <c r="O353" s="23" t="s">
        <v>16</v>
      </c>
      <c r="P353" s="24" t="s">
        <v>17</v>
      </c>
      <c r="Q353" s="23" t="s">
        <v>492</v>
      </c>
    </row>
    <row r="354" spans="1:17" ht="25.5">
      <c r="A354" s="14">
        <v>350</v>
      </c>
      <c r="B354" s="29" t="s">
        <v>491</v>
      </c>
      <c r="C354" s="16">
        <f>'Медикаменты Май'!L352</f>
        <v>350</v>
      </c>
      <c r="D354" s="17"/>
      <c r="E354" s="14"/>
      <c r="F354" s="18"/>
      <c r="G354" s="19"/>
      <c r="H354" s="20"/>
      <c r="I354" s="21"/>
      <c r="J354" s="14"/>
      <c r="K354" s="14">
        <f t="shared" si="10"/>
        <v>0</v>
      </c>
      <c r="L354" s="16">
        <f t="shared" si="11"/>
        <v>350</v>
      </c>
      <c r="M354" s="22">
        <v>44896</v>
      </c>
      <c r="N354" s="44" t="s">
        <v>551</v>
      </c>
      <c r="O354" s="23" t="s">
        <v>16</v>
      </c>
      <c r="P354" s="24" t="s">
        <v>17</v>
      </c>
      <c r="Q354" s="23" t="s">
        <v>492</v>
      </c>
    </row>
    <row r="355" spans="1:17">
      <c r="A355" s="14">
        <v>351</v>
      </c>
      <c r="B355" s="29" t="s">
        <v>493</v>
      </c>
      <c r="C355" s="16">
        <f>'Медикаменты Май'!L353</f>
        <v>100</v>
      </c>
      <c r="D355" s="17"/>
      <c r="E355" s="14"/>
      <c r="F355" s="18"/>
      <c r="G355" s="19"/>
      <c r="H355" s="20"/>
      <c r="I355" s="21"/>
      <c r="J355" s="14"/>
      <c r="K355" s="14">
        <f t="shared" si="10"/>
        <v>0</v>
      </c>
      <c r="L355" s="16">
        <f t="shared" si="11"/>
        <v>100</v>
      </c>
      <c r="M355" s="22">
        <v>44774</v>
      </c>
      <c r="N355" s="44" t="s">
        <v>551</v>
      </c>
      <c r="O355" s="23" t="s">
        <v>16</v>
      </c>
      <c r="P355" s="24" t="s">
        <v>17</v>
      </c>
      <c r="Q355" s="23" t="s">
        <v>494</v>
      </c>
    </row>
    <row r="356" spans="1:17">
      <c r="A356" s="14">
        <v>352</v>
      </c>
      <c r="B356" s="29" t="s">
        <v>495</v>
      </c>
      <c r="C356" s="16">
        <f>'Медикаменты Май'!L354</f>
        <v>0</v>
      </c>
      <c r="D356" s="17"/>
      <c r="E356" s="14"/>
      <c r="F356" s="18"/>
      <c r="G356" s="19"/>
      <c r="H356" s="20"/>
      <c r="I356" s="21"/>
      <c r="J356" s="14"/>
      <c r="K356" s="14">
        <f t="shared" si="10"/>
        <v>0</v>
      </c>
      <c r="L356" s="16">
        <f t="shared" si="11"/>
        <v>0</v>
      </c>
      <c r="M356" s="22"/>
      <c r="N356" s="44"/>
      <c r="O356" s="23" t="s">
        <v>16</v>
      </c>
      <c r="P356" s="24"/>
      <c r="Q356" s="25"/>
    </row>
    <row r="357" spans="1:17">
      <c r="A357" s="14">
        <v>353</v>
      </c>
      <c r="B357" s="29" t="s">
        <v>583</v>
      </c>
      <c r="C357" s="16">
        <f>'Медикаменты Май'!L355</f>
        <v>10</v>
      </c>
      <c r="D357" s="17"/>
      <c r="E357" s="14"/>
      <c r="F357" s="18"/>
      <c r="G357" s="19"/>
      <c r="H357" s="20"/>
      <c r="I357" s="21"/>
      <c r="J357" s="14"/>
      <c r="K357" s="14">
        <f t="shared" si="10"/>
        <v>0</v>
      </c>
      <c r="L357" s="16">
        <f t="shared" si="11"/>
        <v>10</v>
      </c>
      <c r="M357" s="22">
        <v>44896</v>
      </c>
      <c r="N357" s="44" t="s">
        <v>551</v>
      </c>
      <c r="O357" s="23" t="s">
        <v>16</v>
      </c>
      <c r="P357" s="24" t="s">
        <v>17</v>
      </c>
      <c r="Q357" s="28" t="s">
        <v>497</v>
      </c>
    </row>
    <row r="358" spans="1:17">
      <c r="A358" s="14">
        <v>354</v>
      </c>
      <c r="B358" s="29" t="s">
        <v>498</v>
      </c>
      <c r="C358" s="16">
        <f>'Медикаменты Май'!L356</f>
        <v>100</v>
      </c>
      <c r="D358" s="17"/>
      <c r="E358" s="14"/>
      <c r="F358" s="18"/>
      <c r="G358" s="19"/>
      <c r="H358" s="20"/>
      <c r="I358" s="21"/>
      <c r="J358" s="14"/>
      <c r="K358" s="14">
        <f t="shared" si="10"/>
        <v>0</v>
      </c>
      <c r="L358" s="16">
        <f t="shared" si="11"/>
        <v>100</v>
      </c>
      <c r="M358" s="22">
        <v>44805</v>
      </c>
      <c r="N358" s="44" t="s">
        <v>45</v>
      </c>
      <c r="O358" s="23" t="s">
        <v>16</v>
      </c>
      <c r="P358" s="24" t="s">
        <v>17</v>
      </c>
      <c r="Q358" s="23" t="s">
        <v>499</v>
      </c>
    </row>
    <row r="359" spans="1:17">
      <c r="A359" s="14">
        <v>355</v>
      </c>
      <c r="B359" s="29" t="s">
        <v>500</v>
      </c>
      <c r="C359" s="16">
        <f>'Медикаменты Май'!L357</f>
        <v>80</v>
      </c>
      <c r="D359" s="17"/>
      <c r="E359" s="14"/>
      <c r="F359" s="18"/>
      <c r="G359" s="19"/>
      <c r="H359" s="20"/>
      <c r="I359" s="21"/>
      <c r="J359" s="14"/>
      <c r="K359" s="14">
        <f t="shared" si="10"/>
        <v>0</v>
      </c>
      <c r="L359" s="16">
        <f t="shared" si="11"/>
        <v>80</v>
      </c>
      <c r="M359" s="22">
        <v>45992</v>
      </c>
      <c r="N359" s="44" t="s">
        <v>551</v>
      </c>
      <c r="O359" s="23" t="s">
        <v>16</v>
      </c>
      <c r="P359" s="24" t="s">
        <v>17</v>
      </c>
      <c r="Q359" s="23" t="s">
        <v>584</v>
      </c>
    </row>
    <row r="360" spans="1:17">
      <c r="A360" s="14">
        <v>356</v>
      </c>
      <c r="B360" s="29" t="s">
        <v>501</v>
      </c>
      <c r="C360" s="16">
        <f>'Медикаменты Май'!L358</f>
        <v>0</v>
      </c>
      <c r="D360" s="17"/>
      <c r="E360" s="14"/>
      <c r="F360" s="18"/>
      <c r="G360" s="19"/>
      <c r="H360" s="20"/>
      <c r="I360" s="21"/>
      <c r="J360" s="14"/>
      <c r="K360" s="14">
        <f t="shared" si="10"/>
        <v>0</v>
      </c>
      <c r="L360" s="16">
        <f t="shared" si="11"/>
        <v>0</v>
      </c>
      <c r="M360" s="22"/>
      <c r="N360" s="44"/>
      <c r="O360" s="23" t="s">
        <v>16</v>
      </c>
      <c r="P360" s="24"/>
      <c r="Q360" s="25"/>
    </row>
    <row r="361" spans="1:17">
      <c r="A361" s="14">
        <v>357</v>
      </c>
      <c r="B361" s="29" t="s">
        <v>502</v>
      </c>
      <c r="C361" s="16">
        <f>'Медикаменты Май'!L359</f>
        <v>0</v>
      </c>
      <c r="D361" s="17"/>
      <c r="E361" s="14">
        <f>30</f>
        <v>30</v>
      </c>
      <c r="F361" s="18"/>
      <c r="G361" s="19"/>
      <c r="H361" s="20"/>
      <c r="I361" s="21"/>
      <c r="J361" s="14"/>
      <c r="K361" s="14">
        <f t="shared" si="10"/>
        <v>0</v>
      </c>
      <c r="L361" s="16">
        <f t="shared" si="11"/>
        <v>30</v>
      </c>
      <c r="M361" s="22">
        <v>45139</v>
      </c>
      <c r="N361" s="44" t="s">
        <v>551</v>
      </c>
      <c r="O361" s="23" t="s">
        <v>16</v>
      </c>
      <c r="P361" s="24" t="s">
        <v>17</v>
      </c>
      <c r="Q361" s="27" t="s">
        <v>588</v>
      </c>
    </row>
    <row r="362" spans="1:17">
      <c r="A362" s="14">
        <v>358</v>
      </c>
      <c r="B362" s="29" t="s">
        <v>502</v>
      </c>
      <c r="C362" s="16"/>
      <c r="D362" s="17"/>
      <c r="E362" s="14">
        <f>20</f>
        <v>20</v>
      </c>
      <c r="F362" s="18"/>
      <c r="G362" s="19">
        <f>20</f>
        <v>20</v>
      </c>
      <c r="H362" s="20"/>
      <c r="I362" s="21"/>
      <c r="J362" s="14"/>
      <c r="K362" s="14">
        <f t="shared" si="10"/>
        <v>20</v>
      </c>
      <c r="L362" s="16">
        <f t="shared" si="11"/>
        <v>0</v>
      </c>
      <c r="M362" s="22">
        <v>45139</v>
      </c>
      <c r="N362" s="44" t="s">
        <v>551</v>
      </c>
      <c r="O362" s="23" t="s">
        <v>26</v>
      </c>
      <c r="P362" s="24" t="s">
        <v>17</v>
      </c>
      <c r="Q362" s="27" t="s">
        <v>588</v>
      </c>
    </row>
    <row r="363" spans="1:17">
      <c r="A363" s="14">
        <v>359</v>
      </c>
      <c r="B363" s="29" t="s">
        <v>503</v>
      </c>
      <c r="C363" s="16">
        <f>'Медикаменты Май'!L360</f>
        <v>96</v>
      </c>
      <c r="D363" s="26"/>
      <c r="E363" s="14"/>
      <c r="F363" s="18">
        <f>5+10</f>
        <v>15</v>
      </c>
      <c r="G363" s="19"/>
      <c r="H363" s="20">
        <f>5</f>
        <v>5</v>
      </c>
      <c r="I363" s="21"/>
      <c r="J363" s="14"/>
      <c r="K363" s="14">
        <f t="shared" si="10"/>
        <v>20</v>
      </c>
      <c r="L363" s="16">
        <f t="shared" si="11"/>
        <v>76</v>
      </c>
      <c r="M363" s="22">
        <v>44713</v>
      </c>
      <c r="N363" s="44" t="s">
        <v>45</v>
      </c>
      <c r="O363" s="23" t="s">
        <v>16</v>
      </c>
      <c r="P363" s="24" t="s">
        <v>17</v>
      </c>
      <c r="Q363" s="28" t="s">
        <v>504</v>
      </c>
    </row>
    <row r="364" spans="1:17">
      <c r="A364" s="14">
        <v>360</v>
      </c>
      <c r="B364" s="29" t="s">
        <v>505</v>
      </c>
      <c r="C364" s="16">
        <f>'Медикаменты Май'!L361</f>
        <v>0</v>
      </c>
      <c r="D364" s="17"/>
      <c r="E364" s="14"/>
      <c r="F364" s="18"/>
      <c r="G364" s="19"/>
      <c r="H364" s="20"/>
      <c r="I364" s="21"/>
      <c r="J364" s="14"/>
      <c r="K364" s="14">
        <f t="shared" si="10"/>
        <v>0</v>
      </c>
      <c r="L364" s="16">
        <f t="shared" si="11"/>
        <v>0</v>
      </c>
      <c r="M364" s="22"/>
      <c r="N364" s="44"/>
      <c r="O364" s="23" t="s">
        <v>16</v>
      </c>
      <c r="P364" s="24"/>
      <c r="Q364" s="25"/>
    </row>
    <row r="365" spans="1:17">
      <c r="A365" s="14">
        <v>361</v>
      </c>
      <c r="B365" s="29" t="s">
        <v>506</v>
      </c>
      <c r="C365" s="16">
        <f>'Медикаменты Май'!L362</f>
        <v>21</v>
      </c>
      <c r="D365" s="26"/>
      <c r="E365" s="14"/>
      <c r="F365" s="18">
        <f>10+5+6</f>
        <v>21</v>
      </c>
      <c r="G365" s="19"/>
      <c r="H365" s="20"/>
      <c r="I365" s="21"/>
      <c r="J365" s="14"/>
      <c r="K365" s="14">
        <f t="shared" si="10"/>
        <v>21</v>
      </c>
      <c r="L365" s="16">
        <f t="shared" si="11"/>
        <v>0</v>
      </c>
      <c r="M365" s="22">
        <v>44531</v>
      </c>
      <c r="N365" s="44" t="s">
        <v>45</v>
      </c>
      <c r="O365" s="23" t="s">
        <v>16</v>
      </c>
      <c r="P365" s="24" t="s">
        <v>17</v>
      </c>
      <c r="Q365" s="28" t="s">
        <v>507</v>
      </c>
    </row>
    <row r="366" spans="1:17" ht="25.5">
      <c r="A366" s="14">
        <v>362</v>
      </c>
      <c r="B366" s="29" t="s">
        <v>508</v>
      </c>
      <c r="C366" s="16">
        <f>'Медикаменты Май'!L363</f>
        <v>412</v>
      </c>
      <c r="D366" s="17"/>
      <c r="E366" s="14"/>
      <c r="F366" s="18"/>
      <c r="G366" s="19"/>
      <c r="H366" s="20"/>
      <c r="I366" s="21"/>
      <c r="J366" s="14"/>
      <c r="K366" s="14">
        <f t="shared" si="10"/>
        <v>0</v>
      </c>
      <c r="L366" s="16">
        <f t="shared" si="11"/>
        <v>412</v>
      </c>
      <c r="M366" s="22">
        <v>45108</v>
      </c>
      <c r="N366" s="44" t="s">
        <v>551</v>
      </c>
      <c r="O366" s="23" t="s">
        <v>16</v>
      </c>
      <c r="P366" s="24" t="s">
        <v>17</v>
      </c>
      <c r="Q366" s="28" t="s">
        <v>509</v>
      </c>
    </row>
    <row r="367" spans="1:17">
      <c r="A367" s="14">
        <v>363</v>
      </c>
      <c r="B367" s="29" t="s">
        <v>510</v>
      </c>
      <c r="C367" s="16">
        <f>'Медикаменты Май'!L364</f>
        <v>0</v>
      </c>
      <c r="D367" s="17"/>
      <c r="E367" s="14">
        <f>120</f>
        <v>120</v>
      </c>
      <c r="F367" s="18"/>
      <c r="G367" s="19"/>
      <c r="H367" s="20"/>
      <c r="I367" s="21"/>
      <c r="J367" s="14"/>
      <c r="K367" s="14">
        <f t="shared" si="10"/>
        <v>0</v>
      </c>
      <c r="L367" s="16">
        <f t="shared" si="11"/>
        <v>120</v>
      </c>
      <c r="M367" s="22">
        <v>44950</v>
      </c>
      <c r="N367" s="44" t="s">
        <v>551</v>
      </c>
      <c r="O367" s="23" t="s">
        <v>16</v>
      </c>
      <c r="P367" s="24" t="s">
        <v>17</v>
      </c>
      <c r="Q367" s="28" t="s">
        <v>589</v>
      </c>
    </row>
    <row r="368" spans="1:17">
      <c r="A368" s="14">
        <v>364</v>
      </c>
      <c r="B368" s="29" t="s">
        <v>511</v>
      </c>
      <c r="C368" s="16">
        <f>'Медикаменты Май'!L365</f>
        <v>0</v>
      </c>
      <c r="D368" s="17"/>
      <c r="E368" s="14"/>
      <c r="F368" s="18"/>
      <c r="G368" s="19"/>
      <c r="H368" s="20"/>
      <c r="I368" s="21"/>
      <c r="J368" s="14"/>
      <c r="K368" s="14">
        <f t="shared" si="10"/>
        <v>0</v>
      </c>
      <c r="L368" s="16">
        <f t="shared" si="11"/>
        <v>0</v>
      </c>
      <c r="M368" s="22"/>
      <c r="N368" s="44"/>
      <c r="O368" s="23" t="s">
        <v>16</v>
      </c>
      <c r="P368" s="24"/>
      <c r="Q368" s="25"/>
    </row>
    <row r="369" spans="1:17">
      <c r="A369" s="14">
        <v>365</v>
      </c>
      <c r="B369" s="29" t="s">
        <v>512</v>
      </c>
      <c r="C369" s="16">
        <f>'Медикаменты Май'!L366</f>
        <v>0</v>
      </c>
      <c r="D369" s="17"/>
      <c r="E369" s="14"/>
      <c r="F369" s="18"/>
      <c r="G369" s="19"/>
      <c r="H369" s="20"/>
      <c r="I369" s="21"/>
      <c r="J369" s="14"/>
      <c r="K369" s="14">
        <f t="shared" si="10"/>
        <v>0</v>
      </c>
      <c r="L369" s="16">
        <f t="shared" si="11"/>
        <v>0</v>
      </c>
      <c r="M369" s="22">
        <v>44682</v>
      </c>
      <c r="N369" s="44" t="s">
        <v>45</v>
      </c>
      <c r="O369" s="23" t="s">
        <v>16</v>
      </c>
      <c r="P369" s="24" t="s">
        <v>17</v>
      </c>
      <c r="Q369" s="23" t="s">
        <v>513</v>
      </c>
    </row>
    <row r="370" spans="1:17">
      <c r="A370" s="14">
        <v>366</v>
      </c>
      <c r="B370" s="29" t="s">
        <v>514</v>
      </c>
      <c r="C370" s="16">
        <f>'Медикаменты Май'!L367</f>
        <v>19</v>
      </c>
      <c r="D370" s="17"/>
      <c r="E370" s="14"/>
      <c r="F370" s="18">
        <f>8+5+6</f>
        <v>19</v>
      </c>
      <c r="G370" s="19"/>
      <c r="H370" s="20"/>
      <c r="I370" s="21"/>
      <c r="J370" s="14"/>
      <c r="K370" s="14">
        <f t="shared" si="10"/>
        <v>19</v>
      </c>
      <c r="L370" s="16">
        <f t="shared" si="11"/>
        <v>0</v>
      </c>
      <c r="M370" s="22">
        <v>44652</v>
      </c>
      <c r="N370" s="44" t="s">
        <v>45</v>
      </c>
      <c r="O370" s="23" t="s">
        <v>16</v>
      </c>
      <c r="P370" s="24" t="s">
        <v>17</v>
      </c>
      <c r="Q370" s="23" t="s">
        <v>515</v>
      </c>
    </row>
    <row r="371" spans="1:17">
      <c r="A371" s="14">
        <v>367</v>
      </c>
      <c r="B371" s="29" t="s">
        <v>516</v>
      </c>
      <c r="C371" s="16">
        <f>'Медикаменты Май'!L368</f>
        <v>0</v>
      </c>
      <c r="D371" s="17"/>
      <c r="E371" s="14"/>
      <c r="F371" s="18"/>
      <c r="G371" s="19"/>
      <c r="H371" s="20"/>
      <c r="I371" s="21"/>
      <c r="J371" s="14"/>
      <c r="K371" s="14">
        <f t="shared" si="10"/>
        <v>0</v>
      </c>
      <c r="L371" s="16">
        <f t="shared" si="11"/>
        <v>0</v>
      </c>
      <c r="M371" s="22"/>
      <c r="N371" s="44"/>
      <c r="O371" s="23" t="s">
        <v>16</v>
      </c>
      <c r="P371" s="24"/>
      <c r="Q371" s="25"/>
    </row>
    <row r="372" spans="1:17">
      <c r="A372" s="14">
        <v>368</v>
      </c>
      <c r="B372" s="29" t="s">
        <v>517</v>
      </c>
      <c r="C372" s="16">
        <f>'Медикаменты Май'!L369</f>
        <v>0</v>
      </c>
      <c r="D372" s="17"/>
      <c r="E372" s="14"/>
      <c r="F372" s="18"/>
      <c r="G372" s="19"/>
      <c r="H372" s="20"/>
      <c r="I372" s="21"/>
      <c r="J372" s="14"/>
      <c r="K372" s="14">
        <f t="shared" si="10"/>
        <v>0</v>
      </c>
      <c r="L372" s="16">
        <f t="shared" si="11"/>
        <v>0</v>
      </c>
      <c r="M372" s="22">
        <v>44682</v>
      </c>
      <c r="N372" s="44"/>
      <c r="O372" s="23" t="s">
        <v>26</v>
      </c>
      <c r="P372" s="24" t="s">
        <v>17</v>
      </c>
      <c r="Q372" s="23" t="s">
        <v>518</v>
      </c>
    </row>
    <row r="373" spans="1:17">
      <c r="A373" s="14">
        <v>369</v>
      </c>
      <c r="B373" s="29" t="s">
        <v>519</v>
      </c>
      <c r="C373" s="16">
        <f>'Медикаменты Май'!L370</f>
        <v>0</v>
      </c>
      <c r="D373" s="17"/>
      <c r="E373" s="14"/>
      <c r="F373" s="18"/>
      <c r="G373" s="19"/>
      <c r="H373" s="20"/>
      <c r="I373" s="21"/>
      <c r="J373" s="14"/>
      <c r="K373" s="14">
        <f t="shared" si="10"/>
        <v>0</v>
      </c>
      <c r="L373" s="16">
        <f t="shared" si="11"/>
        <v>0</v>
      </c>
      <c r="M373" s="22">
        <v>44409</v>
      </c>
      <c r="N373" s="44"/>
      <c r="O373" s="23" t="s">
        <v>16</v>
      </c>
      <c r="P373" s="24"/>
      <c r="Q373" s="25"/>
    </row>
    <row r="374" spans="1:17">
      <c r="A374" s="14">
        <v>370</v>
      </c>
      <c r="B374" s="29" t="s">
        <v>520</v>
      </c>
      <c r="C374" s="16">
        <f>'Медикаменты Май'!L371</f>
        <v>0</v>
      </c>
      <c r="D374" s="17"/>
      <c r="E374" s="14"/>
      <c r="F374" s="18"/>
      <c r="G374" s="19"/>
      <c r="H374" s="20"/>
      <c r="I374" s="21"/>
      <c r="J374" s="14"/>
      <c r="K374" s="14">
        <f t="shared" si="10"/>
        <v>0</v>
      </c>
      <c r="L374" s="16">
        <f t="shared" si="11"/>
        <v>0</v>
      </c>
      <c r="M374" s="22">
        <v>44805</v>
      </c>
      <c r="N374" s="44"/>
      <c r="O374" s="23" t="s">
        <v>26</v>
      </c>
      <c r="P374" s="24" t="s">
        <v>17</v>
      </c>
      <c r="Q374" s="23" t="s">
        <v>521</v>
      </c>
    </row>
    <row r="375" spans="1:17">
      <c r="A375" s="14">
        <v>371</v>
      </c>
      <c r="B375" s="29" t="s">
        <v>522</v>
      </c>
      <c r="C375" s="16">
        <f>'Медикаменты Май'!L372</f>
        <v>0</v>
      </c>
      <c r="D375" s="17"/>
      <c r="E375" s="14"/>
      <c r="F375" s="18"/>
      <c r="G375" s="19"/>
      <c r="H375" s="20"/>
      <c r="I375" s="21"/>
      <c r="J375" s="14"/>
      <c r="K375" s="14">
        <f t="shared" si="10"/>
        <v>0</v>
      </c>
      <c r="L375" s="16">
        <f t="shared" si="11"/>
        <v>0</v>
      </c>
      <c r="M375" s="22"/>
      <c r="N375" s="44"/>
      <c r="O375" s="23" t="s">
        <v>16</v>
      </c>
      <c r="P375" s="24"/>
      <c r="Q375" s="25"/>
    </row>
    <row r="376" spans="1:17">
      <c r="A376" s="14">
        <v>372</v>
      </c>
      <c r="B376" s="29" t="s">
        <v>523</v>
      </c>
      <c r="C376" s="16">
        <f>'Медикаменты Май'!L373</f>
        <v>0</v>
      </c>
      <c r="D376" s="17"/>
      <c r="E376" s="14"/>
      <c r="F376" s="18"/>
      <c r="G376" s="19"/>
      <c r="H376" s="20"/>
      <c r="I376" s="21"/>
      <c r="J376" s="14"/>
      <c r="K376" s="14">
        <f t="shared" si="10"/>
        <v>0</v>
      </c>
      <c r="L376" s="16">
        <f t="shared" si="11"/>
        <v>0</v>
      </c>
      <c r="M376" s="22">
        <v>44228</v>
      </c>
      <c r="N376" s="44"/>
      <c r="O376" s="23" t="s">
        <v>16</v>
      </c>
      <c r="P376" s="24"/>
      <c r="Q376" s="23" t="s">
        <v>524</v>
      </c>
    </row>
    <row r="377" spans="1:17">
      <c r="A377" s="14">
        <v>373</v>
      </c>
      <c r="B377" s="29" t="s">
        <v>525</v>
      </c>
      <c r="C377" s="16">
        <f>'Медикаменты Май'!L374</f>
        <v>86</v>
      </c>
      <c r="D377" s="17"/>
      <c r="E377" s="14"/>
      <c r="F377" s="18"/>
      <c r="G377" s="19"/>
      <c r="H377" s="20"/>
      <c r="I377" s="21"/>
      <c r="J377" s="14"/>
      <c r="K377" s="14">
        <f t="shared" si="10"/>
        <v>0</v>
      </c>
      <c r="L377" s="16">
        <f t="shared" si="11"/>
        <v>86</v>
      </c>
      <c r="M377" s="22">
        <v>44958</v>
      </c>
      <c r="N377" s="44" t="s">
        <v>45</v>
      </c>
      <c r="O377" s="23" t="s">
        <v>16</v>
      </c>
      <c r="P377" s="24" t="s">
        <v>17</v>
      </c>
      <c r="Q377" s="23" t="s">
        <v>526</v>
      </c>
    </row>
    <row r="378" spans="1:17">
      <c r="A378" s="14">
        <v>374</v>
      </c>
      <c r="B378" s="29" t="s">
        <v>527</v>
      </c>
      <c r="C378" s="16">
        <f>'Медикаменты Май'!L375</f>
        <v>0</v>
      </c>
      <c r="D378" s="17"/>
      <c r="E378" s="14"/>
      <c r="F378" s="18"/>
      <c r="G378" s="19"/>
      <c r="H378" s="20"/>
      <c r="I378" s="21"/>
      <c r="J378" s="14"/>
      <c r="K378" s="14">
        <f t="shared" si="10"/>
        <v>0</v>
      </c>
      <c r="L378" s="16">
        <f t="shared" si="11"/>
        <v>0</v>
      </c>
      <c r="M378" s="22">
        <v>44652</v>
      </c>
      <c r="N378" s="44" t="s">
        <v>45</v>
      </c>
      <c r="O378" s="23" t="s">
        <v>16</v>
      </c>
      <c r="P378" s="24" t="s">
        <v>17</v>
      </c>
      <c r="Q378" s="28" t="s">
        <v>528</v>
      </c>
    </row>
    <row r="379" spans="1:17">
      <c r="A379" s="14">
        <v>375</v>
      </c>
      <c r="B379" s="29" t="s">
        <v>527</v>
      </c>
      <c r="C379" s="16">
        <f>'Медикаменты Май'!L376</f>
        <v>25</v>
      </c>
      <c r="D379" s="17"/>
      <c r="E379" s="14"/>
      <c r="F379" s="18"/>
      <c r="G379" s="19"/>
      <c r="H379" s="20"/>
      <c r="I379" s="21"/>
      <c r="J379" s="14"/>
      <c r="K379" s="14">
        <f t="shared" si="10"/>
        <v>0</v>
      </c>
      <c r="L379" s="16">
        <f t="shared" si="11"/>
        <v>25</v>
      </c>
      <c r="M379" s="22">
        <v>44896</v>
      </c>
      <c r="N379" s="44" t="s">
        <v>45</v>
      </c>
      <c r="O379" s="23" t="s">
        <v>16</v>
      </c>
      <c r="P379" s="24" t="s">
        <v>17</v>
      </c>
      <c r="Q379" s="28" t="s">
        <v>528</v>
      </c>
    </row>
  </sheetData>
  <autoFilter ref="A2:Q379"/>
  <mergeCells count="18">
    <mergeCell ref="P2:P4"/>
    <mergeCell ref="Q2:Q4"/>
    <mergeCell ref="A1:Q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2:M4"/>
    <mergeCell ref="N2:N4"/>
    <mergeCell ref="O2:O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4000"/>
  </sheetPr>
  <dimension ref="A1:O24"/>
  <sheetViews>
    <sheetView zoomScaleNormal="100" workbookViewId="0">
      <pane ySplit="4" topLeftCell="A5" activePane="bottomLeft" state="frozen"/>
      <selection pane="bottomLeft" activeCell="B19" sqref="B19"/>
    </sheetView>
  </sheetViews>
  <sheetFormatPr defaultRowHeight="15"/>
  <cols>
    <col min="1" max="1" width="12.5703125" customWidth="1"/>
    <col min="2" max="2" width="45.85546875" customWidth="1"/>
    <col min="3" max="13" width="13.28515625" customWidth="1"/>
    <col min="14" max="14" width="13.7109375" customWidth="1"/>
    <col min="15" max="1022" width="9.140625" customWidth="1"/>
    <col min="1023" max="1025" width="11.5703125" customWidth="1"/>
  </cols>
  <sheetData>
    <row r="1" spans="1:15" ht="51.75" customHeight="1">
      <c r="A1" s="3" t="s">
        <v>529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s="33" customFormat="1" ht="13.9" customHeight="1">
      <c r="A2" s="11" t="s">
        <v>1</v>
      </c>
      <c r="B2" s="10" t="s">
        <v>2</v>
      </c>
      <c r="C2" s="9">
        <v>44348</v>
      </c>
      <c r="D2" s="11" t="s">
        <v>3</v>
      </c>
      <c r="E2" s="11" t="s">
        <v>4</v>
      </c>
      <c r="F2" s="8" t="s">
        <v>5</v>
      </c>
      <c r="G2" s="2" t="s">
        <v>6</v>
      </c>
      <c r="H2" s="6" t="s">
        <v>7</v>
      </c>
      <c r="I2" s="5" t="s">
        <v>8</v>
      </c>
      <c r="J2" s="11" t="s">
        <v>9</v>
      </c>
      <c r="K2" s="11" t="s">
        <v>10</v>
      </c>
      <c r="L2" s="9">
        <v>44377</v>
      </c>
      <c r="M2" s="1" t="s">
        <v>11</v>
      </c>
      <c r="N2" s="1" t="s">
        <v>12</v>
      </c>
      <c r="O2" s="32"/>
    </row>
    <row r="3" spans="1:15" s="33" customFormat="1" ht="14.25">
      <c r="A3" s="11"/>
      <c r="B3" s="10"/>
      <c r="C3" s="9"/>
      <c r="D3" s="9"/>
      <c r="E3" s="9"/>
      <c r="F3" s="8"/>
      <c r="G3" s="2"/>
      <c r="H3" s="6"/>
      <c r="I3" s="5"/>
      <c r="J3" s="11"/>
      <c r="K3" s="11"/>
      <c r="L3" s="11"/>
      <c r="M3" s="1"/>
      <c r="N3" s="1"/>
      <c r="O3" s="32"/>
    </row>
    <row r="4" spans="1:15" s="33" customFormat="1" ht="24.75" customHeight="1">
      <c r="A4" s="11"/>
      <c r="B4" s="10"/>
      <c r="C4" s="9"/>
      <c r="D4" s="9"/>
      <c r="E4" s="9"/>
      <c r="F4" s="8"/>
      <c r="G4" s="2"/>
      <c r="H4" s="6"/>
      <c r="I4" s="5"/>
      <c r="J4" s="11"/>
      <c r="K4" s="11"/>
      <c r="L4" s="11"/>
      <c r="M4" s="1"/>
      <c r="N4" s="1"/>
      <c r="O4" s="32"/>
    </row>
    <row r="5" spans="1:15">
      <c r="A5" s="34">
        <v>1</v>
      </c>
      <c r="B5" s="35" t="s">
        <v>530</v>
      </c>
      <c r="C5" s="14">
        <f>'Перевязочные Май'!L5</f>
        <v>518</v>
      </c>
      <c r="D5" s="36"/>
      <c r="E5" s="36"/>
      <c r="F5" s="37"/>
      <c r="G5" s="38"/>
      <c r="H5" s="39"/>
      <c r="I5" s="40"/>
      <c r="J5" s="36"/>
      <c r="K5" s="14">
        <f t="shared" ref="K5:K24" si="0">SUM(F5:J5)</f>
        <v>0</v>
      </c>
      <c r="L5" s="16">
        <f t="shared" ref="L5:L24" si="1">(C5+E5)-K5</f>
        <v>518</v>
      </c>
      <c r="M5" s="41">
        <v>44652</v>
      </c>
      <c r="N5" s="42" t="s">
        <v>16</v>
      </c>
      <c r="O5" s="43"/>
    </row>
    <row r="6" spans="1:15">
      <c r="A6" s="34">
        <v>2</v>
      </c>
      <c r="B6" s="35" t="s">
        <v>531</v>
      </c>
      <c r="C6" s="14">
        <f>'Перевязочные Май'!L6</f>
        <v>85</v>
      </c>
      <c r="D6" s="36"/>
      <c r="E6" s="36"/>
      <c r="F6" s="37"/>
      <c r="G6" s="38"/>
      <c r="H6" s="39"/>
      <c r="I6" s="40"/>
      <c r="J6" s="36"/>
      <c r="K6" s="14">
        <f t="shared" si="0"/>
        <v>0</v>
      </c>
      <c r="L6" s="16">
        <f t="shared" si="1"/>
        <v>85</v>
      </c>
      <c r="M6" s="41">
        <v>45200</v>
      </c>
      <c r="N6" s="42" t="s">
        <v>16</v>
      </c>
      <c r="O6" s="43"/>
    </row>
    <row r="7" spans="1:15">
      <c r="A7" s="34">
        <v>3</v>
      </c>
      <c r="B7" s="35" t="s">
        <v>532</v>
      </c>
      <c r="C7" s="14">
        <f>'Перевязочные Май'!L7</f>
        <v>10</v>
      </c>
      <c r="D7" s="36"/>
      <c r="E7" s="36"/>
      <c r="F7" s="37"/>
      <c r="G7" s="38"/>
      <c r="H7" s="39"/>
      <c r="I7" s="40"/>
      <c r="J7" s="36"/>
      <c r="K7" s="14">
        <f t="shared" si="0"/>
        <v>0</v>
      </c>
      <c r="L7" s="16">
        <f t="shared" si="1"/>
        <v>10</v>
      </c>
      <c r="M7" s="41">
        <v>44958</v>
      </c>
      <c r="N7" s="42" t="s">
        <v>16</v>
      </c>
      <c r="O7" s="43"/>
    </row>
    <row r="8" spans="1:15">
      <c r="A8" s="34">
        <v>4</v>
      </c>
      <c r="B8" s="35" t="s">
        <v>533</v>
      </c>
      <c r="C8" s="14">
        <f>'Перевязочные Май'!L8</f>
        <v>0</v>
      </c>
      <c r="D8" s="36"/>
      <c r="E8" s="36"/>
      <c r="F8" s="37"/>
      <c r="G8" s="38"/>
      <c r="H8" s="39"/>
      <c r="I8" s="40"/>
      <c r="J8" s="36"/>
      <c r="K8" s="14">
        <f t="shared" si="0"/>
        <v>0</v>
      </c>
      <c r="L8" s="16">
        <f t="shared" si="1"/>
        <v>0</v>
      </c>
      <c r="M8" s="41"/>
      <c r="N8" s="42" t="s">
        <v>16</v>
      </c>
      <c r="O8" s="43"/>
    </row>
    <row r="9" spans="1:15">
      <c r="A9" s="34">
        <v>5</v>
      </c>
      <c r="B9" s="35" t="s">
        <v>534</v>
      </c>
      <c r="C9" s="14">
        <f>'Перевязочные Май'!L9</f>
        <v>0</v>
      </c>
      <c r="D9" s="36"/>
      <c r="E9" s="36"/>
      <c r="F9" s="37"/>
      <c r="G9" s="38"/>
      <c r="H9" s="39"/>
      <c r="I9" s="40"/>
      <c r="J9" s="36"/>
      <c r="K9" s="14">
        <f t="shared" si="0"/>
        <v>0</v>
      </c>
      <c r="L9" s="16">
        <f t="shared" si="1"/>
        <v>0</v>
      </c>
      <c r="M9" s="41"/>
      <c r="N9" s="42" t="s">
        <v>16</v>
      </c>
      <c r="O9" s="43"/>
    </row>
    <row r="10" spans="1:15">
      <c r="A10" s="34">
        <v>6</v>
      </c>
      <c r="B10" s="35" t="s">
        <v>535</v>
      </c>
      <c r="C10" s="14">
        <f>'Перевязочные Май'!L10</f>
        <v>10</v>
      </c>
      <c r="D10" s="36"/>
      <c r="E10" s="36"/>
      <c r="F10" s="37"/>
      <c r="G10" s="38"/>
      <c r="H10" s="39"/>
      <c r="I10" s="40"/>
      <c r="J10" s="36"/>
      <c r="K10" s="14">
        <f t="shared" si="0"/>
        <v>0</v>
      </c>
      <c r="L10" s="16">
        <f t="shared" si="1"/>
        <v>10</v>
      </c>
      <c r="M10" s="41">
        <v>45231</v>
      </c>
      <c r="N10" s="42" t="s">
        <v>16</v>
      </c>
      <c r="O10" s="43"/>
    </row>
    <row r="11" spans="1:15">
      <c r="A11" s="34">
        <v>7</v>
      </c>
      <c r="B11" s="35" t="s">
        <v>536</v>
      </c>
      <c r="C11" s="14">
        <f>'Перевязочные Май'!L11</f>
        <v>0</v>
      </c>
      <c r="D11" s="36"/>
      <c r="E11" s="36"/>
      <c r="F11" s="37"/>
      <c r="G11" s="38"/>
      <c r="H11" s="39"/>
      <c r="I11" s="40"/>
      <c r="J11" s="36"/>
      <c r="K11" s="14">
        <f t="shared" si="0"/>
        <v>0</v>
      </c>
      <c r="L11" s="16">
        <f t="shared" si="1"/>
        <v>0</v>
      </c>
      <c r="M11" s="41"/>
      <c r="N11" s="42" t="s">
        <v>16</v>
      </c>
      <c r="O11" s="43"/>
    </row>
    <row r="12" spans="1:15">
      <c r="A12" s="34">
        <v>8</v>
      </c>
      <c r="B12" s="35" t="s">
        <v>537</v>
      </c>
      <c r="C12" s="14">
        <f>'Перевязочные Май'!L12</f>
        <v>16</v>
      </c>
      <c r="D12" s="36"/>
      <c r="E12" s="36"/>
      <c r="F12" s="37"/>
      <c r="G12" s="38"/>
      <c r="H12" s="39"/>
      <c r="I12" s="40"/>
      <c r="J12" s="36"/>
      <c r="K12" s="14">
        <f t="shared" si="0"/>
        <v>0</v>
      </c>
      <c r="L12" s="16">
        <f t="shared" si="1"/>
        <v>16</v>
      </c>
      <c r="M12" s="41">
        <v>45658</v>
      </c>
      <c r="N12" s="42" t="s">
        <v>16</v>
      </c>
      <c r="O12" s="43"/>
    </row>
    <row r="13" spans="1:15">
      <c r="A13" s="34">
        <v>9</v>
      </c>
      <c r="B13" s="35" t="s">
        <v>538</v>
      </c>
      <c r="C13" s="14">
        <f>'Перевязочные Май'!L13</f>
        <v>740</v>
      </c>
      <c r="D13" s="36"/>
      <c r="E13" s="36"/>
      <c r="F13" s="37">
        <f>100</f>
        <v>100</v>
      </c>
      <c r="G13" s="38"/>
      <c r="H13" s="39"/>
      <c r="I13" s="40"/>
      <c r="J13" s="36"/>
      <c r="K13" s="14">
        <f t="shared" si="0"/>
        <v>100</v>
      </c>
      <c r="L13" s="16">
        <f t="shared" si="1"/>
        <v>640</v>
      </c>
      <c r="M13" s="41">
        <v>44682</v>
      </c>
      <c r="N13" s="42" t="s">
        <v>16</v>
      </c>
      <c r="O13" s="43"/>
    </row>
    <row r="14" spans="1:15">
      <c r="A14" s="34">
        <v>10</v>
      </c>
      <c r="B14" s="35" t="s">
        <v>539</v>
      </c>
      <c r="C14" s="14">
        <f>'Перевязочные Май'!L14</f>
        <v>434</v>
      </c>
      <c r="D14" s="36"/>
      <c r="E14" s="36"/>
      <c r="F14" s="37">
        <f>24</f>
        <v>24</v>
      </c>
      <c r="G14" s="38"/>
      <c r="H14" s="39"/>
      <c r="I14" s="40"/>
      <c r="J14" s="36"/>
      <c r="K14" s="14">
        <f t="shared" si="0"/>
        <v>24</v>
      </c>
      <c r="L14" s="16">
        <f t="shared" si="1"/>
        <v>410</v>
      </c>
      <c r="M14" s="41">
        <v>45261</v>
      </c>
      <c r="N14" s="42" t="s">
        <v>16</v>
      </c>
      <c r="O14" s="43"/>
    </row>
    <row r="15" spans="1:15">
      <c r="A15" s="34">
        <v>11</v>
      </c>
      <c r="B15" s="35" t="s">
        <v>540</v>
      </c>
      <c r="C15" s="14">
        <f>'Перевязочные Май'!L15</f>
        <v>141</v>
      </c>
      <c r="D15" s="36"/>
      <c r="E15" s="36"/>
      <c r="F15" s="37"/>
      <c r="G15" s="38"/>
      <c r="H15" s="39"/>
      <c r="I15" s="40"/>
      <c r="J15" s="36"/>
      <c r="K15" s="14">
        <f t="shared" si="0"/>
        <v>0</v>
      </c>
      <c r="L15" s="16">
        <f t="shared" si="1"/>
        <v>141</v>
      </c>
      <c r="M15" s="41">
        <v>44835</v>
      </c>
      <c r="N15" s="42" t="s">
        <v>16</v>
      </c>
      <c r="O15" s="43"/>
    </row>
    <row r="16" spans="1:15" ht="30">
      <c r="A16" s="34">
        <v>12</v>
      </c>
      <c r="B16" s="35" t="s">
        <v>541</v>
      </c>
      <c r="C16" s="14">
        <f>'Перевязочные Май'!L16</f>
        <v>285</v>
      </c>
      <c r="D16" s="36"/>
      <c r="E16" s="36"/>
      <c r="F16" s="37"/>
      <c r="G16" s="38"/>
      <c r="H16" s="39"/>
      <c r="I16" s="40"/>
      <c r="J16" s="36"/>
      <c r="K16" s="14">
        <f t="shared" si="0"/>
        <v>0</v>
      </c>
      <c r="L16" s="16">
        <f t="shared" si="1"/>
        <v>285</v>
      </c>
      <c r="M16" s="41">
        <v>45616</v>
      </c>
      <c r="N16" s="42" t="s">
        <v>16</v>
      </c>
      <c r="O16" s="43"/>
    </row>
    <row r="17" spans="1:15" ht="45">
      <c r="A17" s="34">
        <v>13</v>
      </c>
      <c r="B17" s="35" t="s">
        <v>542</v>
      </c>
      <c r="C17" s="14">
        <f>'Перевязочные Май'!L17</f>
        <v>480</v>
      </c>
      <c r="D17" s="36"/>
      <c r="E17" s="36"/>
      <c r="F17" s="37">
        <f>30</f>
        <v>30</v>
      </c>
      <c r="G17" s="38"/>
      <c r="H17" s="39"/>
      <c r="I17" s="40"/>
      <c r="J17" s="36"/>
      <c r="K17" s="14">
        <f t="shared" si="0"/>
        <v>30</v>
      </c>
      <c r="L17" s="16">
        <f t="shared" si="1"/>
        <v>450</v>
      </c>
      <c r="M17" s="41">
        <v>44682</v>
      </c>
      <c r="N17" s="42" t="s">
        <v>16</v>
      </c>
      <c r="O17" s="43"/>
    </row>
    <row r="18" spans="1:15" ht="30">
      <c r="A18" s="34">
        <v>14</v>
      </c>
      <c r="B18" s="35" t="s">
        <v>543</v>
      </c>
      <c r="C18" s="14">
        <f>'Перевязочные Май'!L18</f>
        <v>0</v>
      </c>
      <c r="D18" s="36"/>
      <c r="E18" s="36"/>
      <c r="F18" s="37"/>
      <c r="G18" s="38"/>
      <c r="H18" s="39"/>
      <c r="I18" s="40"/>
      <c r="J18" s="36"/>
      <c r="K18" s="14">
        <f t="shared" si="0"/>
        <v>0</v>
      </c>
      <c r="L18" s="16">
        <f t="shared" si="1"/>
        <v>0</v>
      </c>
      <c r="M18" s="41">
        <v>45778</v>
      </c>
      <c r="N18" s="42" t="s">
        <v>16</v>
      </c>
      <c r="O18" s="43"/>
    </row>
    <row r="19" spans="1:15" ht="30">
      <c r="A19" s="34">
        <v>15</v>
      </c>
      <c r="B19" s="35" t="s">
        <v>565</v>
      </c>
      <c r="C19" s="14">
        <f>'Перевязочные Май'!L19</f>
        <v>31250</v>
      </c>
      <c r="D19" s="36"/>
      <c r="E19" s="36"/>
      <c r="F19" s="37">
        <f>400</f>
        <v>400</v>
      </c>
      <c r="G19" s="38">
        <f>1000</f>
        <v>1000</v>
      </c>
      <c r="H19" s="39">
        <f>1000</f>
        <v>1000</v>
      </c>
      <c r="I19" s="40"/>
      <c r="J19" s="36"/>
      <c r="K19" s="14">
        <f t="shared" si="0"/>
        <v>2400</v>
      </c>
      <c r="L19" s="16">
        <f t="shared" si="1"/>
        <v>28850</v>
      </c>
      <c r="M19" s="41">
        <v>45992</v>
      </c>
      <c r="N19" s="42" t="s">
        <v>16</v>
      </c>
      <c r="O19" s="43"/>
    </row>
    <row r="20" spans="1:15" ht="30">
      <c r="A20" s="34">
        <v>16</v>
      </c>
      <c r="B20" s="35" t="s">
        <v>544</v>
      </c>
      <c r="C20" s="14">
        <f>'Перевязочные Май'!L20</f>
        <v>38</v>
      </c>
      <c r="D20" s="36"/>
      <c r="E20" s="36"/>
      <c r="F20" s="37"/>
      <c r="G20" s="38"/>
      <c r="H20" s="39"/>
      <c r="I20" s="40"/>
      <c r="J20" s="36"/>
      <c r="K20" s="14">
        <f t="shared" si="0"/>
        <v>0</v>
      </c>
      <c r="L20" s="16">
        <f t="shared" si="1"/>
        <v>38</v>
      </c>
      <c r="M20" s="41"/>
      <c r="N20" s="42" t="s">
        <v>16</v>
      </c>
      <c r="O20" s="43"/>
    </row>
    <row r="21" spans="1:15">
      <c r="A21" s="34">
        <v>17</v>
      </c>
      <c r="B21" s="35" t="s">
        <v>545</v>
      </c>
      <c r="C21" s="14">
        <f>'Перевязочные Май'!L21</f>
        <v>15</v>
      </c>
      <c r="D21" s="36"/>
      <c r="E21" s="36"/>
      <c r="F21" s="37"/>
      <c r="G21" s="38"/>
      <c r="H21" s="39"/>
      <c r="I21" s="40"/>
      <c r="J21" s="36"/>
      <c r="K21" s="14">
        <f t="shared" si="0"/>
        <v>0</v>
      </c>
      <c r="L21" s="16">
        <f t="shared" si="1"/>
        <v>15</v>
      </c>
      <c r="M21" s="41">
        <v>45292</v>
      </c>
      <c r="N21" s="42" t="s">
        <v>16</v>
      </c>
      <c r="O21" s="43"/>
    </row>
    <row r="22" spans="1:15">
      <c r="A22" s="34">
        <v>18</v>
      </c>
      <c r="B22" s="35" t="s">
        <v>566</v>
      </c>
      <c r="C22" s="14">
        <f>'Перевязочные Май'!L22</f>
        <v>28</v>
      </c>
      <c r="D22" s="36"/>
      <c r="E22" s="36"/>
      <c r="F22" s="37"/>
      <c r="G22" s="38"/>
      <c r="H22" s="39"/>
      <c r="I22" s="40"/>
      <c r="J22" s="36"/>
      <c r="K22" s="14">
        <f t="shared" si="0"/>
        <v>0</v>
      </c>
      <c r="L22" s="16">
        <f t="shared" si="1"/>
        <v>28</v>
      </c>
      <c r="M22" s="41">
        <v>45717</v>
      </c>
      <c r="N22" s="42" t="s">
        <v>16</v>
      </c>
      <c r="O22" s="43"/>
    </row>
    <row r="23" spans="1:15" ht="30">
      <c r="A23" s="34">
        <v>19</v>
      </c>
      <c r="B23" s="35" t="s">
        <v>546</v>
      </c>
      <c r="C23" s="14">
        <f>'Перевязочные Май'!L23</f>
        <v>14</v>
      </c>
      <c r="D23" s="36"/>
      <c r="E23" s="36"/>
      <c r="F23" s="37"/>
      <c r="G23" s="38"/>
      <c r="H23" s="39"/>
      <c r="I23" s="40"/>
      <c r="J23" s="36"/>
      <c r="K23" s="14">
        <f t="shared" si="0"/>
        <v>0</v>
      </c>
      <c r="L23" s="16">
        <f t="shared" si="1"/>
        <v>14</v>
      </c>
      <c r="M23" s="41">
        <v>44682</v>
      </c>
      <c r="N23" s="42" t="s">
        <v>16</v>
      </c>
      <c r="O23" s="43"/>
    </row>
    <row r="24" spans="1:15" ht="45">
      <c r="A24" s="34">
        <v>20</v>
      </c>
      <c r="B24" s="35" t="s">
        <v>567</v>
      </c>
      <c r="C24" s="14">
        <f>'Перевязочные Май'!L24</f>
        <v>20</v>
      </c>
      <c r="D24" s="36"/>
      <c r="E24" s="36"/>
      <c r="F24" s="37"/>
      <c r="G24" s="38"/>
      <c r="H24" s="39"/>
      <c r="I24" s="40"/>
      <c r="J24" s="36"/>
      <c r="K24" s="14">
        <f t="shared" si="0"/>
        <v>0</v>
      </c>
      <c r="L24" s="16">
        <f t="shared" si="1"/>
        <v>20</v>
      </c>
      <c r="M24" s="41">
        <v>45292</v>
      </c>
      <c r="N24" s="42" t="s">
        <v>16</v>
      </c>
      <c r="O24" s="43"/>
    </row>
  </sheetData>
  <autoFilter ref="A2:N4"/>
  <mergeCells count="15">
    <mergeCell ref="A1:N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2:M4"/>
    <mergeCell ref="N2:N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BF00"/>
  </sheetPr>
  <dimension ref="A1:Q389"/>
  <sheetViews>
    <sheetView zoomScaleNormal="100" workbookViewId="0">
      <pane ySplit="4" topLeftCell="A242" activePane="bottomLeft" state="frozen"/>
      <selection pane="bottomLeft" activeCell="B140" sqref="B140"/>
    </sheetView>
  </sheetViews>
  <sheetFormatPr defaultRowHeight="15"/>
  <cols>
    <col min="1" max="1" width="9.140625" customWidth="1"/>
    <col min="2" max="2" width="40.85546875" customWidth="1"/>
    <col min="3" max="13" width="13.28515625" customWidth="1"/>
    <col min="14" max="14" width="13.28515625" style="13" customWidth="1"/>
    <col min="15" max="15" width="13.28515625" customWidth="1"/>
    <col min="16" max="16" width="13.28515625" style="13" customWidth="1"/>
    <col min="17" max="17" width="43.5703125" customWidth="1"/>
    <col min="18" max="1025" width="9.140625" customWidth="1"/>
  </cols>
  <sheetData>
    <row r="1" spans="1:17" ht="52.5" customHeight="1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ht="13.9" customHeight="1">
      <c r="A2" s="11" t="s">
        <v>1</v>
      </c>
      <c r="B2" s="10" t="s">
        <v>2</v>
      </c>
      <c r="C2" s="9">
        <v>44378</v>
      </c>
      <c r="D2" s="11" t="s">
        <v>3</v>
      </c>
      <c r="E2" s="11" t="s">
        <v>4</v>
      </c>
      <c r="F2" s="8" t="s">
        <v>5</v>
      </c>
      <c r="G2" s="7" t="s">
        <v>6</v>
      </c>
      <c r="H2" s="6" t="s">
        <v>7</v>
      </c>
      <c r="I2" s="5" t="s">
        <v>8</v>
      </c>
      <c r="J2" s="11" t="s">
        <v>9</v>
      </c>
      <c r="K2" s="11" t="s">
        <v>10</v>
      </c>
      <c r="L2" s="9">
        <v>44408</v>
      </c>
      <c r="M2" s="4" t="s">
        <v>11</v>
      </c>
      <c r="N2" s="4" t="s">
        <v>550</v>
      </c>
      <c r="O2" s="4" t="s">
        <v>12</v>
      </c>
      <c r="P2" s="4" t="s">
        <v>13</v>
      </c>
      <c r="Q2" s="4" t="s">
        <v>14</v>
      </c>
    </row>
    <row r="3" spans="1:17">
      <c r="A3" s="11"/>
      <c r="B3" s="10"/>
      <c r="C3" s="9"/>
      <c r="D3" s="9"/>
      <c r="E3" s="9"/>
      <c r="F3" s="8"/>
      <c r="G3" s="7"/>
      <c r="H3" s="6"/>
      <c r="I3" s="5"/>
      <c r="J3" s="11"/>
      <c r="K3" s="11"/>
      <c r="L3" s="11"/>
      <c r="M3" s="4"/>
      <c r="N3" s="4"/>
      <c r="O3" s="4"/>
      <c r="P3" s="4"/>
      <c r="Q3" s="4"/>
    </row>
    <row r="4" spans="1:17" ht="34.5" customHeight="1">
      <c r="A4" s="11"/>
      <c r="B4" s="10"/>
      <c r="C4" s="9"/>
      <c r="D4" s="9"/>
      <c r="E4" s="9"/>
      <c r="F4" s="8"/>
      <c r="G4" s="7"/>
      <c r="H4" s="6"/>
      <c r="I4" s="5"/>
      <c r="J4" s="11"/>
      <c r="K4" s="11"/>
      <c r="L4" s="11"/>
      <c r="M4" s="4"/>
      <c r="N4" s="4"/>
      <c r="O4" s="4"/>
      <c r="P4" s="4"/>
      <c r="Q4" s="4"/>
    </row>
    <row r="5" spans="1:17">
      <c r="A5" s="14">
        <v>1</v>
      </c>
      <c r="B5" s="15" t="s">
        <v>15</v>
      </c>
      <c r="C5" s="16">
        <f>'Медикаменты Июнь'!L5</f>
        <v>17</v>
      </c>
      <c r="D5" s="17"/>
      <c r="E5" s="14"/>
      <c r="F5" s="18">
        <f>3</f>
        <v>3</v>
      </c>
      <c r="G5" s="19"/>
      <c r="H5" s="20"/>
      <c r="I5" s="21"/>
      <c r="J5" s="14"/>
      <c r="K5" s="14">
        <f t="shared" ref="K5:K68" si="0">SUM(F5:J5)</f>
        <v>3</v>
      </c>
      <c r="L5" s="16">
        <f t="shared" ref="L5:L68" si="1">(C5+E5)-K5</f>
        <v>14</v>
      </c>
      <c r="M5" s="22">
        <v>44531</v>
      </c>
      <c r="N5" s="44" t="s">
        <v>45</v>
      </c>
      <c r="O5" s="23" t="s">
        <v>16</v>
      </c>
      <c r="P5" s="24" t="s">
        <v>17</v>
      </c>
      <c r="Q5" s="28" t="s">
        <v>18</v>
      </c>
    </row>
    <row r="6" spans="1:17">
      <c r="A6" s="14">
        <v>2</v>
      </c>
      <c r="B6" s="15" t="s">
        <v>19</v>
      </c>
      <c r="C6" s="16">
        <f>'Медикаменты Июнь'!L6</f>
        <v>11</v>
      </c>
      <c r="D6" s="17"/>
      <c r="E6" s="14"/>
      <c r="F6" s="18"/>
      <c r="G6" s="19"/>
      <c r="H6" s="20"/>
      <c r="I6" s="21"/>
      <c r="J6" s="14"/>
      <c r="K6" s="14">
        <f t="shared" si="0"/>
        <v>0</v>
      </c>
      <c r="L6" s="16">
        <f t="shared" si="1"/>
        <v>11</v>
      </c>
      <c r="M6" s="22">
        <v>44593</v>
      </c>
      <c r="N6" s="44" t="s">
        <v>45</v>
      </c>
      <c r="O6" s="23" t="s">
        <v>16</v>
      </c>
      <c r="P6" s="24" t="s">
        <v>17</v>
      </c>
      <c r="Q6" s="28" t="s">
        <v>20</v>
      </c>
    </row>
    <row r="7" spans="1:17">
      <c r="A7" s="14">
        <v>3</v>
      </c>
      <c r="B7" s="15" t="s">
        <v>21</v>
      </c>
      <c r="C7" s="16">
        <f>'Медикаменты Июнь'!L7</f>
        <v>157</v>
      </c>
      <c r="D7" s="17"/>
      <c r="E7" s="14"/>
      <c r="F7" s="18">
        <f>5+13+10</f>
        <v>28</v>
      </c>
      <c r="G7" s="19"/>
      <c r="H7" s="20"/>
      <c r="I7" s="21"/>
      <c r="J7" s="14"/>
      <c r="K7" s="14">
        <f t="shared" si="0"/>
        <v>28</v>
      </c>
      <c r="L7" s="16">
        <f t="shared" si="1"/>
        <v>129</v>
      </c>
      <c r="M7" s="22">
        <v>45566</v>
      </c>
      <c r="N7" s="44" t="s">
        <v>45</v>
      </c>
      <c r="O7" s="23" t="s">
        <v>16</v>
      </c>
      <c r="P7" s="24" t="s">
        <v>17</v>
      </c>
      <c r="Q7" s="28" t="s">
        <v>22</v>
      </c>
    </row>
    <row r="8" spans="1:17">
      <c r="A8" s="14">
        <v>4</v>
      </c>
      <c r="B8" s="15" t="s">
        <v>590</v>
      </c>
      <c r="C8" s="16"/>
      <c r="D8" s="17"/>
      <c r="E8" s="14">
        <f>50</f>
        <v>50</v>
      </c>
      <c r="F8" s="18"/>
      <c r="G8" s="19"/>
      <c r="H8" s="20"/>
      <c r="I8" s="21"/>
      <c r="J8" s="14"/>
      <c r="K8" s="14">
        <f t="shared" si="0"/>
        <v>0</v>
      </c>
      <c r="L8" s="16">
        <f t="shared" si="1"/>
        <v>50</v>
      </c>
      <c r="M8" s="22">
        <v>45047</v>
      </c>
      <c r="N8" s="44" t="s">
        <v>551</v>
      </c>
      <c r="O8" s="23" t="s">
        <v>16</v>
      </c>
      <c r="P8" s="24" t="s">
        <v>17</v>
      </c>
      <c r="Q8" s="28" t="s">
        <v>591</v>
      </c>
    </row>
    <row r="9" spans="1:17">
      <c r="A9" s="14">
        <v>5</v>
      </c>
      <c r="B9" s="15" t="s">
        <v>23</v>
      </c>
      <c r="C9" s="16">
        <f>'Медикаменты Июнь'!L8</f>
        <v>0</v>
      </c>
      <c r="D9" s="17"/>
      <c r="E9" s="14"/>
      <c r="F9" s="18"/>
      <c r="G9" s="19"/>
      <c r="H9" s="20"/>
      <c r="I9" s="21"/>
      <c r="J9" s="14"/>
      <c r="K9" s="14">
        <f t="shared" si="0"/>
        <v>0</v>
      </c>
      <c r="L9" s="16">
        <f t="shared" si="1"/>
        <v>0</v>
      </c>
      <c r="M9" s="22"/>
      <c r="N9" s="44"/>
      <c r="O9" s="23" t="s">
        <v>16</v>
      </c>
      <c r="P9" s="24"/>
      <c r="Q9" s="28"/>
    </row>
    <row r="10" spans="1:17">
      <c r="A10" s="14">
        <v>6</v>
      </c>
      <c r="B10" s="15" t="s">
        <v>24</v>
      </c>
      <c r="C10" s="16">
        <f>'Медикаменты Июнь'!L9</f>
        <v>0</v>
      </c>
      <c r="D10" s="17"/>
      <c r="E10" s="14"/>
      <c r="F10" s="18"/>
      <c r="G10" s="19"/>
      <c r="H10" s="20"/>
      <c r="I10" s="21"/>
      <c r="J10" s="14"/>
      <c r="K10" s="14">
        <f t="shared" si="0"/>
        <v>0</v>
      </c>
      <c r="L10" s="16">
        <f t="shared" si="1"/>
        <v>0</v>
      </c>
      <c r="M10" s="22">
        <v>44866</v>
      </c>
      <c r="N10" s="44"/>
      <c r="O10" s="23" t="s">
        <v>16</v>
      </c>
      <c r="P10" s="24" t="s">
        <v>17</v>
      </c>
      <c r="Q10" s="28" t="s">
        <v>25</v>
      </c>
    </row>
    <row r="11" spans="1:17">
      <c r="A11" s="14">
        <v>7</v>
      </c>
      <c r="B11" s="15" t="s">
        <v>24</v>
      </c>
      <c r="C11" s="16">
        <f>'Медикаменты Июнь'!L10</f>
        <v>0</v>
      </c>
      <c r="D11" s="17"/>
      <c r="E11" s="14"/>
      <c r="F11" s="18"/>
      <c r="G11" s="19"/>
      <c r="H11" s="20"/>
      <c r="I11" s="21"/>
      <c r="J11" s="14"/>
      <c r="K11" s="14">
        <f t="shared" si="0"/>
        <v>0</v>
      </c>
      <c r="L11" s="16">
        <f t="shared" si="1"/>
        <v>0</v>
      </c>
      <c r="M11" s="22"/>
      <c r="N11" s="44"/>
      <c r="O11" s="23" t="s">
        <v>26</v>
      </c>
      <c r="P11" s="24"/>
      <c r="Q11" s="45"/>
    </row>
    <row r="12" spans="1:17">
      <c r="A12" s="14">
        <v>8</v>
      </c>
      <c r="B12" s="15" t="s">
        <v>27</v>
      </c>
      <c r="C12" s="16">
        <f>'Медикаменты Июнь'!L11</f>
        <v>0</v>
      </c>
      <c r="D12" s="17"/>
      <c r="E12" s="14"/>
      <c r="F12" s="18"/>
      <c r="G12" s="19"/>
      <c r="H12" s="20"/>
      <c r="I12" s="21"/>
      <c r="J12" s="14"/>
      <c r="K12" s="14">
        <f t="shared" si="0"/>
        <v>0</v>
      </c>
      <c r="L12" s="16">
        <f t="shared" si="1"/>
        <v>0</v>
      </c>
      <c r="M12" s="22">
        <v>44805</v>
      </c>
      <c r="N12" s="44" t="s">
        <v>45</v>
      </c>
      <c r="O12" s="23" t="s">
        <v>16</v>
      </c>
      <c r="P12" s="24" t="s">
        <v>17</v>
      </c>
      <c r="Q12" s="28" t="s">
        <v>28</v>
      </c>
    </row>
    <row r="13" spans="1:17">
      <c r="A13" s="14">
        <v>9</v>
      </c>
      <c r="B13" s="15" t="s">
        <v>27</v>
      </c>
      <c r="C13" s="16">
        <f>'Медикаменты Июнь'!L12</f>
        <v>0</v>
      </c>
      <c r="D13" s="17"/>
      <c r="E13" s="14"/>
      <c r="F13" s="18"/>
      <c r="G13" s="19"/>
      <c r="H13" s="20"/>
      <c r="I13" s="21"/>
      <c r="J13" s="14"/>
      <c r="K13" s="14">
        <f t="shared" si="0"/>
        <v>0</v>
      </c>
      <c r="L13" s="16">
        <f t="shared" si="1"/>
        <v>0</v>
      </c>
      <c r="M13" s="22"/>
      <c r="N13" s="44"/>
      <c r="O13" s="23" t="s">
        <v>26</v>
      </c>
      <c r="P13" s="24"/>
      <c r="Q13" s="45"/>
    </row>
    <row r="14" spans="1:17">
      <c r="A14" s="14">
        <v>10</v>
      </c>
      <c r="B14" s="15" t="s">
        <v>29</v>
      </c>
      <c r="C14" s="16">
        <f>'Медикаменты Июнь'!L13</f>
        <v>17</v>
      </c>
      <c r="D14" s="17"/>
      <c r="E14" s="14"/>
      <c r="F14" s="18"/>
      <c r="G14" s="19"/>
      <c r="H14" s="20"/>
      <c r="I14" s="21"/>
      <c r="J14" s="14"/>
      <c r="K14" s="14">
        <f t="shared" si="0"/>
        <v>0</v>
      </c>
      <c r="L14" s="16">
        <f t="shared" si="1"/>
        <v>17</v>
      </c>
      <c r="M14" s="22">
        <v>44835</v>
      </c>
      <c r="N14" s="44" t="s">
        <v>45</v>
      </c>
      <c r="O14" s="23" t="s">
        <v>16</v>
      </c>
      <c r="P14" s="24" t="s">
        <v>17</v>
      </c>
      <c r="Q14" s="28" t="s">
        <v>30</v>
      </c>
    </row>
    <row r="15" spans="1:17">
      <c r="A15" s="14">
        <v>11</v>
      </c>
      <c r="B15" s="15" t="s">
        <v>31</v>
      </c>
      <c r="C15" s="16">
        <f>'Медикаменты Июнь'!L14</f>
        <v>61</v>
      </c>
      <c r="D15" s="26"/>
      <c r="E15" s="14"/>
      <c r="F15" s="18">
        <f>5+10</f>
        <v>15</v>
      </c>
      <c r="G15" s="19"/>
      <c r="H15" s="20"/>
      <c r="I15" s="21"/>
      <c r="J15" s="14"/>
      <c r="K15" s="14">
        <f t="shared" si="0"/>
        <v>15</v>
      </c>
      <c r="L15" s="16">
        <f t="shared" si="1"/>
        <v>46</v>
      </c>
      <c r="M15" s="22">
        <v>44621</v>
      </c>
      <c r="N15" s="44" t="s">
        <v>45</v>
      </c>
      <c r="O15" s="23" t="s">
        <v>16</v>
      </c>
      <c r="P15" s="24" t="s">
        <v>17</v>
      </c>
      <c r="Q15" s="28" t="s">
        <v>32</v>
      </c>
    </row>
    <row r="16" spans="1:17">
      <c r="A16" s="14">
        <v>12</v>
      </c>
      <c r="B16" s="15" t="s">
        <v>31</v>
      </c>
      <c r="C16" s="16">
        <f>'Медикаменты Июнь'!L15</f>
        <v>0</v>
      </c>
      <c r="D16" s="17"/>
      <c r="E16" s="14"/>
      <c r="F16" s="18"/>
      <c r="G16" s="19"/>
      <c r="H16" s="20"/>
      <c r="I16" s="21"/>
      <c r="J16" s="14"/>
      <c r="K16" s="14">
        <f t="shared" si="0"/>
        <v>0</v>
      </c>
      <c r="L16" s="16">
        <f t="shared" si="1"/>
        <v>0</v>
      </c>
      <c r="M16" s="22"/>
      <c r="N16" s="44"/>
      <c r="O16" s="23" t="s">
        <v>26</v>
      </c>
      <c r="P16" s="24"/>
      <c r="Q16" s="45"/>
    </row>
    <row r="17" spans="1:17" ht="25.5">
      <c r="A17" s="14">
        <v>13</v>
      </c>
      <c r="B17" s="15" t="s">
        <v>33</v>
      </c>
      <c r="C17" s="16">
        <f>'Медикаменты Июнь'!L16</f>
        <v>3</v>
      </c>
      <c r="D17" s="17"/>
      <c r="E17" s="14"/>
      <c r="F17" s="18"/>
      <c r="G17" s="19"/>
      <c r="H17" s="20"/>
      <c r="I17" s="21"/>
      <c r="J17" s="14"/>
      <c r="K17" s="14">
        <f t="shared" si="0"/>
        <v>0</v>
      </c>
      <c r="L17" s="16">
        <f t="shared" si="1"/>
        <v>3</v>
      </c>
      <c r="M17" s="22">
        <v>44501</v>
      </c>
      <c r="N17" s="44" t="s">
        <v>45</v>
      </c>
      <c r="O17" s="23" t="s">
        <v>16</v>
      </c>
      <c r="P17" s="24" t="s">
        <v>17</v>
      </c>
      <c r="Q17" s="28" t="s">
        <v>34</v>
      </c>
    </row>
    <row r="18" spans="1:17">
      <c r="A18" s="14">
        <v>14</v>
      </c>
      <c r="B18" s="15" t="s">
        <v>35</v>
      </c>
      <c r="C18" s="16">
        <f>'Медикаменты Июнь'!L17</f>
        <v>32</v>
      </c>
      <c r="D18" s="17"/>
      <c r="E18" s="14"/>
      <c r="F18" s="18">
        <f>5</f>
        <v>5</v>
      </c>
      <c r="G18" s="19"/>
      <c r="H18" s="20"/>
      <c r="I18" s="21"/>
      <c r="J18" s="14"/>
      <c r="K18" s="14">
        <f t="shared" si="0"/>
        <v>5</v>
      </c>
      <c r="L18" s="16">
        <f t="shared" si="1"/>
        <v>27</v>
      </c>
      <c r="M18" s="22">
        <v>44621</v>
      </c>
      <c r="N18" s="44" t="s">
        <v>45</v>
      </c>
      <c r="O18" s="23" t="s">
        <v>16</v>
      </c>
      <c r="P18" s="24" t="s">
        <v>17</v>
      </c>
      <c r="Q18" s="28" t="s">
        <v>36</v>
      </c>
    </row>
    <row r="19" spans="1:17">
      <c r="A19" s="14">
        <v>15</v>
      </c>
      <c r="B19" s="15" t="s">
        <v>37</v>
      </c>
      <c r="C19" s="16">
        <f>'Медикаменты Июнь'!L18</f>
        <v>100</v>
      </c>
      <c r="D19" s="17"/>
      <c r="E19" s="14"/>
      <c r="F19" s="18"/>
      <c r="G19" s="19"/>
      <c r="H19" s="20"/>
      <c r="I19" s="21"/>
      <c r="J19" s="14"/>
      <c r="K19" s="14">
        <f t="shared" si="0"/>
        <v>0</v>
      </c>
      <c r="L19" s="16">
        <f t="shared" si="1"/>
        <v>100</v>
      </c>
      <c r="M19" s="22">
        <v>44348</v>
      </c>
      <c r="N19" s="44" t="s">
        <v>45</v>
      </c>
      <c r="O19" s="23" t="s">
        <v>16</v>
      </c>
      <c r="P19" s="24" t="s">
        <v>17</v>
      </c>
      <c r="Q19" s="28" t="s">
        <v>38</v>
      </c>
    </row>
    <row r="20" spans="1:17">
      <c r="A20" s="14">
        <v>16</v>
      </c>
      <c r="B20" s="15" t="s">
        <v>39</v>
      </c>
      <c r="C20" s="16">
        <f>'Медикаменты Июнь'!L19</f>
        <v>3</v>
      </c>
      <c r="D20" s="17"/>
      <c r="E20" s="14"/>
      <c r="F20" s="18">
        <f>3</f>
        <v>3</v>
      </c>
      <c r="G20" s="19"/>
      <c r="H20" s="20"/>
      <c r="I20" s="21"/>
      <c r="J20" s="14"/>
      <c r="K20" s="14">
        <f t="shared" si="0"/>
        <v>3</v>
      </c>
      <c r="L20" s="16">
        <f t="shared" si="1"/>
        <v>0</v>
      </c>
      <c r="M20" s="22">
        <v>44409</v>
      </c>
      <c r="N20" s="44" t="s">
        <v>45</v>
      </c>
      <c r="O20" s="23" t="s">
        <v>16</v>
      </c>
      <c r="P20" s="24" t="s">
        <v>17</v>
      </c>
      <c r="Q20" s="28" t="s">
        <v>40</v>
      </c>
    </row>
    <row r="21" spans="1:17" ht="25.5">
      <c r="A21" s="14">
        <v>17</v>
      </c>
      <c r="B21" s="15" t="s">
        <v>41</v>
      </c>
      <c r="C21" s="16">
        <f>'Медикаменты Июнь'!L20</f>
        <v>0</v>
      </c>
      <c r="D21" s="17"/>
      <c r="E21" s="14"/>
      <c r="F21" s="18"/>
      <c r="G21" s="19"/>
      <c r="H21" s="20"/>
      <c r="I21" s="21"/>
      <c r="J21" s="14"/>
      <c r="K21" s="14">
        <f t="shared" si="0"/>
        <v>0</v>
      </c>
      <c r="L21" s="16">
        <f t="shared" si="1"/>
        <v>0</v>
      </c>
      <c r="M21" s="22">
        <v>44743</v>
      </c>
      <c r="N21" s="44" t="s">
        <v>551</v>
      </c>
      <c r="O21" s="23" t="s">
        <v>16</v>
      </c>
      <c r="P21" s="24" t="s">
        <v>17</v>
      </c>
      <c r="Q21" s="28" t="s">
        <v>42</v>
      </c>
    </row>
    <row r="22" spans="1:17">
      <c r="A22" s="14">
        <v>18</v>
      </c>
      <c r="B22" s="15" t="s">
        <v>43</v>
      </c>
      <c r="C22" s="16">
        <f>'Медикаменты Июнь'!L21</f>
        <v>0</v>
      </c>
      <c r="D22" s="17"/>
      <c r="E22" s="14"/>
      <c r="F22" s="18"/>
      <c r="G22" s="19"/>
      <c r="H22" s="20"/>
      <c r="I22" s="21"/>
      <c r="J22" s="14"/>
      <c r="K22" s="14">
        <f t="shared" si="0"/>
        <v>0</v>
      </c>
      <c r="L22" s="16">
        <f t="shared" si="1"/>
        <v>0</v>
      </c>
      <c r="M22" s="22"/>
      <c r="N22" s="44"/>
      <c r="O22" s="23" t="s">
        <v>16</v>
      </c>
      <c r="P22" s="24"/>
      <c r="Q22" s="45"/>
    </row>
    <row r="23" spans="1:17">
      <c r="A23" s="14">
        <v>19</v>
      </c>
      <c r="B23" s="15" t="s">
        <v>44</v>
      </c>
      <c r="C23" s="16">
        <f>'Медикаменты Июнь'!L22</f>
        <v>4</v>
      </c>
      <c r="D23" s="17"/>
      <c r="E23" s="14"/>
      <c r="F23" s="18"/>
      <c r="G23" s="19"/>
      <c r="H23" s="20"/>
      <c r="I23" s="21"/>
      <c r="J23" s="14"/>
      <c r="K23" s="14">
        <f t="shared" si="0"/>
        <v>0</v>
      </c>
      <c r="L23" s="16">
        <f t="shared" si="1"/>
        <v>4</v>
      </c>
      <c r="M23" s="22">
        <v>44621</v>
      </c>
      <c r="N23" s="44" t="s">
        <v>45</v>
      </c>
      <c r="O23" s="23" t="s">
        <v>16</v>
      </c>
      <c r="P23" s="24" t="s">
        <v>45</v>
      </c>
      <c r="Q23" s="28" t="s">
        <v>46</v>
      </c>
    </row>
    <row r="24" spans="1:17">
      <c r="A24" s="14">
        <v>20</v>
      </c>
      <c r="B24" s="15" t="s">
        <v>44</v>
      </c>
      <c r="C24" s="16">
        <f>'Медикаменты Июнь'!L23</f>
        <v>0</v>
      </c>
      <c r="D24" s="17"/>
      <c r="E24" s="14"/>
      <c r="F24" s="18"/>
      <c r="G24" s="19"/>
      <c r="H24" s="20"/>
      <c r="I24" s="21"/>
      <c r="J24" s="14"/>
      <c r="K24" s="14">
        <f t="shared" si="0"/>
        <v>0</v>
      </c>
      <c r="L24" s="16">
        <f t="shared" si="1"/>
        <v>0</v>
      </c>
      <c r="M24" s="22">
        <v>44621</v>
      </c>
      <c r="N24" s="44"/>
      <c r="O24" s="23" t="s">
        <v>26</v>
      </c>
      <c r="P24" s="24"/>
      <c r="Q24" s="28" t="s">
        <v>46</v>
      </c>
    </row>
    <row r="25" spans="1:17">
      <c r="A25" s="14">
        <v>21</v>
      </c>
      <c r="B25" s="15" t="s">
        <v>47</v>
      </c>
      <c r="C25" s="16">
        <f>'Медикаменты Июнь'!L24</f>
        <v>74</v>
      </c>
      <c r="D25" s="17"/>
      <c r="E25" s="14"/>
      <c r="F25" s="18"/>
      <c r="G25" s="19"/>
      <c r="H25" s="20"/>
      <c r="I25" s="21"/>
      <c r="J25" s="14"/>
      <c r="K25" s="14">
        <f t="shared" si="0"/>
        <v>0</v>
      </c>
      <c r="L25" s="16">
        <f t="shared" si="1"/>
        <v>74</v>
      </c>
      <c r="M25" s="22">
        <v>44348</v>
      </c>
      <c r="N25" s="44" t="s">
        <v>45</v>
      </c>
      <c r="O25" s="23" t="s">
        <v>16</v>
      </c>
      <c r="P25" s="24" t="s">
        <v>45</v>
      </c>
      <c r="Q25" s="28" t="s">
        <v>48</v>
      </c>
    </row>
    <row r="26" spans="1:17">
      <c r="A26" s="14">
        <v>22</v>
      </c>
      <c r="B26" s="15" t="s">
        <v>49</v>
      </c>
      <c r="C26" s="16">
        <f>'Медикаменты Июнь'!L25</f>
        <v>0</v>
      </c>
      <c r="D26" s="17"/>
      <c r="E26" s="14"/>
      <c r="F26" s="18"/>
      <c r="G26" s="19"/>
      <c r="H26" s="20"/>
      <c r="I26" s="21"/>
      <c r="J26" s="14"/>
      <c r="K26" s="14">
        <f t="shared" si="0"/>
        <v>0</v>
      </c>
      <c r="L26" s="16">
        <f t="shared" si="1"/>
        <v>0</v>
      </c>
      <c r="M26" s="22">
        <v>44652</v>
      </c>
      <c r="N26" s="44"/>
      <c r="O26" s="23" t="s">
        <v>16</v>
      </c>
      <c r="P26" s="24"/>
      <c r="Q26" s="28" t="s">
        <v>50</v>
      </c>
    </row>
    <row r="27" spans="1:17">
      <c r="A27" s="14">
        <v>23</v>
      </c>
      <c r="B27" s="15" t="s">
        <v>51</v>
      </c>
      <c r="C27" s="16">
        <f>'Медикаменты Июнь'!L26</f>
        <v>0</v>
      </c>
      <c r="D27" s="17"/>
      <c r="E27" s="14">
        <f>50</f>
        <v>50</v>
      </c>
      <c r="F27" s="18"/>
      <c r="G27" s="19"/>
      <c r="H27" s="20"/>
      <c r="I27" s="21"/>
      <c r="J27" s="14"/>
      <c r="K27" s="14">
        <f t="shared" si="0"/>
        <v>0</v>
      </c>
      <c r="L27" s="16">
        <f t="shared" si="1"/>
        <v>50</v>
      </c>
      <c r="M27" s="22">
        <v>45641</v>
      </c>
      <c r="N27" s="44" t="s">
        <v>551</v>
      </c>
      <c r="O27" s="23" t="s">
        <v>16</v>
      </c>
      <c r="P27" s="24" t="s">
        <v>17</v>
      </c>
      <c r="Q27" s="28" t="s">
        <v>52</v>
      </c>
    </row>
    <row r="28" spans="1:17">
      <c r="A28" s="14">
        <v>24</v>
      </c>
      <c r="B28" s="15" t="s">
        <v>53</v>
      </c>
      <c r="C28" s="16">
        <f>'Медикаменты Июнь'!L27</f>
        <v>0</v>
      </c>
      <c r="D28" s="17"/>
      <c r="E28" s="14"/>
      <c r="F28" s="18"/>
      <c r="G28" s="19"/>
      <c r="H28" s="20"/>
      <c r="I28" s="21"/>
      <c r="J28" s="14"/>
      <c r="K28" s="14">
        <f t="shared" si="0"/>
        <v>0</v>
      </c>
      <c r="L28" s="16">
        <f t="shared" si="1"/>
        <v>0</v>
      </c>
      <c r="M28" s="22"/>
      <c r="N28" s="44"/>
      <c r="O28" s="23" t="s">
        <v>16</v>
      </c>
      <c r="P28" s="24"/>
      <c r="Q28" s="45"/>
    </row>
    <row r="29" spans="1:17">
      <c r="A29" s="14">
        <v>25</v>
      </c>
      <c r="B29" s="15" t="s">
        <v>54</v>
      </c>
      <c r="C29" s="16">
        <f>'Медикаменты Июнь'!L28</f>
        <v>0</v>
      </c>
      <c r="D29" s="17"/>
      <c r="E29" s="14"/>
      <c r="F29" s="18"/>
      <c r="G29" s="19"/>
      <c r="H29" s="20"/>
      <c r="I29" s="21"/>
      <c r="J29" s="14"/>
      <c r="K29" s="14">
        <f t="shared" si="0"/>
        <v>0</v>
      </c>
      <c r="L29" s="16">
        <f t="shared" si="1"/>
        <v>0</v>
      </c>
      <c r="M29" s="22"/>
      <c r="N29" s="44"/>
      <c r="O29" s="23" t="s">
        <v>16</v>
      </c>
      <c r="P29" s="24"/>
      <c r="Q29" s="45"/>
    </row>
    <row r="30" spans="1:17">
      <c r="A30" s="14">
        <v>26</v>
      </c>
      <c r="B30" s="15" t="s">
        <v>55</v>
      </c>
      <c r="C30" s="16">
        <f>'Медикаменты Июнь'!L29</f>
        <v>0</v>
      </c>
      <c r="D30" s="17"/>
      <c r="E30" s="14"/>
      <c r="F30" s="18"/>
      <c r="G30" s="19"/>
      <c r="H30" s="20"/>
      <c r="I30" s="21"/>
      <c r="J30" s="14"/>
      <c r="K30" s="14">
        <f t="shared" si="0"/>
        <v>0</v>
      </c>
      <c r="L30" s="16">
        <f t="shared" si="1"/>
        <v>0</v>
      </c>
      <c r="M30" s="22"/>
      <c r="N30" s="44"/>
      <c r="O30" s="23" t="s">
        <v>16</v>
      </c>
      <c r="P30" s="24"/>
      <c r="Q30" s="45"/>
    </row>
    <row r="31" spans="1:17">
      <c r="A31" s="14">
        <v>27</v>
      </c>
      <c r="B31" s="15" t="s">
        <v>56</v>
      </c>
      <c r="C31" s="16">
        <f>'Медикаменты Июнь'!L30</f>
        <v>0</v>
      </c>
      <c r="D31" s="17"/>
      <c r="E31" s="14"/>
      <c r="F31" s="18"/>
      <c r="G31" s="19"/>
      <c r="H31" s="20"/>
      <c r="I31" s="21"/>
      <c r="J31" s="14"/>
      <c r="K31" s="14">
        <f t="shared" si="0"/>
        <v>0</v>
      </c>
      <c r="L31" s="16">
        <f t="shared" si="1"/>
        <v>0</v>
      </c>
      <c r="M31" s="22">
        <v>44743</v>
      </c>
      <c r="N31" s="44"/>
      <c r="O31" s="23" t="s">
        <v>16</v>
      </c>
      <c r="P31" s="24"/>
      <c r="Q31" s="45"/>
    </row>
    <row r="32" spans="1:17">
      <c r="A32" s="14">
        <v>28</v>
      </c>
      <c r="B32" s="15" t="s">
        <v>57</v>
      </c>
      <c r="C32" s="16">
        <f>'Медикаменты Июнь'!L31</f>
        <v>0</v>
      </c>
      <c r="D32" s="17"/>
      <c r="E32" s="14"/>
      <c r="F32" s="18"/>
      <c r="G32" s="19"/>
      <c r="H32" s="20"/>
      <c r="I32" s="21"/>
      <c r="J32" s="14"/>
      <c r="K32" s="14">
        <f t="shared" si="0"/>
        <v>0</v>
      </c>
      <c r="L32" s="16">
        <f t="shared" si="1"/>
        <v>0</v>
      </c>
      <c r="M32" s="22">
        <v>44958</v>
      </c>
      <c r="N32" s="44"/>
      <c r="O32" s="23" t="s">
        <v>16</v>
      </c>
      <c r="P32" s="24"/>
      <c r="Q32" s="28" t="s">
        <v>58</v>
      </c>
    </row>
    <row r="33" spans="1:17" ht="25.5">
      <c r="A33" s="14">
        <v>29</v>
      </c>
      <c r="B33" s="15" t="s">
        <v>59</v>
      </c>
      <c r="C33" s="16">
        <f>'Медикаменты Июнь'!L32</f>
        <v>0</v>
      </c>
      <c r="D33" s="17"/>
      <c r="E33" s="14">
        <f>50</f>
        <v>50</v>
      </c>
      <c r="F33" s="18"/>
      <c r="G33" s="19"/>
      <c r="H33" s="20"/>
      <c r="I33" s="21"/>
      <c r="J33" s="14"/>
      <c r="K33" s="14">
        <f t="shared" si="0"/>
        <v>0</v>
      </c>
      <c r="L33" s="16">
        <f t="shared" si="1"/>
        <v>50</v>
      </c>
      <c r="M33" s="22">
        <v>44957</v>
      </c>
      <c r="N33" s="44" t="s">
        <v>551</v>
      </c>
      <c r="O33" s="23" t="s">
        <v>16</v>
      </c>
      <c r="P33" s="24"/>
      <c r="Q33" s="28" t="s">
        <v>60</v>
      </c>
    </row>
    <row r="34" spans="1:17" ht="25.5">
      <c r="A34" s="14">
        <v>30</v>
      </c>
      <c r="B34" s="15" t="s">
        <v>59</v>
      </c>
      <c r="C34" s="16"/>
      <c r="D34" s="17"/>
      <c r="E34" s="14">
        <f>50</f>
        <v>50</v>
      </c>
      <c r="F34" s="18"/>
      <c r="G34" s="19"/>
      <c r="H34" s="20"/>
      <c r="I34" s="21"/>
      <c r="J34" s="14"/>
      <c r="K34" s="14">
        <f t="shared" si="0"/>
        <v>0</v>
      </c>
      <c r="L34" s="16">
        <f t="shared" si="1"/>
        <v>50</v>
      </c>
      <c r="M34" s="22">
        <v>44957</v>
      </c>
      <c r="N34" s="44" t="s">
        <v>551</v>
      </c>
      <c r="O34" s="23" t="s">
        <v>26</v>
      </c>
      <c r="P34" s="24"/>
      <c r="Q34" s="28" t="s">
        <v>60</v>
      </c>
    </row>
    <row r="35" spans="1:17">
      <c r="A35" s="14">
        <v>31</v>
      </c>
      <c r="B35" s="15" t="s">
        <v>61</v>
      </c>
      <c r="C35" s="16">
        <f>'Медикаменты Июнь'!L33</f>
        <v>0</v>
      </c>
      <c r="D35" s="17"/>
      <c r="E35" s="14"/>
      <c r="F35" s="18"/>
      <c r="G35" s="19"/>
      <c r="H35" s="20"/>
      <c r="I35" s="21"/>
      <c r="J35" s="14"/>
      <c r="K35" s="14">
        <f t="shared" si="0"/>
        <v>0</v>
      </c>
      <c r="L35" s="16">
        <f t="shared" si="1"/>
        <v>0</v>
      </c>
      <c r="M35" s="22">
        <v>44713</v>
      </c>
      <c r="N35" s="44"/>
      <c r="O35" s="23" t="s">
        <v>16</v>
      </c>
      <c r="P35" s="24"/>
      <c r="Q35" s="28" t="s">
        <v>62</v>
      </c>
    </row>
    <row r="36" spans="1:17">
      <c r="A36" s="14">
        <v>32</v>
      </c>
      <c r="B36" s="15" t="s">
        <v>63</v>
      </c>
      <c r="C36" s="16">
        <f>'Медикаменты Июнь'!L34</f>
        <v>0</v>
      </c>
      <c r="D36" s="17"/>
      <c r="E36" s="14"/>
      <c r="F36" s="18"/>
      <c r="G36" s="19"/>
      <c r="H36" s="20"/>
      <c r="I36" s="21"/>
      <c r="J36" s="14"/>
      <c r="K36" s="14">
        <f t="shared" si="0"/>
        <v>0</v>
      </c>
      <c r="L36" s="16">
        <f t="shared" si="1"/>
        <v>0</v>
      </c>
      <c r="M36" s="22"/>
      <c r="N36" s="44"/>
      <c r="O36" s="23" t="s">
        <v>16</v>
      </c>
      <c r="P36" s="24"/>
      <c r="Q36" s="45"/>
    </row>
    <row r="37" spans="1:17" ht="26.25">
      <c r="A37" s="14">
        <v>33</v>
      </c>
      <c r="B37" s="15" t="s">
        <v>592</v>
      </c>
      <c r="C37" s="16"/>
      <c r="D37" s="17"/>
      <c r="E37" s="14">
        <f>20</f>
        <v>20</v>
      </c>
      <c r="F37" s="18"/>
      <c r="G37" s="19"/>
      <c r="H37" s="20"/>
      <c r="I37" s="21"/>
      <c r="J37" s="14"/>
      <c r="K37" s="14">
        <f t="shared" si="0"/>
        <v>0</v>
      </c>
      <c r="L37" s="16">
        <f t="shared" si="1"/>
        <v>20</v>
      </c>
      <c r="M37" s="22">
        <v>44958</v>
      </c>
      <c r="N37" s="44" t="s">
        <v>551</v>
      </c>
      <c r="O37" s="23" t="s">
        <v>16</v>
      </c>
      <c r="P37" s="24" t="s">
        <v>17</v>
      </c>
      <c r="Q37" s="28" t="s">
        <v>593</v>
      </c>
    </row>
    <row r="38" spans="1:17">
      <c r="A38" s="14">
        <v>34</v>
      </c>
      <c r="B38" s="15" t="s">
        <v>64</v>
      </c>
      <c r="C38" s="16">
        <f>'Медикаменты Июнь'!L35</f>
        <v>0</v>
      </c>
      <c r="D38" s="17"/>
      <c r="E38" s="14"/>
      <c r="F38" s="18"/>
      <c r="G38" s="19"/>
      <c r="H38" s="20"/>
      <c r="I38" s="21"/>
      <c r="J38" s="14"/>
      <c r="K38" s="14">
        <f t="shared" si="0"/>
        <v>0</v>
      </c>
      <c r="L38" s="16">
        <f t="shared" si="1"/>
        <v>0</v>
      </c>
      <c r="M38" s="22"/>
      <c r="N38" s="44"/>
      <c r="O38" s="23" t="s">
        <v>16</v>
      </c>
      <c r="P38" s="24"/>
      <c r="Q38" s="45"/>
    </row>
    <row r="39" spans="1:17">
      <c r="A39" s="14">
        <v>35</v>
      </c>
      <c r="B39" s="15" t="s">
        <v>65</v>
      </c>
      <c r="C39" s="16">
        <f>'Медикаменты Июнь'!L36</f>
        <v>81</v>
      </c>
      <c r="D39" s="17"/>
      <c r="E39" s="14"/>
      <c r="F39" s="18">
        <f>10</f>
        <v>10</v>
      </c>
      <c r="G39" s="19"/>
      <c r="H39" s="20"/>
      <c r="I39" s="21"/>
      <c r="J39" s="14"/>
      <c r="K39" s="14">
        <f t="shared" si="0"/>
        <v>10</v>
      </c>
      <c r="L39" s="16">
        <f t="shared" si="1"/>
        <v>71</v>
      </c>
      <c r="M39" s="22">
        <v>45261</v>
      </c>
      <c r="N39" s="44" t="s">
        <v>45</v>
      </c>
      <c r="O39" s="23" t="s">
        <v>16</v>
      </c>
      <c r="P39" s="24" t="s">
        <v>17</v>
      </c>
      <c r="Q39" s="28" t="s">
        <v>66</v>
      </c>
    </row>
    <row r="40" spans="1:17">
      <c r="A40" s="14">
        <v>36</v>
      </c>
      <c r="B40" s="15" t="s">
        <v>67</v>
      </c>
      <c r="C40" s="16">
        <f>'Медикаменты Июнь'!L37</f>
        <v>0</v>
      </c>
      <c r="D40" s="17"/>
      <c r="E40" s="14">
        <f>50</f>
        <v>50</v>
      </c>
      <c r="F40" s="18"/>
      <c r="G40" s="19"/>
      <c r="H40" s="20"/>
      <c r="I40" s="21"/>
      <c r="J40" s="14"/>
      <c r="K40" s="14">
        <f t="shared" si="0"/>
        <v>0</v>
      </c>
      <c r="L40" s="16">
        <f t="shared" si="1"/>
        <v>50</v>
      </c>
      <c r="M40" s="22">
        <v>45200</v>
      </c>
      <c r="N40" s="44" t="s">
        <v>551</v>
      </c>
      <c r="O40" s="23" t="s">
        <v>16</v>
      </c>
      <c r="P40" s="24" t="s">
        <v>17</v>
      </c>
      <c r="Q40" s="46" t="s">
        <v>68</v>
      </c>
    </row>
    <row r="41" spans="1:17">
      <c r="A41" s="14">
        <v>37</v>
      </c>
      <c r="B41" s="15" t="s">
        <v>69</v>
      </c>
      <c r="C41" s="16">
        <f>'Медикаменты Июнь'!L38</f>
        <v>9</v>
      </c>
      <c r="D41" s="17"/>
      <c r="E41" s="14"/>
      <c r="F41" s="18"/>
      <c r="G41" s="19"/>
      <c r="H41" s="20"/>
      <c r="I41" s="21"/>
      <c r="J41" s="14"/>
      <c r="K41" s="14">
        <f t="shared" si="0"/>
        <v>0</v>
      </c>
      <c r="L41" s="16">
        <f t="shared" si="1"/>
        <v>9</v>
      </c>
      <c r="M41" s="22">
        <v>45383</v>
      </c>
      <c r="N41" s="44" t="s">
        <v>45</v>
      </c>
      <c r="O41" s="23" t="s">
        <v>16</v>
      </c>
      <c r="P41" s="24" t="s">
        <v>17</v>
      </c>
      <c r="Q41" s="28" t="s">
        <v>70</v>
      </c>
    </row>
    <row r="42" spans="1:17" ht="25.5">
      <c r="A42" s="14">
        <v>38</v>
      </c>
      <c r="B42" s="15" t="s">
        <v>594</v>
      </c>
      <c r="C42" s="16"/>
      <c r="D42" s="17"/>
      <c r="E42" s="14">
        <f>150</f>
        <v>150</v>
      </c>
      <c r="F42" s="18"/>
      <c r="G42" s="19"/>
      <c r="H42" s="20"/>
      <c r="I42" s="21"/>
      <c r="J42" s="14"/>
      <c r="K42" s="14">
        <f t="shared" si="0"/>
        <v>0</v>
      </c>
      <c r="L42" s="16">
        <f t="shared" si="1"/>
        <v>150</v>
      </c>
      <c r="M42" s="22">
        <v>44986</v>
      </c>
      <c r="N42" s="44" t="s">
        <v>551</v>
      </c>
      <c r="O42" s="23" t="s">
        <v>16</v>
      </c>
      <c r="P42" s="24" t="s">
        <v>17</v>
      </c>
      <c r="Q42" s="28" t="s">
        <v>595</v>
      </c>
    </row>
    <row r="43" spans="1:17">
      <c r="A43" s="14">
        <v>39</v>
      </c>
      <c r="B43" s="15" t="s">
        <v>71</v>
      </c>
      <c r="C43" s="16">
        <f>'Медикаменты Июнь'!L39</f>
        <v>0</v>
      </c>
      <c r="D43" s="17"/>
      <c r="E43" s="14"/>
      <c r="F43" s="18"/>
      <c r="G43" s="19"/>
      <c r="H43" s="20"/>
      <c r="I43" s="21"/>
      <c r="J43" s="14"/>
      <c r="K43" s="14">
        <f t="shared" si="0"/>
        <v>0</v>
      </c>
      <c r="L43" s="16">
        <f t="shared" si="1"/>
        <v>0</v>
      </c>
      <c r="M43" s="22"/>
      <c r="N43" s="44"/>
      <c r="O43" s="23" t="s">
        <v>16</v>
      </c>
      <c r="P43" s="24"/>
      <c r="Q43" s="45"/>
    </row>
    <row r="44" spans="1:17">
      <c r="A44" s="14">
        <v>40</v>
      </c>
      <c r="B44" s="15" t="s">
        <v>72</v>
      </c>
      <c r="C44" s="16">
        <f>'Медикаменты Июнь'!L40</f>
        <v>15</v>
      </c>
      <c r="D44" s="17"/>
      <c r="E44" s="14"/>
      <c r="F44" s="18"/>
      <c r="G44" s="19"/>
      <c r="H44" s="20"/>
      <c r="I44" s="21"/>
      <c r="J44" s="14"/>
      <c r="K44" s="14">
        <f t="shared" si="0"/>
        <v>0</v>
      </c>
      <c r="L44" s="16">
        <f t="shared" si="1"/>
        <v>15</v>
      </c>
      <c r="M44" s="22">
        <v>44652</v>
      </c>
      <c r="N44" s="44" t="s">
        <v>45</v>
      </c>
      <c r="O44" s="23" t="s">
        <v>16</v>
      </c>
      <c r="P44" s="24" t="s">
        <v>17</v>
      </c>
      <c r="Q44" s="28" t="s">
        <v>73</v>
      </c>
    </row>
    <row r="45" spans="1:17">
      <c r="A45" s="14">
        <v>41</v>
      </c>
      <c r="B45" s="15" t="s">
        <v>74</v>
      </c>
      <c r="C45" s="16">
        <f>'Медикаменты Июнь'!L41</f>
        <v>0</v>
      </c>
      <c r="D45" s="17"/>
      <c r="E45" s="14"/>
      <c r="F45" s="18"/>
      <c r="G45" s="19"/>
      <c r="H45" s="20"/>
      <c r="I45" s="21"/>
      <c r="J45" s="14"/>
      <c r="K45" s="14">
        <f t="shared" si="0"/>
        <v>0</v>
      </c>
      <c r="L45" s="16">
        <f t="shared" si="1"/>
        <v>0</v>
      </c>
      <c r="M45" s="22">
        <v>45108</v>
      </c>
      <c r="N45" s="44" t="s">
        <v>45</v>
      </c>
      <c r="O45" s="23" t="s">
        <v>16</v>
      </c>
      <c r="P45" s="24" t="s">
        <v>17</v>
      </c>
      <c r="Q45" s="28" t="s">
        <v>75</v>
      </c>
    </row>
    <row r="46" spans="1:17">
      <c r="A46" s="14">
        <v>42</v>
      </c>
      <c r="B46" s="15" t="s">
        <v>76</v>
      </c>
      <c r="C46" s="16">
        <f>'Медикаменты Июнь'!L42</f>
        <v>0</v>
      </c>
      <c r="D46" s="17"/>
      <c r="E46" s="14"/>
      <c r="F46" s="18"/>
      <c r="G46" s="19"/>
      <c r="H46" s="20"/>
      <c r="I46" s="21"/>
      <c r="J46" s="14"/>
      <c r="K46" s="14">
        <f t="shared" si="0"/>
        <v>0</v>
      </c>
      <c r="L46" s="16">
        <f t="shared" si="1"/>
        <v>0</v>
      </c>
      <c r="M46" s="22"/>
      <c r="N46" s="44"/>
      <c r="O46" s="23" t="s">
        <v>16</v>
      </c>
      <c r="P46" s="24"/>
      <c r="Q46" s="45"/>
    </row>
    <row r="47" spans="1:17">
      <c r="A47" s="14">
        <v>43</v>
      </c>
      <c r="B47" s="15" t="s">
        <v>77</v>
      </c>
      <c r="C47" s="16">
        <f>'Медикаменты Июнь'!L43</f>
        <v>0</v>
      </c>
      <c r="D47" s="17"/>
      <c r="E47" s="14"/>
      <c r="F47" s="18"/>
      <c r="G47" s="19"/>
      <c r="H47" s="20"/>
      <c r="I47" s="21"/>
      <c r="J47" s="14"/>
      <c r="K47" s="14">
        <f t="shared" si="0"/>
        <v>0</v>
      </c>
      <c r="L47" s="16">
        <f t="shared" si="1"/>
        <v>0</v>
      </c>
      <c r="M47" s="22"/>
      <c r="N47" s="44"/>
      <c r="O47" s="23" t="s">
        <v>16</v>
      </c>
      <c r="P47" s="24"/>
      <c r="Q47" s="45"/>
    </row>
    <row r="48" spans="1:17">
      <c r="A48" s="14">
        <v>44</v>
      </c>
      <c r="B48" s="15" t="s">
        <v>78</v>
      </c>
      <c r="C48" s="16">
        <f>'Медикаменты Июнь'!L44</f>
        <v>0</v>
      </c>
      <c r="D48" s="17"/>
      <c r="E48" s="14"/>
      <c r="F48" s="18"/>
      <c r="G48" s="19"/>
      <c r="H48" s="20"/>
      <c r="I48" s="21"/>
      <c r="J48" s="14"/>
      <c r="K48" s="14">
        <f t="shared" si="0"/>
        <v>0</v>
      </c>
      <c r="L48" s="16">
        <f t="shared" si="1"/>
        <v>0</v>
      </c>
      <c r="M48" s="22">
        <v>44136</v>
      </c>
      <c r="N48" s="44"/>
      <c r="O48" s="23" t="s">
        <v>16</v>
      </c>
      <c r="P48" s="24"/>
      <c r="Q48" s="28" t="s">
        <v>79</v>
      </c>
    </row>
    <row r="49" spans="1:17">
      <c r="A49" s="14">
        <v>45</v>
      </c>
      <c r="B49" s="15" t="s">
        <v>80</v>
      </c>
      <c r="C49" s="16">
        <f>'Медикаменты Июнь'!L45</f>
        <v>0</v>
      </c>
      <c r="D49" s="17"/>
      <c r="E49" s="14"/>
      <c r="F49" s="18"/>
      <c r="G49" s="19"/>
      <c r="H49" s="20"/>
      <c r="I49" s="21"/>
      <c r="J49" s="14"/>
      <c r="K49" s="14">
        <f t="shared" si="0"/>
        <v>0</v>
      </c>
      <c r="L49" s="16">
        <f t="shared" si="1"/>
        <v>0</v>
      </c>
      <c r="M49" s="22">
        <v>44317</v>
      </c>
      <c r="N49" s="44"/>
      <c r="O49" s="23" t="s">
        <v>16</v>
      </c>
      <c r="P49" s="24" t="s">
        <v>17</v>
      </c>
      <c r="Q49" s="28" t="s">
        <v>81</v>
      </c>
    </row>
    <row r="50" spans="1:17">
      <c r="A50" s="14">
        <v>46</v>
      </c>
      <c r="B50" s="15" t="s">
        <v>82</v>
      </c>
      <c r="C50" s="16">
        <f>'Медикаменты Июнь'!L46</f>
        <v>0</v>
      </c>
      <c r="D50" s="17"/>
      <c r="E50" s="14"/>
      <c r="F50" s="18"/>
      <c r="G50" s="19"/>
      <c r="H50" s="20"/>
      <c r="I50" s="21"/>
      <c r="J50" s="14"/>
      <c r="K50" s="14">
        <f t="shared" si="0"/>
        <v>0</v>
      </c>
      <c r="L50" s="16">
        <f t="shared" si="1"/>
        <v>0</v>
      </c>
      <c r="M50" s="22"/>
      <c r="N50" s="44"/>
      <c r="O50" s="23" t="s">
        <v>16</v>
      </c>
      <c r="P50" s="24"/>
      <c r="Q50" s="45"/>
    </row>
    <row r="51" spans="1:17">
      <c r="A51" s="14">
        <v>47</v>
      </c>
      <c r="B51" s="15" t="s">
        <v>83</v>
      </c>
      <c r="C51" s="16">
        <f>'Медикаменты Июнь'!L47</f>
        <v>0</v>
      </c>
      <c r="D51" s="17"/>
      <c r="E51" s="14"/>
      <c r="F51" s="18"/>
      <c r="G51" s="19"/>
      <c r="H51" s="20"/>
      <c r="I51" s="21"/>
      <c r="J51" s="14"/>
      <c r="K51" s="14">
        <f t="shared" si="0"/>
        <v>0</v>
      </c>
      <c r="L51" s="16">
        <f t="shared" si="1"/>
        <v>0</v>
      </c>
      <c r="M51" s="22">
        <v>44317</v>
      </c>
      <c r="N51" s="44" t="s">
        <v>45</v>
      </c>
      <c r="O51" s="23" t="s">
        <v>16</v>
      </c>
      <c r="P51" s="24" t="s">
        <v>17</v>
      </c>
      <c r="Q51" s="28" t="s">
        <v>84</v>
      </c>
    </row>
    <row r="52" spans="1:17">
      <c r="A52" s="14">
        <v>48</v>
      </c>
      <c r="B52" s="15" t="s">
        <v>85</v>
      </c>
      <c r="C52" s="16">
        <f>'Медикаменты Июнь'!L48</f>
        <v>49</v>
      </c>
      <c r="D52" s="17"/>
      <c r="E52" s="14"/>
      <c r="F52" s="18"/>
      <c r="G52" s="19"/>
      <c r="H52" s="20"/>
      <c r="I52" s="21">
        <f>49</f>
        <v>49</v>
      </c>
      <c r="J52" s="14"/>
      <c r="K52" s="14">
        <f t="shared" si="0"/>
        <v>49</v>
      </c>
      <c r="L52" s="16">
        <f t="shared" si="1"/>
        <v>0</v>
      </c>
      <c r="M52" s="22">
        <v>44409</v>
      </c>
      <c r="N52" s="44" t="s">
        <v>45</v>
      </c>
      <c r="O52" s="23" t="s">
        <v>16</v>
      </c>
      <c r="P52" s="24" t="s">
        <v>17</v>
      </c>
      <c r="Q52" s="28" t="s">
        <v>86</v>
      </c>
    </row>
    <row r="53" spans="1:17">
      <c r="A53" s="14">
        <v>49</v>
      </c>
      <c r="B53" s="15" t="s">
        <v>87</v>
      </c>
      <c r="C53" s="16">
        <f>'Медикаменты Июнь'!L49</f>
        <v>0</v>
      </c>
      <c r="D53" s="17"/>
      <c r="E53" s="14"/>
      <c r="F53" s="18"/>
      <c r="G53" s="19"/>
      <c r="H53" s="20"/>
      <c r="I53" s="21"/>
      <c r="J53" s="14"/>
      <c r="K53" s="14">
        <f t="shared" si="0"/>
        <v>0</v>
      </c>
      <c r="L53" s="16">
        <f t="shared" si="1"/>
        <v>0</v>
      </c>
      <c r="M53" s="22">
        <v>44136</v>
      </c>
      <c r="N53" s="44"/>
      <c r="O53" s="23" t="s">
        <v>16</v>
      </c>
      <c r="P53" s="24"/>
      <c r="Q53" s="28" t="s">
        <v>88</v>
      </c>
    </row>
    <row r="54" spans="1:17">
      <c r="A54" s="14">
        <v>50</v>
      </c>
      <c r="B54" s="15" t="s">
        <v>89</v>
      </c>
      <c r="C54" s="16">
        <f>'Медикаменты Июнь'!L50</f>
        <v>0</v>
      </c>
      <c r="D54" s="17"/>
      <c r="E54" s="14"/>
      <c r="F54" s="18"/>
      <c r="G54" s="19"/>
      <c r="H54" s="20"/>
      <c r="I54" s="21"/>
      <c r="J54" s="14"/>
      <c r="K54" s="14">
        <f t="shared" si="0"/>
        <v>0</v>
      </c>
      <c r="L54" s="16">
        <f t="shared" si="1"/>
        <v>0</v>
      </c>
      <c r="M54" s="22">
        <v>44256</v>
      </c>
      <c r="N54" s="44"/>
      <c r="O54" s="23" t="s">
        <v>16</v>
      </c>
      <c r="P54" s="24" t="s">
        <v>17</v>
      </c>
      <c r="Q54" s="28" t="s">
        <v>90</v>
      </c>
    </row>
    <row r="55" spans="1:17">
      <c r="A55" s="14">
        <v>51</v>
      </c>
      <c r="B55" s="15" t="s">
        <v>91</v>
      </c>
      <c r="C55" s="16">
        <f>'Медикаменты Июнь'!L51</f>
        <v>0</v>
      </c>
      <c r="D55" s="17"/>
      <c r="E55" s="14"/>
      <c r="F55" s="18"/>
      <c r="G55" s="19"/>
      <c r="H55" s="20"/>
      <c r="I55" s="21"/>
      <c r="J55" s="14"/>
      <c r="K55" s="14">
        <f t="shared" si="0"/>
        <v>0</v>
      </c>
      <c r="L55" s="16">
        <f t="shared" si="1"/>
        <v>0</v>
      </c>
      <c r="M55" s="22">
        <v>44317</v>
      </c>
      <c r="N55" s="44" t="s">
        <v>45</v>
      </c>
      <c r="O55" s="23" t="s">
        <v>16</v>
      </c>
      <c r="P55" s="24" t="s">
        <v>17</v>
      </c>
      <c r="Q55" s="28" t="s">
        <v>92</v>
      </c>
    </row>
    <row r="56" spans="1:17">
      <c r="A56" s="14">
        <v>52</v>
      </c>
      <c r="B56" s="15" t="s">
        <v>596</v>
      </c>
      <c r="C56" s="16"/>
      <c r="D56" s="17"/>
      <c r="E56" s="14">
        <f>50</f>
        <v>50</v>
      </c>
      <c r="F56" s="18"/>
      <c r="G56" s="19"/>
      <c r="H56" s="20"/>
      <c r="I56" s="21"/>
      <c r="J56" s="14"/>
      <c r="K56" s="14">
        <f t="shared" si="0"/>
        <v>0</v>
      </c>
      <c r="L56" s="16">
        <f t="shared" si="1"/>
        <v>50</v>
      </c>
      <c r="M56" s="22">
        <v>45261</v>
      </c>
      <c r="N56" s="44" t="s">
        <v>551</v>
      </c>
      <c r="O56" s="23" t="s">
        <v>16</v>
      </c>
      <c r="P56" s="24" t="s">
        <v>17</v>
      </c>
      <c r="Q56" s="28" t="s">
        <v>597</v>
      </c>
    </row>
    <row r="57" spans="1:17">
      <c r="A57" s="14">
        <v>53</v>
      </c>
      <c r="B57" s="15" t="s">
        <v>93</v>
      </c>
      <c r="C57" s="16">
        <f>'Медикаменты Июнь'!L52</f>
        <v>0</v>
      </c>
      <c r="D57" s="17"/>
      <c r="E57" s="14"/>
      <c r="F57" s="18"/>
      <c r="G57" s="19"/>
      <c r="H57" s="20"/>
      <c r="I57" s="21"/>
      <c r="J57" s="14"/>
      <c r="K57" s="14">
        <f t="shared" si="0"/>
        <v>0</v>
      </c>
      <c r="L57" s="16">
        <f t="shared" si="1"/>
        <v>0</v>
      </c>
      <c r="M57" s="22">
        <v>44013</v>
      </c>
      <c r="N57" s="44"/>
      <c r="O57" s="23" t="s">
        <v>16</v>
      </c>
      <c r="P57" s="24"/>
      <c r="Q57" s="28" t="s">
        <v>94</v>
      </c>
    </row>
    <row r="58" spans="1:17">
      <c r="A58" s="14">
        <v>54</v>
      </c>
      <c r="B58" s="15" t="s">
        <v>95</v>
      </c>
      <c r="C58" s="16">
        <f>'Медикаменты Июнь'!L53</f>
        <v>29</v>
      </c>
      <c r="D58" s="17"/>
      <c r="E58" s="14"/>
      <c r="F58" s="18"/>
      <c r="G58" s="19"/>
      <c r="H58" s="20"/>
      <c r="I58" s="21"/>
      <c r="J58" s="14"/>
      <c r="K58" s="14">
        <f t="shared" si="0"/>
        <v>0</v>
      </c>
      <c r="L58" s="16">
        <f t="shared" si="1"/>
        <v>29</v>
      </c>
      <c r="M58" s="22">
        <v>44986</v>
      </c>
      <c r="N58" s="44" t="s">
        <v>45</v>
      </c>
      <c r="O58" s="23" t="s">
        <v>16</v>
      </c>
      <c r="P58" s="24" t="s">
        <v>45</v>
      </c>
      <c r="Q58" s="28" t="s">
        <v>96</v>
      </c>
    </row>
    <row r="59" spans="1:17">
      <c r="A59" s="14">
        <v>55</v>
      </c>
      <c r="B59" s="15" t="s">
        <v>97</v>
      </c>
      <c r="C59" s="16">
        <f>'Медикаменты Июнь'!L54</f>
        <v>0</v>
      </c>
      <c r="D59" s="17"/>
      <c r="E59" s="14"/>
      <c r="F59" s="18"/>
      <c r="G59" s="19"/>
      <c r="H59" s="20"/>
      <c r="I59" s="21"/>
      <c r="J59" s="14"/>
      <c r="K59" s="14">
        <f t="shared" si="0"/>
        <v>0</v>
      </c>
      <c r="L59" s="16">
        <f t="shared" si="1"/>
        <v>0</v>
      </c>
      <c r="M59" s="22">
        <v>44866</v>
      </c>
      <c r="N59" s="44"/>
      <c r="O59" s="23" t="s">
        <v>16</v>
      </c>
      <c r="P59" s="24"/>
      <c r="Q59" s="28" t="s">
        <v>98</v>
      </c>
    </row>
    <row r="60" spans="1:17">
      <c r="A60" s="14">
        <v>56</v>
      </c>
      <c r="B60" s="15" t="s">
        <v>99</v>
      </c>
      <c r="C60" s="16">
        <f>'Медикаменты Июнь'!L55</f>
        <v>0</v>
      </c>
      <c r="D60" s="17"/>
      <c r="E60" s="14"/>
      <c r="F60" s="18"/>
      <c r="G60" s="19"/>
      <c r="H60" s="20"/>
      <c r="I60" s="21"/>
      <c r="J60" s="14"/>
      <c r="K60" s="14">
        <f t="shared" si="0"/>
        <v>0</v>
      </c>
      <c r="L60" s="16">
        <f t="shared" si="1"/>
        <v>0</v>
      </c>
      <c r="M60" s="22"/>
      <c r="N60" s="44"/>
      <c r="O60" s="23" t="s">
        <v>16</v>
      </c>
      <c r="P60" s="24"/>
      <c r="Q60" s="45"/>
    </row>
    <row r="61" spans="1:17">
      <c r="A61" s="14">
        <v>57</v>
      </c>
      <c r="B61" s="15" t="s">
        <v>100</v>
      </c>
      <c r="C61" s="16">
        <f>'Медикаменты Июнь'!L56</f>
        <v>0</v>
      </c>
      <c r="D61" s="17"/>
      <c r="E61" s="14"/>
      <c r="F61" s="18"/>
      <c r="G61" s="19"/>
      <c r="H61" s="20"/>
      <c r="I61" s="21"/>
      <c r="J61" s="14"/>
      <c r="K61" s="14">
        <f t="shared" si="0"/>
        <v>0</v>
      </c>
      <c r="L61" s="16">
        <f t="shared" si="1"/>
        <v>0</v>
      </c>
      <c r="M61" s="22"/>
      <c r="N61" s="44"/>
      <c r="O61" s="23" t="s">
        <v>26</v>
      </c>
      <c r="P61" s="24" t="s">
        <v>17</v>
      </c>
      <c r="Q61" s="28" t="s">
        <v>101</v>
      </c>
    </row>
    <row r="62" spans="1:17">
      <c r="A62" s="14">
        <v>58</v>
      </c>
      <c r="B62" s="15" t="s">
        <v>102</v>
      </c>
      <c r="C62" s="16">
        <f>'Медикаменты Июнь'!L57</f>
        <v>22</v>
      </c>
      <c r="D62" s="17"/>
      <c r="E62" s="14"/>
      <c r="F62" s="18">
        <f>3+5+3</f>
        <v>11</v>
      </c>
      <c r="G62" s="19"/>
      <c r="H62" s="20"/>
      <c r="I62" s="21"/>
      <c r="J62" s="14"/>
      <c r="K62" s="14">
        <f t="shared" si="0"/>
        <v>11</v>
      </c>
      <c r="L62" s="16">
        <f t="shared" si="1"/>
        <v>11</v>
      </c>
      <c r="M62" s="22">
        <v>44866</v>
      </c>
      <c r="N62" s="44" t="s">
        <v>45</v>
      </c>
      <c r="O62" s="23" t="s">
        <v>16</v>
      </c>
      <c r="P62" s="24" t="s">
        <v>45</v>
      </c>
      <c r="Q62" s="28" t="s">
        <v>103</v>
      </c>
    </row>
    <row r="63" spans="1:17">
      <c r="A63" s="14">
        <v>59</v>
      </c>
      <c r="B63" s="15" t="s">
        <v>102</v>
      </c>
      <c r="C63" s="16">
        <f>'Медикаменты Июнь'!L58</f>
        <v>0</v>
      </c>
      <c r="D63" s="17"/>
      <c r="E63" s="14"/>
      <c r="F63" s="18"/>
      <c r="G63" s="19"/>
      <c r="H63" s="20"/>
      <c r="I63" s="21"/>
      <c r="J63" s="14"/>
      <c r="K63" s="14">
        <f t="shared" si="0"/>
        <v>0</v>
      </c>
      <c r="L63" s="16">
        <f t="shared" si="1"/>
        <v>0</v>
      </c>
      <c r="M63" s="22">
        <v>44866</v>
      </c>
      <c r="N63" s="44"/>
      <c r="O63" s="23" t="s">
        <v>26</v>
      </c>
      <c r="P63" s="24"/>
      <c r="Q63" s="28" t="s">
        <v>103</v>
      </c>
    </row>
    <row r="64" spans="1:17">
      <c r="A64" s="14">
        <v>60</v>
      </c>
      <c r="B64" s="15" t="s">
        <v>104</v>
      </c>
      <c r="C64" s="16">
        <f>'Медикаменты Июнь'!L59</f>
        <v>0</v>
      </c>
      <c r="D64" s="17"/>
      <c r="E64" s="14"/>
      <c r="F64" s="18"/>
      <c r="G64" s="19"/>
      <c r="H64" s="20"/>
      <c r="I64" s="21"/>
      <c r="J64" s="14"/>
      <c r="K64" s="14">
        <f t="shared" si="0"/>
        <v>0</v>
      </c>
      <c r="L64" s="16">
        <f t="shared" si="1"/>
        <v>0</v>
      </c>
      <c r="M64" s="22"/>
      <c r="N64" s="44"/>
      <c r="O64" s="23" t="s">
        <v>16</v>
      </c>
      <c r="P64" s="24"/>
      <c r="Q64" s="45"/>
    </row>
    <row r="65" spans="1:17">
      <c r="A65" s="14">
        <v>61</v>
      </c>
      <c r="B65" s="15" t="s">
        <v>104</v>
      </c>
      <c r="C65" s="16">
        <f>'Медикаменты Июнь'!L60</f>
        <v>0</v>
      </c>
      <c r="D65" s="17"/>
      <c r="E65" s="14"/>
      <c r="F65" s="18"/>
      <c r="G65" s="19"/>
      <c r="H65" s="20"/>
      <c r="I65" s="21"/>
      <c r="J65" s="14"/>
      <c r="K65" s="14">
        <f t="shared" si="0"/>
        <v>0</v>
      </c>
      <c r="L65" s="16">
        <f t="shared" si="1"/>
        <v>0</v>
      </c>
      <c r="M65" s="22"/>
      <c r="N65" s="44"/>
      <c r="O65" s="23" t="s">
        <v>26</v>
      </c>
      <c r="P65" s="24"/>
      <c r="Q65" s="45"/>
    </row>
    <row r="66" spans="1:17">
      <c r="A66" s="14">
        <v>62</v>
      </c>
      <c r="B66" s="15" t="s">
        <v>105</v>
      </c>
      <c r="C66" s="16">
        <f>'Медикаменты Июнь'!L61</f>
        <v>0</v>
      </c>
      <c r="D66" s="17"/>
      <c r="E66" s="14"/>
      <c r="F66" s="18"/>
      <c r="G66" s="19"/>
      <c r="H66" s="20"/>
      <c r="I66" s="21"/>
      <c r="J66" s="14"/>
      <c r="K66" s="14">
        <f t="shared" si="0"/>
        <v>0</v>
      </c>
      <c r="L66" s="16">
        <f t="shared" si="1"/>
        <v>0</v>
      </c>
      <c r="M66" s="22"/>
      <c r="N66" s="44"/>
      <c r="O66" s="23" t="s">
        <v>16</v>
      </c>
      <c r="P66" s="24"/>
      <c r="Q66" s="28" t="s">
        <v>106</v>
      </c>
    </row>
    <row r="67" spans="1:17">
      <c r="A67" s="14">
        <v>63</v>
      </c>
      <c r="B67" s="15" t="s">
        <v>105</v>
      </c>
      <c r="C67" s="16">
        <f>'Медикаменты Июнь'!L62</f>
        <v>10</v>
      </c>
      <c r="D67" s="17"/>
      <c r="E67" s="14"/>
      <c r="F67" s="18"/>
      <c r="G67" s="19"/>
      <c r="H67" s="20"/>
      <c r="I67" s="21"/>
      <c r="J67" s="14"/>
      <c r="K67" s="14">
        <f t="shared" si="0"/>
        <v>0</v>
      </c>
      <c r="L67" s="16">
        <f t="shared" si="1"/>
        <v>10</v>
      </c>
      <c r="M67" s="22">
        <v>44531</v>
      </c>
      <c r="N67" s="44" t="s">
        <v>45</v>
      </c>
      <c r="O67" s="23" t="s">
        <v>16</v>
      </c>
      <c r="P67" s="24" t="s">
        <v>17</v>
      </c>
      <c r="Q67" s="28" t="s">
        <v>106</v>
      </c>
    </row>
    <row r="68" spans="1:17">
      <c r="A68" s="14">
        <v>64</v>
      </c>
      <c r="B68" s="15" t="s">
        <v>107</v>
      </c>
      <c r="C68" s="16">
        <f>'Медикаменты Июнь'!L63</f>
        <v>0</v>
      </c>
      <c r="D68" s="17"/>
      <c r="E68" s="14"/>
      <c r="F68" s="18"/>
      <c r="G68" s="19"/>
      <c r="H68" s="20"/>
      <c r="I68" s="21"/>
      <c r="J68" s="14"/>
      <c r="K68" s="14">
        <f t="shared" si="0"/>
        <v>0</v>
      </c>
      <c r="L68" s="16">
        <f t="shared" si="1"/>
        <v>0</v>
      </c>
      <c r="M68" s="22">
        <v>44501</v>
      </c>
      <c r="N68" s="44" t="s">
        <v>45</v>
      </c>
      <c r="O68" s="23" t="s">
        <v>16</v>
      </c>
      <c r="P68" s="24" t="s">
        <v>17</v>
      </c>
      <c r="Q68" s="28" t="s">
        <v>108</v>
      </c>
    </row>
    <row r="69" spans="1:17">
      <c r="A69" s="14">
        <v>65</v>
      </c>
      <c r="B69" s="15" t="s">
        <v>109</v>
      </c>
      <c r="C69" s="16">
        <f>'Медикаменты Июнь'!L64</f>
        <v>0</v>
      </c>
      <c r="D69" s="17"/>
      <c r="E69" s="14"/>
      <c r="F69" s="18"/>
      <c r="G69" s="19"/>
      <c r="H69" s="20"/>
      <c r="I69" s="21"/>
      <c r="J69" s="14"/>
      <c r="K69" s="14">
        <f t="shared" ref="K69:K132" si="2">SUM(F69:J69)</f>
        <v>0</v>
      </c>
      <c r="L69" s="16">
        <f t="shared" ref="L69:L132" si="3">(C69+E69)-K69</f>
        <v>0</v>
      </c>
      <c r="M69" s="22"/>
      <c r="N69" s="44"/>
      <c r="O69" s="23" t="s">
        <v>16</v>
      </c>
      <c r="P69" s="24"/>
      <c r="Q69" s="45"/>
    </row>
    <row r="70" spans="1:17">
      <c r="A70" s="14">
        <v>66</v>
      </c>
      <c r="B70" s="15" t="s">
        <v>110</v>
      </c>
      <c r="C70" s="16">
        <f>'Медикаменты Июнь'!L65</f>
        <v>0</v>
      </c>
      <c r="D70" s="17"/>
      <c r="E70" s="14"/>
      <c r="F70" s="18"/>
      <c r="G70" s="19"/>
      <c r="H70" s="20"/>
      <c r="I70" s="21"/>
      <c r="J70" s="14"/>
      <c r="K70" s="14">
        <f t="shared" si="2"/>
        <v>0</v>
      </c>
      <c r="L70" s="16">
        <f t="shared" si="3"/>
        <v>0</v>
      </c>
      <c r="M70" s="22">
        <v>44682</v>
      </c>
      <c r="N70" s="44"/>
      <c r="O70" s="23" t="s">
        <v>16</v>
      </c>
      <c r="P70" s="24"/>
      <c r="Q70" s="45"/>
    </row>
    <row r="71" spans="1:17">
      <c r="A71" s="14">
        <v>67</v>
      </c>
      <c r="B71" s="15" t="s">
        <v>111</v>
      </c>
      <c r="C71" s="16">
        <f>'Медикаменты Июнь'!L66</f>
        <v>92</v>
      </c>
      <c r="D71" s="17"/>
      <c r="E71" s="14"/>
      <c r="F71" s="18">
        <f>10+10</f>
        <v>20</v>
      </c>
      <c r="G71" s="19"/>
      <c r="H71" s="20"/>
      <c r="I71" s="21"/>
      <c r="J71" s="14"/>
      <c r="K71" s="14">
        <f t="shared" si="2"/>
        <v>20</v>
      </c>
      <c r="L71" s="16">
        <f t="shared" si="3"/>
        <v>72</v>
      </c>
      <c r="M71" s="22">
        <v>44958</v>
      </c>
      <c r="N71" s="44" t="s">
        <v>45</v>
      </c>
      <c r="O71" s="23" t="s">
        <v>16</v>
      </c>
      <c r="P71" s="24" t="s">
        <v>17</v>
      </c>
      <c r="Q71" s="28" t="s">
        <v>112</v>
      </c>
    </row>
    <row r="72" spans="1:17">
      <c r="A72" s="14">
        <v>68</v>
      </c>
      <c r="B72" s="15" t="s">
        <v>111</v>
      </c>
      <c r="C72" s="16">
        <f>'Медикаменты Июнь'!L67</f>
        <v>0</v>
      </c>
      <c r="D72" s="17"/>
      <c r="E72" s="14"/>
      <c r="F72" s="18"/>
      <c r="G72" s="19"/>
      <c r="H72" s="20"/>
      <c r="I72" s="21"/>
      <c r="J72" s="14"/>
      <c r="K72" s="14">
        <f t="shared" si="2"/>
        <v>0</v>
      </c>
      <c r="L72" s="16">
        <f t="shared" si="3"/>
        <v>0</v>
      </c>
      <c r="M72" s="22">
        <v>44958</v>
      </c>
      <c r="N72" s="44"/>
      <c r="O72" s="23" t="s">
        <v>26</v>
      </c>
      <c r="P72" s="24"/>
      <c r="Q72" s="45"/>
    </row>
    <row r="73" spans="1:17">
      <c r="A73" s="14">
        <v>69</v>
      </c>
      <c r="B73" s="15" t="s">
        <v>113</v>
      </c>
      <c r="C73" s="16">
        <f>'Медикаменты Июнь'!L68</f>
        <v>85</v>
      </c>
      <c r="D73" s="17"/>
      <c r="E73" s="14"/>
      <c r="F73" s="18"/>
      <c r="G73" s="19"/>
      <c r="H73" s="20"/>
      <c r="I73" s="21"/>
      <c r="J73" s="14"/>
      <c r="K73" s="14">
        <f t="shared" si="2"/>
        <v>0</v>
      </c>
      <c r="L73" s="16">
        <f t="shared" si="3"/>
        <v>85</v>
      </c>
      <c r="M73" s="22">
        <v>44986</v>
      </c>
      <c r="N73" s="44" t="s">
        <v>45</v>
      </c>
      <c r="O73" s="23" t="s">
        <v>16</v>
      </c>
      <c r="P73" s="24" t="s">
        <v>17</v>
      </c>
      <c r="Q73" s="28" t="s">
        <v>114</v>
      </c>
    </row>
    <row r="74" spans="1:17">
      <c r="A74" s="14">
        <v>70</v>
      </c>
      <c r="B74" s="15" t="s">
        <v>113</v>
      </c>
      <c r="C74" s="16">
        <f>'Медикаменты Июнь'!L69</f>
        <v>0</v>
      </c>
      <c r="D74" s="17"/>
      <c r="E74" s="14"/>
      <c r="F74" s="18"/>
      <c r="G74" s="19"/>
      <c r="H74" s="20"/>
      <c r="I74" s="21"/>
      <c r="J74" s="14"/>
      <c r="K74" s="14">
        <f t="shared" si="2"/>
        <v>0</v>
      </c>
      <c r="L74" s="16">
        <f t="shared" si="3"/>
        <v>0</v>
      </c>
      <c r="M74" s="22">
        <v>44986</v>
      </c>
      <c r="N74" s="44"/>
      <c r="O74" s="23" t="s">
        <v>26</v>
      </c>
      <c r="P74" s="24"/>
      <c r="Q74" s="28" t="s">
        <v>114</v>
      </c>
    </row>
    <row r="75" spans="1:17" ht="26.25">
      <c r="A75" s="14">
        <v>71</v>
      </c>
      <c r="B75" s="15" t="s">
        <v>115</v>
      </c>
      <c r="C75" s="16">
        <f>'Медикаменты Июнь'!L70</f>
        <v>2</v>
      </c>
      <c r="D75" s="17"/>
      <c r="E75" s="14"/>
      <c r="F75" s="18">
        <f>2</f>
        <v>2</v>
      </c>
      <c r="G75" s="19"/>
      <c r="H75" s="20"/>
      <c r="I75" s="21"/>
      <c r="J75" s="14"/>
      <c r="K75" s="14">
        <f t="shared" si="2"/>
        <v>2</v>
      </c>
      <c r="L75" s="16">
        <f t="shared" si="3"/>
        <v>0</v>
      </c>
      <c r="M75" s="22">
        <v>44835</v>
      </c>
      <c r="N75" s="44" t="s">
        <v>45</v>
      </c>
      <c r="O75" s="23" t="s">
        <v>16</v>
      </c>
      <c r="P75" s="24" t="s">
        <v>17</v>
      </c>
      <c r="Q75" s="28" t="s">
        <v>116</v>
      </c>
    </row>
    <row r="76" spans="1:17" ht="26.25">
      <c r="A76" s="14">
        <v>72</v>
      </c>
      <c r="B76" s="15" t="s">
        <v>115</v>
      </c>
      <c r="C76" s="16">
        <f>'Медикаменты Июнь'!L71</f>
        <v>0</v>
      </c>
      <c r="D76" s="17"/>
      <c r="E76" s="14"/>
      <c r="F76" s="18"/>
      <c r="G76" s="19"/>
      <c r="H76" s="20"/>
      <c r="I76" s="21"/>
      <c r="J76" s="14"/>
      <c r="K76" s="14">
        <f t="shared" si="2"/>
        <v>0</v>
      </c>
      <c r="L76" s="16">
        <f t="shared" si="3"/>
        <v>0</v>
      </c>
      <c r="M76" s="22">
        <v>45901</v>
      </c>
      <c r="N76" s="44" t="s">
        <v>551</v>
      </c>
      <c r="O76" s="23" t="s">
        <v>26</v>
      </c>
      <c r="P76" s="24" t="s">
        <v>17</v>
      </c>
      <c r="Q76" s="28" t="s">
        <v>116</v>
      </c>
    </row>
    <row r="77" spans="1:17">
      <c r="A77" s="14">
        <v>73</v>
      </c>
      <c r="B77" s="15" t="s">
        <v>117</v>
      </c>
      <c r="C77" s="16">
        <f>'Медикаменты Июнь'!L72</f>
        <v>0</v>
      </c>
      <c r="D77" s="17"/>
      <c r="E77" s="14"/>
      <c r="F77" s="18"/>
      <c r="G77" s="19"/>
      <c r="H77" s="20"/>
      <c r="I77" s="21"/>
      <c r="J77" s="14"/>
      <c r="K77" s="14">
        <f t="shared" si="2"/>
        <v>0</v>
      </c>
      <c r="L77" s="16">
        <f t="shared" si="3"/>
        <v>0</v>
      </c>
      <c r="M77" s="22">
        <v>44440</v>
      </c>
      <c r="N77" s="44"/>
      <c r="O77" s="23" t="s">
        <v>16</v>
      </c>
      <c r="P77" s="24"/>
      <c r="Q77" s="28" t="s">
        <v>118</v>
      </c>
    </row>
    <row r="78" spans="1:17">
      <c r="A78" s="14">
        <v>74</v>
      </c>
      <c r="B78" s="15" t="s">
        <v>117</v>
      </c>
      <c r="C78" s="16">
        <f>'Медикаменты Июнь'!L73</f>
        <v>75</v>
      </c>
      <c r="D78" s="17"/>
      <c r="E78" s="14"/>
      <c r="F78" s="18">
        <f>5+30</f>
        <v>35</v>
      </c>
      <c r="G78" s="19"/>
      <c r="H78" s="20"/>
      <c r="I78" s="21"/>
      <c r="J78" s="14"/>
      <c r="K78" s="14">
        <f t="shared" si="2"/>
        <v>35</v>
      </c>
      <c r="L78" s="16">
        <f t="shared" si="3"/>
        <v>40</v>
      </c>
      <c r="M78" s="22">
        <v>44682</v>
      </c>
      <c r="N78" s="44" t="s">
        <v>45</v>
      </c>
      <c r="O78" s="23" t="s">
        <v>16</v>
      </c>
      <c r="P78" s="24" t="s">
        <v>17</v>
      </c>
      <c r="Q78" s="28" t="s">
        <v>118</v>
      </c>
    </row>
    <row r="79" spans="1:17">
      <c r="A79" s="14">
        <v>75</v>
      </c>
      <c r="B79" s="15" t="s">
        <v>117</v>
      </c>
      <c r="C79" s="16">
        <f>'Медикаменты Июнь'!L74</f>
        <v>0</v>
      </c>
      <c r="D79" s="17"/>
      <c r="E79" s="14"/>
      <c r="F79" s="18"/>
      <c r="G79" s="19"/>
      <c r="H79" s="20"/>
      <c r="I79" s="21"/>
      <c r="J79" s="14"/>
      <c r="K79" s="14">
        <f t="shared" si="2"/>
        <v>0</v>
      </c>
      <c r="L79" s="16">
        <f t="shared" si="3"/>
        <v>0</v>
      </c>
      <c r="M79" s="22">
        <v>44682</v>
      </c>
      <c r="N79" s="44"/>
      <c r="O79" s="23" t="s">
        <v>26</v>
      </c>
      <c r="P79" s="24"/>
      <c r="Q79" s="28" t="s">
        <v>118</v>
      </c>
    </row>
    <row r="80" spans="1:17">
      <c r="A80" s="14">
        <v>76</v>
      </c>
      <c r="B80" s="15" t="s">
        <v>119</v>
      </c>
      <c r="C80" s="16">
        <f>'Медикаменты Июнь'!L75</f>
        <v>0</v>
      </c>
      <c r="D80" s="17"/>
      <c r="E80" s="14"/>
      <c r="F80" s="18"/>
      <c r="G80" s="19"/>
      <c r="H80" s="20"/>
      <c r="I80" s="21"/>
      <c r="J80" s="14"/>
      <c r="K80" s="14">
        <f t="shared" si="2"/>
        <v>0</v>
      </c>
      <c r="L80" s="16">
        <f t="shared" si="3"/>
        <v>0</v>
      </c>
      <c r="M80" s="22"/>
      <c r="N80" s="44"/>
      <c r="O80" s="23" t="s">
        <v>16</v>
      </c>
      <c r="P80" s="24"/>
      <c r="Q80" s="45"/>
    </row>
    <row r="81" spans="1:17">
      <c r="A81" s="14">
        <v>77</v>
      </c>
      <c r="B81" s="15" t="s">
        <v>120</v>
      </c>
      <c r="C81" s="16">
        <f>'Медикаменты Июнь'!L76</f>
        <v>0</v>
      </c>
      <c r="D81" s="17"/>
      <c r="E81" s="14"/>
      <c r="F81" s="18"/>
      <c r="G81" s="19"/>
      <c r="H81" s="20"/>
      <c r="I81" s="21"/>
      <c r="J81" s="14"/>
      <c r="K81" s="14">
        <f t="shared" si="2"/>
        <v>0</v>
      </c>
      <c r="L81" s="16">
        <f t="shared" si="3"/>
        <v>0</v>
      </c>
      <c r="M81" s="22">
        <v>45444</v>
      </c>
      <c r="N81" s="44"/>
      <c r="O81" s="23" t="s">
        <v>26</v>
      </c>
      <c r="P81" s="24"/>
      <c r="Q81" s="28" t="s">
        <v>121</v>
      </c>
    </row>
    <row r="82" spans="1:17">
      <c r="A82" s="14">
        <v>78</v>
      </c>
      <c r="B82" s="29" t="s">
        <v>122</v>
      </c>
      <c r="C82" s="16">
        <f>'Медикаменты Июнь'!L77</f>
        <v>32</v>
      </c>
      <c r="D82" s="17"/>
      <c r="E82" s="14"/>
      <c r="F82" s="18"/>
      <c r="G82" s="19"/>
      <c r="H82" s="20"/>
      <c r="I82" s="21"/>
      <c r="J82" s="14"/>
      <c r="K82" s="14">
        <f t="shared" si="2"/>
        <v>0</v>
      </c>
      <c r="L82" s="16">
        <f t="shared" si="3"/>
        <v>32</v>
      </c>
      <c r="M82" s="22">
        <v>44986</v>
      </c>
      <c r="N82" s="44" t="s">
        <v>45</v>
      </c>
      <c r="O82" s="23" t="s">
        <v>16</v>
      </c>
      <c r="P82" s="24" t="s">
        <v>17</v>
      </c>
      <c r="Q82" s="28" t="s">
        <v>123</v>
      </c>
    </row>
    <row r="83" spans="1:17">
      <c r="A83" s="14">
        <v>79</v>
      </c>
      <c r="B83" s="15" t="s">
        <v>124</v>
      </c>
      <c r="C83" s="16">
        <f>'Медикаменты Июнь'!L78</f>
        <v>0</v>
      </c>
      <c r="D83" s="17"/>
      <c r="E83" s="14"/>
      <c r="F83" s="18"/>
      <c r="G83" s="19"/>
      <c r="H83" s="20"/>
      <c r="I83" s="21"/>
      <c r="J83" s="14"/>
      <c r="K83" s="14">
        <f t="shared" si="2"/>
        <v>0</v>
      </c>
      <c r="L83" s="16">
        <f t="shared" si="3"/>
        <v>0</v>
      </c>
      <c r="M83" s="22"/>
      <c r="N83" s="44"/>
      <c r="O83" s="23" t="s">
        <v>16</v>
      </c>
      <c r="P83" s="24"/>
      <c r="Q83" s="45"/>
    </row>
    <row r="84" spans="1:17">
      <c r="A84" s="14">
        <v>80</v>
      </c>
      <c r="B84" s="15" t="s">
        <v>125</v>
      </c>
      <c r="C84" s="16">
        <f>'Медикаменты Июнь'!L79</f>
        <v>5</v>
      </c>
      <c r="D84" s="17"/>
      <c r="E84" s="14"/>
      <c r="F84" s="18"/>
      <c r="G84" s="19"/>
      <c r="H84" s="20"/>
      <c r="I84" s="21"/>
      <c r="J84" s="14"/>
      <c r="K84" s="14">
        <f t="shared" si="2"/>
        <v>0</v>
      </c>
      <c r="L84" s="16">
        <f t="shared" si="3"/>
        <v>5</v>
      </c>
      <c r="M84" s="22">
        <v>44531</v>
      </c>
      <c r="N84" s="44" t="s">
        <v>45</v>
      </c>
      <c r="O84" s="23" t="s">
        <v>16</v>
      </c>
      <c r="P84" s="24" t="s">
        <v>17</v>
      </c>
      <c r="Q84" s="28" t="s">
        <v>126</v>
      </c>
    </row>
    <row r="85" spans="1:17">
      <c r="A85" s="14">
        <v>81</v>
      </c>
      <c r="B85" s="15" t="s">
        <v>127</v>
      </c>
      <c r="C85" s="16">
        <f>'Медикаменты Июнь'!L80</f>
        <v>7</v>
      </c>
      <c r="D85" s="17"/>
      <c r="E85" s="14"/>
      <c r="F85" s="18"/>
      <c r="G85" s="19"/>
      <c r="H85" s="20"/>
      <c r="I85" s="21"/>
      <c r="J85" s="14"/>
      <c r="K85" s="14">
        <f t="shared" si="2"/>
        <v>0</v>
      </c>
      <c r="L85" s="16">
        <f t="shared" si="3"/>
        <v>7</v>
      </c>
      <c r="M85" s="22">
        <v>44501</v>
      </c>
      <c r="N85" s="44" t="s">
        <v>45</v>
      </c>
      <c r="O85" s="23" t="s">
        <v>16</v>
      </c>
      <c r="P85" s="24" t="s">
        <v>45</v>
      </c>
      <c r="Q85" s="28" t="s">
        <v>128</v>
      </c>
    </row>
    <row r="86" spans="1:17" ht="25.5">
      <c r="A86" s="14">
        <v>82</v>
      </c>
      <c r="B86" s="15" t="s">
        <v>129</v>
      </c>
      <c r="C86" s="16">
        <f>'Медикаменты Июнь'!L81</f>
        <v>12</v>
      </c>
      <c r="D86" s="17"/>
      <c r="E86" s="14"/>
      <c r="F86" s="18"/>
      <c r="G86" s="19"/>
      <c r="H86" s="20"/>
      <c r="I86" s="21"/>
      <c r="J86" s="14"/>
      <c r="K86" s="14">
        <f t="shared" si="2"/>
        <v>0</v>
      </c>
      <c r="L86" s="16">
        <f t="shared" si="3"/>
        <v>12</v>
      </c>
      <c r="M86" s="22">
        <v>44713</v>
      </c>
      <c r="N86" s="44" t="s">
        <v>45</v>
      </c>
      <c r="O86" s="23" t="s">
        <v>16</v>
      </c>
      <c r="P86" s="24" t="s">
        <v>17</v>
      </c>
      <c r="Q86" s="28" t="s">
        <v>130</v>
      </c>
    </row>
    <row r="87" spans="1:17" ht="25.5">
      <c r="A87" s="14">
        <v>83</v>
      </c>
      <c r="B87" s="15" t="s">
        <v>129</v>
      </c>
      <c r="C87" s="16">
        <f>'Медикаменты Июнь'!L82</f>
        <v>0</v>
      </c>
      <c r="D87" s="17"/>
      <c r="E87" s="14"/>
      <c r="F87" s="18"/>
      <c r="G87" s="19"/>
      <c r="H87" s="20"/>
      <c r="I87" s="21"/>
      <c r="J87" s="14"/>
      <c r="K87" s="14">
        <f t="shared" si="2"/>
        <v>0</v>
      </c>
      <c r="L87" s="16">
        <f t="shared" si="3"/>
        <v>0</v>
      </c>
      <c r="M87" s="22">
        <v>44713</v>
      </c>
      <c r="N87" s="44"/>
      <c r="O87" s="23" t="s">
        <v>26</v>
      </c>
      <c r="P87" s="24"/>
      <c r="Q87" s="28" t="s">
        <v>130</v>
      </c>
    </row>
    <row r="88" spans="1:17" ht="25.5">
      <c r="A88" s="14">
        <v>84</v>
      </c>
      <c r="B88" s="15" t="s">
        <v>131</v>
      </c>
      <c r="C88" s="16">
        <f>'Медикаменты Июнь'!L83</f>
        <v>0</v>
      </c>
      <c r="D88" s="17"/>
      <c r="E88" s="14"/>
      <c r="F88" s="18"/>
      <c r="G88" s="19"/>
      <c r="H88" s="20"/>
      <c r="I88" s="21"/>
      <c r="J88" s="14"/>
      <c r="K88" s="14">
        <f t="shared" si="2"/>
        <v>0</v>
      </c>
      <c r="L88" s="16">
        <f t="shared" si="3"/>
        <v>0</v>
      </c>
      <c r="M88" s="22"/>
      <c r="N88" s="44"/>
      <c r="O88" s="23" t="s">
        <v>16</v>
      </c>
      <c r="P88" s="24"/>
      <c r="Q88" s="45"/>
    </row>
    <row r="89" spans="1:17">
      <c r="A89" s="14">
        <v>85</v>
      </c>
      <c r="B89" s="15" t="s">
        <v>132</v>
      </c>
      <c r="C89" s="16">
        <f>'Медикаменты Июнь'!L84</f>
        <v>0</v>
      </c>
      <c r="D89" s="17"/>
      <c r="E89" s="14"/>
      <c r="F89" s="18"/>
      <c r="G89" s="19"/>
      <c r="H89" s="20"/>
      <c r="I89" s="21"/>
      <c r="J89" s="14"/>
      <c r="K89" s="14">
        <f t="shared" si="2"/>
        <v>0</v>
      </c>
      <c r="L89" s="16">
        <f t="shared" si="3"/>
        <v>0</v>
      </c>
      <c r="M89" s="22">
        <v>44713</v>
      </c>
      <c r="N89" s="44" t="s">
        <v>45</v>
      </c>
      <c r="O89" s="23" t="s">
        <v>16</v>
      </c>
      <c r="P89" s="24" t="s">
        <v>17</v>
      </c>
      <c r="Q89" s="28" t="s">
        <v>133</v>
      </c>
    </row>
    <row r="90" spans="1:17">
      <c r="A90" s="14">
        <v>86</v>
      </c>
      <c r="B90" s="15" t="s">
        <v>132</v>
      </c>
      <c r="C90" s="16">
        <f>'Медикаменты Июнь'!L85</f>
        <v>0</v>
      </c>
      <c r="D90" s="17"/>
      <c r="E90" s="14"/>
      <c r="F90" s="18"/>
      <c r="G90" s="19"/>
      <c r="H90" s="20"/>
      <c r="I90" s="21"/>
      <c r="J90" s="14"/>
      <c r="K90" s="14">
        <f t="shared" si="2"/>
        <v>0</v>
      </c>
      <c r="L90" s="16">
        <f t="shared" si="3"/>
        <v>0</v>
      </c>
      <c r="M90" s="22">
        <v>44409</v>
      </c>
      <c r="N90" s="44"/>
      <c r="O90" s="23" t="s">
        <v>16</v>
      </c>
      <c r="P90" s="24" t="s">
        <v>17</v>
      </c>
      <c r="Q90" s="28" t="s">
        <v>133</v>
      </c>
    </row>
    <row r="91" spans="1:17">
      <c r="A91" s="14">
        <v>87</v>
      </c>
      <c r="B91" s="15" t="s">
        <v>134</v>
      </c>
      <c r="C91" s="16">
        <f>'Медикаменты Июнь'!L86</f>
        <v>0</v>
      </c>
      <c r="D91" s="17"/>
      <c r="E91" s="14"/>
      <c r="F91" s="18"/>
      <c r="G91" s="19"/>
      <c r="H91" s="20"/>
      <c r="I91" s="21"/>
      <c r="J91" s="14"/>
      <c r="K91" s="14">
        <f t="shared" si="2"/>
        <v>0</v>
      </c>
      <c r="L91" s="16">
        <f t="shared" si="3"/>
        <v>0</v>
      </c>
      <c r="M91" s="22">
        <v>44228</v>
      </c>
      <c r="N91" s="44"/>
      <c r="O91" s="23" t="s">
        <v>16</v>
      </c>
      <c r="P91" s="24" t="s">
        <v>17</v>
      </c>
      <c r="Q91" s="28" t="s">
        <v>135</v>
      </c>
    </row>
    <row r="92" spans="1:17">
      <c r="A92" s="14">
        <v>88</v>
      </c>
      <c r="B92" s="15" t="s">
        <v>136</v>
      </c>
      <c r="C92" s="16">
        <f>'Медикаменты Июнь'!L87</f>
        <v>19</v>
      </c>
      <c r="D92" s="17"/>
      <c r="E92" s="14"/>
      <c r="F92" s="18">
        <f>15</f>
        <v>15</v>
      </c>
      <c r="G92" s="19"/>
      <c r="H92" s="20"/>
      <c r="I92" s="21"/>
      <c r="J92" s="14"/>
      <c r="K92" s="14">
        <f t="shared" si="2"/>
        <v>15</v>
      </c>
      <c r="L92" s="16">
        <f t="shared" si="3"/>
        <v>4</v>
      </c>
      <c r="M92" s="22">
        <v>45778</v>
      </c>
      <c r="N92" s="44" t="s">
        <v>45</v>
      </c>
      <c r="O92" s="23" t="s">
        <v>16</v>
      </c>
      <c r="P92" s="24" t="s">
        <v>17</v>
      </c>
      <c r="Q92" s="28" t="s">
        <v>137</v>
      </c>
    </row>
    <row r="93" spans="1:17">
      <c r="A93" s="14">
        <v>89</v>
      </c>
      <c r="B93" s="15" t="s">
        <v>138</v>
      </c>
      <c r="C93" s="16">
        <f>'Медикаменты Июнь'!L88</f>
        <v>90</v>
      </c>
      <c r="D93" s="30"/>
      <c r="E93" s="14"/>
      <c r="F93" s="18">
        <f>15</f>
        <v>15</v>
      </c>
      <c r="G93" s="19"/>
      <c r="H93" s="20"/>
      <c r="I93" s="21"/>
      <c r="J93" s="14"/>
      <c r="K93" s="14">
        <f t="shared" si="2"/>
        <v>15</v>
      </c>
      <c r="L93" s="16">
        <f t="shared" si="3"/>
        <v>75</v>
      </c>
      <c r="M93" s="22">
        <v>44927</v>
      </c>
      <c r="N93" s="44" t="s">
        <v>551</v>
      </c>
      <c r="O93" s="23" t="s">
        <v>16</v>
      </c>
      <c r="P93" s="24" t="s">
        <v>17</v>
      </c>
      <c r="Q93" s="28" t="s">
        <v>568</v>
      </c>
    </row>
    <row r="94" spans="1:17">
      <c r="A94" s="14">
        <v>90</v>
      </c>
      <c r="B94" s="15" t="s">
        <v>138</v>
      </c>
      <c r="C94" s="16">
        <f>'Медикаменты Июнь'!L89</f>
        <v>0</v>
      </c>
      <c r="D94" s="30"/>
      <c r="E94" s="14"/>
      <c r="F94" s="18"/>
      <c r="G94" s="19"/>
      <c r="H94" s="20"/>
      <c r="I94" s="21"/>
      <c r="J94" s="14"/>
      <c r="K94" s="14">
        <f t="shared" si="2"/>
        <v>0</v>
      </c>
      <c r="L94" s="16">
        <f t="shared" si="3"/>
        <v>0</v>
      </c>
      <c r="M94" s="22">
        <v>44927</v>
      </c>
      <c r="N94" s="44" t="s">
        <v>551</v>
      </c>
      <c r="O94" s="23" t="s">
        <v>26</v>
      </c>
      <c r="P94" s="24" t="s">
        <v>17</v>
      </c>
      <c r="Q94" s="28" t="s">
        <v>568</v>
      </c>
    </row>
    <row r="95" spans="1:17">
      <c r="A95" s="14">
        <v>91</v>
      </c>
      <c r="B95" s="15" t="s">
        <v>569</v>
      </c>
      <c r="C95" s="16">
        <f>'Медикаменты Июнь'!L90</f>
        <v>3</v>
      </c>
      <c r="D95" s="17"/>
      <c r="E95" s="14"/>
      <c r="F95" s="18"/>
      <c r="G95" s="19"/>
      <c r="H95" s="20"/>
      <c r="I95" s="21"/>
      <c r="J95" s="14"/>
      <c r="K95" s="14">
        <f t="shared" si="2"/>
        <v>0</v>
      </c>
      <c r="L95" s="16">
        <f t="shared" si="3"/>
        <v>3</v>
      </c>
      <c r="M95" s="22">
        <v>45108</v>
      </c>
      <c r="N95" s="44" t="s">
        <v>551</v>
      </c>
      <c r="O95" s="23" t="s">
        <v>16</v>
      </c>
      <c r="P95" s="24" t="s">
        <v>17</v>
      </c>
      <c r="Q95" s="28" t="s">
        <v>585</v>
      </c>
    </row>
    <row r="96" spans="1:17">
      <c r="A96" s="14">
        <v>92</v>
      </c>
      <c r="B96" s="15" t="s">
        <v>569</v>
      </c>
      <c r="C96" s="16">
        <f>'Медикаменты Июнь'!L91</f>
        <v>0</v>
      </c>
      <c r="D96" s="17"/>
      <c r="E96" s="14"/>
      <c r="F96" s="18"/>
      <c r="G96" s="19"/>
      <c r="H96" s="20"/>
      <c r="I96" s="21"/>
      <c r="J96" s="14"/>
      <c r="K96" s="14">
        <f t="shared" si="2"/>
        <v>0</v>
      </c>
      <c r="L96" s="16">
        <f t="shared" si="3"/>
        <v>0</v>
      </c>
      <c r="M96" s="22">
        <v>45108</v>
      </c>
      <c r="N96" s="44" t="s">
        <v>551</v>
      </c>
      <c r="O96" s="23" t="s">
        <v>26</v>
      </c>
      <c r="P96" s="24" t="s">
        <v>17</v>
      </c>
      <c r="Q96" s="28" t="s">
        <v>585</v>
      </c>
    </row>
    <row r="97" spans="1:17">
      <c r="A97" s="14">
        <v>93</v>
      </c>
      <c r="B97" s="15" t="s">
        <v>140</v>
      </c>
      <c r="C97" s="16">
        <f>'Медикаменты Июнь'!L92</f>
        <v>0</v>
      </c>
      <c r="D97" s="17"/>
      <c r="E97" s="14"/>
      <c r="F97" s="18"/>
      <c r="G97" s="19"/>
      <c r="H97" s="20"/>
      <c r="I97" s="21"/>
      <c r="J97" s="14"/>
      <c r="K97" s="14">
        <f t="shared" si="2"/>
        <v>0</v>
      </c>
      <c r="L97" s="16">
        <f t="shared" si="3"/>
        <v>0</v>
      </c>
      <c r="M97" s="22">
        <v>44682</v>
      </c>
      <c r="N97" s="44" t="s">
        <v>45</v>
      </c>
      <c r="O97" s="23" t="s">
        <v>16</v>
      </c>
      <c r="P97" s="24" t="s">
        <v>45</v>
      </c>
      <c r="Q97" s="28" t="s">
        <v>141</v>
      </c>
    </row>
    <row r="98" spans="1:17">
      <c r="A98" s="14">
        <v>94</v>
      </c>
      <c r="B98" s="15" t="s">
        <v>142</v>
      </c>
      <c r="C98" s="16">
        <f>'Медикаменты Июнь'!L93</f>
        <v>0</v>
      </c>
      <c r="D98" s="17"/>
      <c r="E98" s="14"/>
      <c r="F98" s="18"/>
      <c r="G98" s="19"/>
      <c r="H98" s="20"/>
      <c r="I98" s="21"/>
      <c r="J98" s="14"/>
      <c r="K98" s="14">
        <f t="shared" si="2"/>
        <v>0</v>
      </c>
      <c r="L98" s="16">
        <f t="shared" si="3"/>
        <v>0</v>
      </c>
      <c r="M98" s="22">
        <v>45352</v>
      </c>
      <c r="N98" s="44"/>
      <c r="O98" s="23" t="s">
        <v>16</v>
      </c>
      <c r="P98" s="24"/>
      <c r="Q98" s="28" t="s">
        <v>143</v>
      </c>
    </row>
    <row r="99" spans="1:17">
      <c r="A99" s="14">
        <v>95</v>
      </c>
      <c r="B99" s="15" t="s">
        <v>144</v>
      </c>
      <c r="C99" s="16">
        <f>'Медикаменты Июнь'!L94</f>
        <v>0</v>
      </c>
      <c r="D99" s="17"/>
      <c r="E99" s="14"/>
      <c r="F99" s="18"/>
      <c r="G99" s="19"/>
      <c r="H99" s="20"/>
      <c r="I99" s="21"/>
      <c r="J99" s="14"/>
      <c r="K99" s="14">
        <f t="shared" si="2"/>
        <v>0</v>
      </c>
      <c r="L99" s="16">
        <f t="shared" si="3"/>
        <v>0</v>
      </c>
      <c r="M99" s="22">
        <v>44228</v>
      </c>
      <c r="N99" s="44"/>
      <c r="O99" s="23" t="s">
        <v>16</v>
      </c>
      <c r="P99" s="24"/>
      <c r="Q99" s="28" t="s">
        <v>145</v>
      </c>
    </row>
    <row r="100" spans="1:17">
      <c r="A100" s="14">
        <v>96</v>
      </c>
      <c r="B100" s="15" t="s">
        <v>146</v>
      </c>
      <c r="C100" s="16">
        <f>'Медикаменты Июнь'!L95</f>
        <v>0</v>
      </c>
      <c r="D100" s="17"/>
      <c r="E100" s="14"/>
      <c r="F100" s="18"/>
      <c r="G100" s="19"/>
      <c r="H100" s="20"/>
      <c r="I100" s="21"/>
      <c r="J100" s="14"/>
      <c r="K100" s="14">
        <f t="shared" si="2"/>
        <v>0</v>
      </c>
      <c r="L100" s="16">
        <f t="shared" si="3"/>
        <v>0</v>
      </c>
      <c r="M100" s="22">
        <v>45474</v>
      </c>
      <c r="N100" s="44"/>
      <c r="O100" s="23" t="s">
        <v>16</v>
      </c>
      <c r="P100" s="24" t="s">
        <v>45</v>
      </c>
      <c r="Q100" s="28" t="s">
        <v>147</v>
      </c>
    </row>
    <row r="101" spans="1:17">
      <c r="A101" s="14">
        <v>97</v>
      </c>
      <c r="B101" s="15" t="s">
        <v>148</v>
      </c>
      <c r="C101" s="16">
        <f>'Медикаменты Июнь'!L96</f>
        <v>0</v>
      </c>
      <c r="D101" s="17"/>
      <c r="E101" s="14"/>
      <c r="F101" s="18"/>
      <c r="G101" s="19"/>
      <c r="H101" s="20"/>
      <c r="I101" s="21"/>
      <c r="J101" s="14"/>
      <c r="K101" s="14">
        <f t="shared" si="2"/>
        <v>0</v>
      </c>
      <c r="L101" s="16">
        <f t="shared" si="3"/>
        <v>0</v>
      </c>
      <c r="M101" s="22"/>
      <c r="N101" s="44"/>
      <c r="O101" s="23" t="s">
        <v>16</v>
      </c>
      <c r="P101" s="24"/>
      <c r="Q101" s="45"/>
    </row>
    <row r="102" spans="1:17">
      <c r="A102" s="14">
        <v>98</v>
      </c>
      <c r="B102" s="15" t="s">
        <v>149</v>
      </c>
      <c r="C102" s="16">
        <f>'Медикаменты Июнь'!L97</f>
        <v>0</v>
      </c>
      <c r="D102" s="17"/>
      <c r="E102" s="14"/>
      <c r="F102" s="18"/>
      <c r="G102" s="19"/>
      <c r="H102" s="20"/>
      <c r="I102" s="21"/>
      <c r="J102" s="14"/>
      <c r="K102" s="14">
        <f t="shared" si="2"/>
        <v>0</v>
      </c>
      <c r="L102" s="16">
        <f t="shared" si="3"/>
        <v>0</v>
      </c>
      <c r="M102" s="22">
        <v>44348</v>
      </c>
      <c r="N102" s="44"/>
      <c r="O102" s="23" t="s">
        <v>16</v>
      </c>
      <c r="P102" s="24"/>
      <c r="Q102" s="28" t="s">
        <v>150</v>
      </c>
    </row>
    <row r="103" spans="1:17">
      <c r="A103" s="14">
        <v>99</v>
      </c>
      <c r="B103" s="15" t="s">
        <v>151</v>
      </c>
      <c r="C103" s="16">
        <f>'Медикаменты Июнь'!L98</f>
        <v>0</v>
      </c>
      <c r="D103" s="17"/>
      <c r="E103" s="14"/>
      <c r="F103" s="18"/>
      <c r="G103" s="19"/>
      <c r="H103" s="20"/>
      <c r="I103" s="21"/>
      <c r="J103" s="14"/>
      <c r="K103" s="14">
        <f t="shared" si="2"/>
        <v>0</v>
      </c>
      <c r="L103" s="16">
        <f t="shared" si="3"/>
        <v>0</v>
      </c>
      <c r="M103" s="22">
        <v>44743</v>
      </c>
      <c r="N103" s="44" t="s">
        <v>45</v>
      </c>
      <c r="O103" s="23" t="s">
        <v>16</v>
      </c>
      <c r="P103" s="24" t="s">
        <v>45</v>
      </c>
      <c r="Q103" s="28" t="s">
        <v>152</v>
      </c>
    </row>
    <row r="104" spans="1:17">
      <c r="A104" s="14">
        <v>100</v>
      </c>
      <c r="B104" s="15" t="s">
        <v>153</v>
      </c>
      <c r="C104" s="16">
        <f>'Медикаменты Июнь'!L99</f>
        <v>0</v>
      </c>
      <c r="D104" s="17"/>
      <c r="E104" s="14"/>
      <c r="F104" s="18"/>
      <c r="G104" s="19"/>
      <c r="H104" s="20"/>
      <c r="I104" s="21"/>
      <c r="J104" s="14"/>
      <c r="K104" s="14">
        <f t="shared" si="2"/>
        <v>0</v>
      </c>
      <c r="L104" s="16">
        <f t="shared" si="3"/>
        <v>0</v>
      </c>
      <c r="M104" s="22">
        <v>44256</v>
      </c>
      <c r="N104" s="44"/>
      <c r="O104" s="23" t="s">
        <v>16</v>
      </c>
      <c r="P104" s="24"/>
      <c r="Q104" s="28" t="s">
        <v>154</v>
      </c>
    </row>
    <row r="105" spans="1:17">
      <c r="A105" s="14">
        <v>101</v>
      </c>
      <c r="B105" s="15" t="s">
        <v>155</v>
      </c>
      <c r="C105" s="16">
        <f>'Медикаменты Июнь'!L100</f>
        <v>0</v>
      </c>
      <c r="D105" s="17"/>
      <c r="E105" s="14"/>
      <c r="F105" s="18"/>
      <c r="G105" s="19"/>
      <c r="H105" s="20"/>
      <c r="I105" s="21"/>
      <c r="J105" s="14"/>
      <c r="K105" s="14">
        <f t="shared" si="2"/>
        <v>0</v>
      </c>
      <c r="L105" s="16">
        <f t="shared" si="3"/>
        <v>0</v>
      </c>
      <c r="M105" s="22"/>
      <c r="N105" s="44"/>
      <c r="O105" s="23" t="s">
        <v>16</v>
      </c>
      <c r="P105" s="24"/>
      <c r="Q105" s="45"/>
    </row>
    <row r="106" spans="1:17">
      <c r="A106" s="14">
        <v>102</v>
      </c>
      <c r="B106" s="15" t="s">
        <v>156</v>
      </c>
      <c r="C106" s="16">
        <f>'Медикаменты Июнь'!L101</f>
        <v>0</v>
      </c>
      <c r="D106" s="17"/>
      <c r="E106" s="14"/>
      <c r="F106" s="18"/>
      <c r="G106" s="19"/>
      <c r="H106" s="20"/>
      <c r="I106" s="21"/>
      <c r="J106" s="14"/>
      <c r="K106" s="14">
        <f t="shared" si="2"/>
        <v>0</v>
      </c>
      <c r="L106" s="16">
        <f t="shared" si="3"/>
        <v>0</v>
      </c>
      <c r="M106" s="22">
        <v>44197</v>
      </c>
      <c r="N106" s="44"/>
      <c r="O106" s="23" t="s">
        <v>16</v>
      </c>
      <c r="P106" s="24"/>
      <c r="Q106" s="28" t="s">
        <v>157</v>
      </c>
    </row>
    <row r="107" spans="1:17">
      <c r="A107" s="14">
        <v>103</v>
      </c>
      <c r="B107" s="15" t="s">
        <v>158</v>
      </c>
      <c r="C107" s="16">
        <f>'Медикаменты Июнь'!L102</f>
        <v>5</v>
      </c>
      <c r="D107" s="17"/>
      <c r="E107" s="14"/>
      <c r="F107" s="18"/>
      <c r="G107" s="19"/>
      <c r="H107" s="20"/>
      <c r="I107" s="21"/>
      <c r="J107" s="14"/>
      <c r="K107" s="14">
        <f t="shared" si="2"/>
        <v>0</v>
      </c>
      <c r="L107" s="16">
        <f t="shared" si="3"/>
        <v>5</v>
      </c>
      <c r="M107" s="22">
        <v>44774</v>
      </c>
      <c r="N107" s="44" t="s">
        <v>45</v>
      </c>
      <c r="O107" s="23" t="s">
        <v>16</v>
      </c>
      <c r="P107" s="24" t="s">
        <v>17</v>
      </c>
      <c r="Q107" s="28" t="s">
        <v>159</v>
      </c>
    </row>
    <row r="108" spans="1:17">
      <c r="A108" s="14">
        <v>104</v>
      </c>
      <c r="B108" s="15" t="s">
        <v>160</v>
      </c>
      <c r="C108" s="16">
        <f>'Медикаменты Июнь'!L103</f>
        <v>83</v>
      </c>
      <c r="D108" s="17"/>
      <c r="E108" s="14"/>
      <c r="F108" s="18"/>
      <c r="G108" s="19"/>
      <c r="H108" s="20"/>
      <c r="I108" s="21"/>
      <c r="J108" s="14"/>
      <c r="K108" s="14">
        <f t="shared" si="2"/>
        <v>0</v>
      </c>
      <c r="L108" s="16">
        <f t="shared" si="3"/>
        <v>83</v>
      </c>
      <c r="M108" s="22">
        <v>44805</v>
      </c>
      <c r="N108" s="44" t="s">
        <v>45</v>
      </c>
      <c r="O108" s="23" t="s">
        <v>16</v>
      </c>
      <c r="P108" s="24" t="s">
        <v>17</v>
      </c>
      <c r="Q108" s="28" t="s">
        <v>161</v>
      </c>
    </row>
    <row r="109" spans="1:17">
      <c r="A109" s="14">
        <v>105</v>
      </c>
      <c r="B109" s="15" t="s">
        <v>162</v>
      </c>
      <c r="C109" s="16">
        <f>'Медикаменты Июнь'!L104</f>
        <v>94</v>
      </c>
      <c r="D109" s="17"/>
      <c r="E109" s="14"/>
      <c r="F109" s="18">
        <f>3</f>
        <v>3</v>
      </c>
      <c r="G109" s="19"/>
      <c r="H109" s="20"/>
      <c r="I109" s="21"/>
      <c r="J109" s="14"/>
      <c r="K109" s="14">
        <f t="shared" si="2"/>
        <v>3</v>
      </c>
      <c r="L109" s="16">
        <f t="shared" si="3"/>
        <v>91</v>
      </c>
      <c r="M109" s="22">
        <v>44742</v>
      </c>
      <c r="N109" s="44" t="s">
        <v>45</v>
      </c>
      <c r="O109" s="23" t="s">
        <v>16</v>
      </c>
      <c r="P109" s="24" t="s">
        <v>17</v>
      </c>
      <c r="Q109" s="28" t="s">
        <v>163</v>
      </c>
    </row>
    <row r="110" spans="1:17">
      <c r="A110" s="14">
        <v>106</v>
      </c>
      <c r="B110" s="15" t="s">
        <v>164</v>
      </c>
      <c r="C110" s="16">
        <f>'Медикаменты Июнь'!L105</f>
        <v>0</v>
      </c>
      <c r="D110" s="17"/>
      <c r="E110" s="14"/>
      <c r="F110" s="18"/>
      <c r="G110" s="19"/>
      <c r="H110" s="20"/>
      <c r="I110" s="21"/>
      <c r="J110" s="14"/>
      <c r="K110" s="14">
        <f t="shared" si="2"/>
        <v>0</v>
      </c>
      <c r="L110" s="16">
        <f t="shared" si="3"/>
        <v>0</v>
      </c>
      <c r="M110" s="22">
        <v>44927</v>
      </c>
      <c r="N110" s="44"/>
      <c r="O110" s="23" t="s">
        <v>26</v>
      </c>
      <c r="P110" s="24" t="s">
        <v>17</v>
      </c>
      <c r="Q110" s="28" t="s">
        <v>165</v>
      </c>
    </row>
    <row r="111" spans="1:17">
      <c r="A111" s="14">
        <v>107</v>
      </c>
      <c r="B111" s="15" t="s">
        <v>166</v>
      </c>
      <c r="C111" s="16">
        <f>'Медикаменты Июнь'!L106</f>
        <v>0</v>
      </c>
      <c r="D111" s="17"/>
      <c r="E111" s="14"/>
      <c r="F111" s="18"/>
      <c r="G111" s="19"/>
      <c r="H111" s="20"/>
      <c r="I111" s="21"/>
      <c r="J111" s="14"/>
      <c r="K111" s="14">
        <f t="shared" si="2"/>
        <v>0</v>
      </c>
      <c r="L111" s="16">
        <f t="shared" si="3"/>
        <v>0</v>
      </c>
      <c r="M111" s="22">
        <v>44440</v>
      </c>
      <c r="N111" s="44"/>
      <c r="O111" s="23" t="s">
        <v>16</v>
      </c>
      <c r="P111" s="24"/>
      <c r="Q111" s="28" t="s">
        <v>165</v>
      </c>
    </row>
    <row r="112" spans="1:17">
      <c r="A112" s="14">
        <v>108</v>
      </c>
      <c r="B112" s="15" t="s">
        <v>167</v>
      </c>
      <c r="C112" s="16">
        <f>'Медикаменты Июнь'!L107</f>
        <v>0</v>
      </c>
      <c r="D112" s="17"/>
      <c r="E112" s="14"/>
      <c r="F112" s="18"/>
      <c r="G112" s="19"/>
      <c r="H112" s="20"/>
      <c r="I112" s="21"/>
      <c r="J112" s="14"/>
      <c r="K112" s="14">
        <f t="shared" si="2"/>
        <v>0</v>
      </c>
      <c r="L112" s="16">
        <f t="shared" si="3"/>
        <v>0</v>
      </c>
      <c r="M112" s="22">
        <v>44256</v>
      </c>
      <c r="N112" s="44"/>
      <c r="O112" s="23" t="s">
        <v>16</v>
      </c>
      <c r="P112" s="24" t="s">
        <v>17</v>
      </c>
      <c r="Q112" s="28" t="s">
        <v>168</v>
      </c>
    </row>
    <row r="113" spans="1:17">
      <c r="A113" s="14">
        <v>109</v>
      </c>
      <c r="B113" s="15" t="s">
        <v>169</v>
      </c>
      <c r="C113" s="16">
        <f>'Медикаменты Июнь'!L108</f>
        <v>0</v>
      </c>
      <c r="D113" s="17"/>
      <c r="E113" s="14"/>
      <c r="F113" s="18"/>
      <c r="G113" s="19"/>
      <c r="H113" s="20"/>
      <c r="I113" s="21"/>
      <c r="J113" s="14"/>
      <c r="K113" s="14">
        <f t="shared" si="2"/>
        <v>0</v>
      </c>
      <c r="L113" s="16">
        <f t="shared" si="3"/>
        <v>0</v>
      </c>
      <c r="M113" s="22">
        <v>44197</v>
      </c>
      <c r="N113" s="44"/>
      <c r="O113" s="23" t="s">
        <v>16</v>
      </c>
      <c r="P113" s="24"/>
      <c r="Q113" s="28" t="s">
        <v>170</v>
      </c>
    </row>
    <row r="114" spans="1:17">
      <c r="A114" s="14">
        <v>110</v>
      </c>
      <c r="B114" s="15" t="s">
        <v>171</v>
      </c>
      <c r="C114" s="16">
        <f>'Медикаменты Июнь'!L109</f>
        <v>0</v>
      </c>
      <c r="D114" s="17"/>
      <c r="E114" s="14"/>
      <c r="F114" s="18"/>
      <c r="G114" s="19"/>
      <c r="H114" s="20"/>
      <c r="I114" s="21"/>
      <c r="J114" s="14"/>
      <c r="K114" s="14">
        <f t="shared" si="2"/>
        <v>0</v>
      </c>
      <c r="L114" s="16">
        <f t="shared" si="3"/>
        <v>0</v>
      </c>
      <c r="M114" s="22"/>
      <c r="N114" s="44"/>
      <c r="O114" s="23" t="s">
        <v>16</v>
      </c>
      <c r="P114" s="24"/>
      <c r="Q114" s="45"/>
    </row>
    <row r="115" spans="1:17">
      <c r="A115" s="14">
        <v>111</v>
      </c>
      <c r="B115" s="15" t="s">
        <v>172</v>
      </c>
      <c r="C115" s="16">
        <f>'Медикаменты Июнь'!L110</f>
        <v>0</v>
      </c>
      <c r="D115" s="17"/>
      <c r="E115" s="14"/>
      <c r="F115" s="18"/>
      <c r="G115" s="19"/>
      <c r="H115" s="20"/>
      <c r="I115" s="21"/>
      <c r="J115" s="14"/>
      <c r="K115" s="14">
        <f t="shared" si="2"/>
        <v>0</v>
      </c>
      <c r="L115" s="16">
        <f t="shared" si="3"/>
        <v>0</v>
      </c>
      <c r="M115" s="22">
        <v>44287</v>
      </c>
      <c r="N115" s="44"/>
      <c r="O115" s="23" t="s">
        <v>26</v>
      </c>
      <c r="P115" s="24" t="s">
        <v>17</v>
      </c>
      <c r="Q115" s="28" t="s">
        <v>173</v>
      </c>
    </row>
    <row r="116" spans="1:17">
      <c r="A116" s="14">
        <v>112</v>
      </c>
      <c r="B116" s="15" t="s">
        <v>172</v>
      </c>
      <c r="C116" s="16">
        <f>'Медикаменты Июнь'!L111</f>
        <v>47</v>
      </c>
      <c r="D116" s="17"/>
      <c r="E116" s="14"/>
      <c r="F116" s="18">
        <f>5</f>
        <v>5</v>
      </c>
      <c r="G116" s="19"/>
      <c r="H116" s="20"/>
      <c r="I116" s="21"/>
      <c r="J116" s="14"/>
      <c r="K116" s="14">
        <f t="shared" si="2"/>
        <v>5</v>
      </c>
      <c r="L116" s="16">
        <f t="shared" si="3"/>
        <v>42</v>
      </c>
      <c r="M116" s="22">
        <v>44805</v>
      </c>
      <c r="N116" s="44" t="s">
        <v>45</v>
      </c>
      <c r="O116" s="23" t="s">
        <v>26</v>
      </c>
      <c r="P116" s="24" t="s">
        <v>17</v>
      </c>
      <c r="Q116" s="28" t="s">
        <v>173</v>
      </c>
    </row>
    <row r="117" spans="1:17">
      <c r="A117" s="14">
        <v>113</v>
      </c>
      <c r="B117" s="15" t="s">
        <v>174</v>
      </c>
      <c r="C117" s="16">
        <f>'Медикаменты Июнь'!L112</f>
        <v>0</v>
      </c>
      <c r="D117" s="17"/>
      <c r="E117" s="14">
        <f>54</f>
        <v>54</v>
      </c>
      <c r="F117" s="18"/>
      <c r="G117" s="19"/>
      <c r="H117" s="20"/>
      <c r="I117" s="21"/>
      <c r="J117" s="14"/>
      <c r="K117" s="14">
        <f t="shared" si="2"/>
        <v>0</v>
      </c>
      <c r="L117" s="16">
        <f t="shared" si="3"/>
        <v>54</v>
      </c>
      <c r="M117" s="22">
        <v>46054</v>
      </c>
      <c r="N117" s="44" t="s">
        <v>551</v>
      </c>
      <c r="O117" s="23" t="s">
        <v>26</v>
      </c>
      <c r="P117" s="24" t="s">
        <v>17</v>
      </c>
      <c r="Q117" s="28" t="s">
        <v>571</v>
      </c>
    </row>
    <row r="118" spans="1:17">
      <c r="A118" s="14">
        <v>114</v>
      </c>
      <c r="B118" s="15" t="s">
        <v>547</v>
      </c>
      <c r="C118" s="16">
        <f>'Медикаменты Июнь'!L113</f>
        <v>0</v>
      </c>
      <c r="D118" s="17"/>
      <c r="E118" s="14"/>
      <c r="F118" s="18"/>
      <c r="G118" s="19"/>
      <c r="H118" s="20"/>
      <c r="I118" s="21"/>
      <c r="J118" s="14"/>
      <c r="K118" s="14">
        <f t="shared" si="2"/>
        <v>0</v>
      </c>
      <c r="L118" s="16">
        <f t="shared" si="3"/>
        <v>0</v>
      </c>
      <c r="M118" s="22">
        <v>44317</v>
      </c>
      <c r="N118" s="44" t="s">
        <v>45</v>
      </c>
      <c r="O118" s="23" t="s">
        <v>16</v>
      </c>
      <c r="P118" s="24" t="s">
        <v>17</v>
      </c>
      <c r="Q118" s="28" t="s">
        <v>176</v>
      </c>
    </row>
    <row r="119" spans="1:17">
      <c r="A119" s="14">
        <v>115</v>
      </c>
      <c r="B119" s="15" t="s">
        <v>177</v>
      </c>
      <c r="C119" s="16">
        <f>'Медикаменты Июнь'!L114</f>
        <v>0</v>
      </c>
      <c r="D119" s="17"/>
      <c r="E119" s="14"/>
      <c r="F119" s="18"/>
      <c r="G119" s="19"/>
      <c r="H119" s="20"/>
      <c r="I119" s="21"/>
      <c r="J119" s="14"/>
      <c r="K119" s="14">
        <f t="shared" si="2"/>
        <v>0</v>
      </c>
      <c r="L119" s="16">
        <f t="shared" si="3"/>
        <v>0</v>
      </c>
      <c r="M119" s="22"/>
      <c r="N119" s="44"/>
      <c r="O119" s="23" t="s">
        <v>16</v>
      </c>
      <c r="P119" s="24"/>
      <c r="Q119" s="45"/>
    </row>
    <row r="120" spans="1:17">
      <c r="A120" s="14">
        <v>116</v>
      </c>
      <c r="B120" s="15" t="s">
        <v>178</v>
      </c>
      <c r="C120" s="16">
        <f>'Медикаменты Июнь'!L115</f>
        <v>0</v>
      </c>
      <c r="D120" s="17"/>
      <c r="E120" s="14"/>
      <c r="F120" s="18"/>
      <c r="G120" s="19"/>
      <c r="H120" s="20"/>
      <c r="I120" s="21"/>
      <c r="J120" s="14"/>
      <c r="K120" s="14">
        <f t="shared" si="2"/>
        <v>0</v>
      </c>
      <c r="L120" s="16">
        <f t="shared" si="3"/>
        <v>0</v>
      </c>
      <c r="M120" s="22">
        <v>44378</v>
      </c>
      <c r="N120" s="44" t="s">
        <v>45</v>
      </c>
      <c r="O120" s="23" t="s">
        <v>16</v>
      </c>
      <c r="P120" s="24" t="s">
        <v>17</v>
      </c>
      <c r="Q120" s="28" t="s">
        <v>179</v>
      </c>
    </row>
    <row r="121" spans="1:17">
      <c r="A121" s="14">
        <v>117</v>
      </c>
      <c r="B121" s="15" t="s">
        <v>572</v>
      </c>
      <c r="C121" s="16">
        <f>'Медикаменты Июнь'!L116</f>
        <v>24</v>
      </c>
      <c r="D121" s="17"/>
      <c r="E121" s="14"/>
      <c r="F121" s="18">
        <f>3</f>
        <v>3</v>
      </c>
      <c r="G121" s="19"/>
      <c r="H121" s="20"/>
      <c r="I121" s="21"/>
      <c r="J121" s="14"/>
      <c r="K121" s="14">
        <f t="shared" si="2"/>
        <v>3</v>
      </c>
      <c r="L121" s="16">
        <f t="shared" si="3"/>
        <v>21</v>
      </c>
      <c r="M121" s="22">
        <v>45200</v>
      </c>
      <c r="N121" s="44" t="s">
        <v>551</v>
      </c>
      <c r="O121" s="23" t="s">
        <v>16</v>
      </c>
      <c r="P121" s="24" t="s">
        <v>17</v>
      </c>
      <c r="Q121" s="28" t="s">
        <v>181</v>
      </c>
    </row>
    <row r="122" spans="1:17">
      <c r="A122" s="14">
        <v>118</v>
      </c>
      <c r="B122" s="15" t="s">
        <v>182</v>
      </c>
      <c r="C122" s="16">
        <f>'Медикаменты Июнь'!L117</f>
        <v>0</v>
      </c>
      <c r="D122" s="17"/>
      <c r="E122" s="14"/>
      <c r="F122" s="18"/>
      <c r="G122" s="19"/>
      <c r="H122" s="20"/>
      <c r="I122" s="21"/>
      <c r="J122" s="14"/>
      <c r="K122" s="14">
        <f t="shared" si="2"/>
        <v>0</v>
      </c>
      <c r="L122" s="16">
        <f t="shared" si="3"/>
        <v>0</v>
      </c>
      <c r="M122" s="22">
        <v>44409</v>
      </c>
      <c r="N122" s="44"/>
      <c r="O122" s="23" t="s">
        <v>16</v>
      </c>
      <c r="P122" s="24"/>
      <c r="Q122" s="28" t="s">
        <v>183</v>
      </c>
    </row>
    <row r="123" spans="1:17">
      <c r="A123" s="14">
        <v>119</v>
      </c>
      <c r="B123" s="15" t="s">
        <v>184</v>
      </c>
      <c r="C123" s="16">
        <f>'Медикаменты Июнь'!L118</f>
        <v>0</v>
      </c>
      <c r="D123" s="17"/>
      <c r="E123" s="14">
        <f>50</f>
        <v>50</v>
      </c>
      <c r="F123" s="18"/>
      <c r="G123" s="19"/>
      <c r="H123" s="20"/>
      <c r="I123" s="21"/>
      <c r="J123" s="14"/>
      <c r="K123" s="14">
        <f t="shared" si="2"/>
        <v>0</v>
      </c>
      <c r="L123" s="16">
        <f t="shared" si="3"/>
        <v>50</v>
      </c>
      <c r="M123" s="22">
        <v>45323</v>
      </c>
      <c r="N123" s="44" t="s">
        <v>551</v>
      </c>
      <c r="O123" s="23" t="s">
        <v>16</v>
      </c>
      <c r="P123" s="24" t="s">
        <v>17</v>
      </c>
      <c r="Q123" s="28" t="s">
        <v>598</v>
      </c>
    </row>
    <row r="124" spans="1:17">
      <c r="A124" s="14">
        <v>120</v>
      </c>
      <c r="B124" s="15" t="s">
        <v>186</v>
      </c>
      <c r="C124" s="16">
        <f>'Медикаменты Июнь'!L119</f>
        <v>0</v>
      </c>
      <c r="D124" s="17"/>
      <c r="E124" s="14"/>
      <c r="F124" s="18"/>
      <c r="G124" s="19"/>
      <c r="H124" s="20"/>
      <c r="I124" s="21"/>
      <c r="J124" s="14"/>
      <c r="K124" s="14">
        <f t="shared" si="2"/>
        <v>0</v>
      </c>
      <c r="L124" s="16">
        <f t="shared" si="3"/>
        <v>0</v>
      </c>
      <c r="M124" s="22">
        <v>44743</v>
      </c>
      <c r="N124" s="44" t="s">
        <v>45</v>
      </c>
      <c r="O124" s="23" t="s">
        <v>16</v>
      </c>
      <c r="P124" s="24" t="s">
        <v>17</v>
      </c>
      <c r="Q124" s="28" t="s">
        <v>187</v>
      </c>
    </row>
    <row r="125" spans="1:17">
      <c r="A125" s="14">
        <v>121</v>
      </c>
      <c r="B125" s="15" t="s">
        <v>188</v>
      </c>
      <c r="C125" s="16">
        <f>'Медикаменты Июнь'!L120</f>
        <v>0</v>
      </c>
      <c r="D125" s="17"/>
      <c r="E125" s="14"/>
      <c r="F125" s="18"/>
      <c r="G125" s="19"/>
      <c r="H125" s="20"/>
      <c r="I125" s="21"/>
      <c r="J125" s="14"/>
      <c r="K125" s="14">
        <f t="shared" si="2"/>
        <v>0</v>
      </c>
      <c r="L125" s="16">
        <f t="shared" si="3"/>
        <v>0</v>
      </c>
      <c r="M125" s="22"/>
      <c r="N125" s="44"/>
      <c r="O125" s="23" t="s">
        <v>16</v>
      </c>
      <c r="P125" s="24"/>
      <c r="Q125" s="45"/>
    </row>
    <row r="126" spans="1:17">
      <c r="A126" s="14">
        <v>122</v>
      </c>
      <c r="B126" s="15" t="s">
        <v>189</v>
      </c>
      <c r="C126" s="16">
        <f>'Медикаменты Июнь'!L121</f>
        <v>0</v>
      </c>
      <c r="D126" s="17"/>
      <c r="E126" s="14"/>
      <c r="F126" s="18"/>
      <c r="G126" s="19"/>
      <c r="H126" s="20"/>
      <c r="I126" s="21"/>
      <c r="J126" s="14"/>
      <c r="K126" s="14">
        <f t="shared" si="2"/>
        <v>0</v>
      </c>
      <c r="L126" s="16">
        <f t="shared" si="3"/>
        <v>0</v>
      </c>
      <c r="M126" s="22">
        <v>44348</v>
      </c>
      <c r="N126" s="44"/>
      <c r="O126" s="23" t="s">
        <v>16</v>
      </c>
      <c r="P126" s="24" t="s">
        <v>45</v>
      </c>
      <c r="Q126" s="28" t="s">
        <v>190</v>
      </c>
    </row>
    <row r="127" spans="1:17">
      <c r="A127" s="14">
        <v>123</v>
      </c>
      <c r="B127" s="15" t="s">
        <v>191</v>
      </c>
      <c r="C127" s="16">
        <f>'Медикаменты Июнь'!L122</f>
        <v>0</v>
      </c>
      <c r="D127" s="17"/>
      <c r="E127" s="14"/>
      <c r="F127" s="18"/>
      <c r="G127" s="19"/>
      <c r="H127" s="20"/>
      <c r="I127" s="21"/>
      <c r="J127" s="14"/>
      <c r="K127" s="14">
        <f t="shared" si="2"/>
        <v>0</v>
      </c>
      <c r="L127" s="16">
        <f t="shared" si="3"/>
        <v>0</v>
      </c>
      <c r="M127" s="22"/>
      <c r="N127" s="44"/>
      <c r="O127" s="23" t="s">
        <v>16</v>
      </c>
      <c r="P127" s="24"/>
      <c r="Q127" s="45"/>
    </row>
    <row r="128" spans="1:17">
      <c r="A128" s="14">
        <v>124</v>
      </c>
      <c r="B128" s="15" t="s">
        <v>192</v>
      </c>
      <c r="C128" s="16">
        <f>'Медикаменты Июнь'!L123</f>
        <v>120</v>
      </c>
      <c r="D128" s="17"/>
      <c r="E128" s="14"/>
      <c r="F128" s="18">
        <f>5+5</f>
        <v>10</v>
      </c>
      <c r="G128" s="19"/>
      <c r="H128" s="20"/>
      <c r="I128" s="21"/>
      <c r="J128" s="14"/>
      <c r="K128" s="14">
        <f t="shared" si="2"/>
        <v>10</v>
      </c>
      <c r="L128" s="16">
        <f t="shared" si="3"/>
        <v>110</v>
      </c>
      <c r="M128" s="22">
        <v>45047</v>
      </c>
      <c r="N128" s="44" t="s">
        <v>45</v>
      </c>
      <c r="O128" s="23" t="s">
        <v>16</v>
      </c>
      <c r="P128" s="24" t="s">
        <v>17</v>
      </c>
      <c r="Q128" s="28" t="s">
        <v>193</v>
      </c>
    </row>
    <row r="129" spans="1:17">
      <c r="A129" s="14">
        <v>125</v>
      </c>
      <c r="B129" s="15" t="s">
        <v>192</v>
      </c>
      <c r="C129" s="16">
        <f>'Медикаменты Июнь'!L124</f>
        <v>0</v>
      </c>
      <c r="D129" s="17"/>
      <c r="E129" s="14"/>
      <c r="F129" s="18"/>
      <c r="G129" s="19"/>
      <c r="H129" s="20"/>
      <c r="I129" s="21"/>
      <c r="J129" s="14"/>
      <c r="K129" s="14">
        <f t="shared" si="2"/>
        <v>0</v>
      </c>
      <c r="L129" s="16">
        <f t="shared" si="3"/>
        <v>0</v>
      </c>
      <c r="M129" s="22">
        <v>45047</v>
      </c>
      <c r="N129" s="44"/>
      <c r="O129" s="23" t="s">
        <v>26</v>
      </c>
      <c r="P129" s="24"/>
      <c r="Q129" s="28" t="s">
        <v>193</v>
      </c>
    </row>
    <row r="130" spans="1:17">
      <c r="A130" s="14">
        <v>126</v>
      </c>
      <c r="B130" s="15" t="s">
        <v>194</v>
      </c>
      <c r="C130" s="16">
        <f>'Медикаменты Июнь'!L125</f>
        <v>10</v>
      </c>
      <c r="D130" s="17"/>
      <c r="E130" s="14"/>
      <c r="F130" s="18"/>
      <c r="G130" s="19"/>
      <c r="H130" s="20"/>
      <c r="I130" s="21"/>
      <c r="J130" s="14"/>
      <c r="K130" s="14">
        <f t="shared" si="2"/>
        <v>0</v>
      </c>
      <c r="L130" s="16">
        <f t="shared" si="3"/>
        <v>10</v>
      </c>
      <c r="M130" s="22">
        <v>45658</v>
      </c>
      <c r="N130" s="44" t="s">
        <v>45</v>
      </c>
      <c r="O130" s="23" t="s">
        <v>16</v>
      </c>
      <c r="P130" s="24" t="s">
        <v>45</v>
      </c>
      <c r="Q130" s="28" t="s">
        <v>195</v>
      </c>
    </row>
    <row r="131" spans="1:17">
      <c r="A131" s="14">
        <v>127</v>
      </c>
      <c r="B131" s="15" t="s">
        <v>196</v>
      </c>
      <c r="C131" s="16">
        <f>'Медикаменты Июнь'!L126</f>
        <v>56</v>
      </c>
      <c r="D131" s="17"/>
      <c r="E131" s="14"/>
      <c r="F131" s="18"/>
      <c r="G131" s="19">
        <f>10</f>
        <v>10</v>
      </c>
      <c r="H131" s="20"/>
      <c r="I131" s="21"/>
      <c r="J131" s="14"/>
      <c r="K131" s="14">
        <f t="shared" si="2"/>
        <v>10</v>
      </c>
      <c r="L131" s="16">
        <f t="shared" si="3"/>
        <v>46</v>
      </c>
      <c r="M131" s="22">
        <v>44593</v>
      </c>
      <c r="N131" s="44" t="s">
        <v>45</v>
      </c>
      <c r="O131" s="23" t="s">
        <v>16</v>
      </c>
      <c r="P131" s="24" t="s">
        <v>17</v>
      </c>
      <c r="Q131" s="28" t="s">
        <v>197</v>
      </c>
    </row>
    <row r="132" spans="1:17">
      <c r="A132" s="14">
        <v>128</v>
      </c>
      <c r="B132" s="15" t="s">
        <v>198</v>
      </c>
      <c r="C132" s="16">
        <f>'Медикаменты Июнь'!L127</f>
        <v>0</v>
      </c>
      <c r="D132" s="17"/>
      <c r="E132" s="14"/>
      <c r="F132" s="18"/>
      <c r="G132" s="19"/>
      <c r="H132" s="20"/>
      <c r="I132" s="21"/>
      <c r="J132" s="14"/>
      <c r="K132" s="14">
        <f t="shared" si="2"/>
        <v>0</v>
      </c>
      <c r="L132" s="16">
        <f t="shared" si="3"/>
        <v>0</v>
      </c>
      <c r="M132" s="22"/>
      <c r="N132" s="44"/>
      <c r="O132" s="23" t="s">
        <v>16</v>
      </c>
      <c r="P132" s="24"/>
      <c r="Q132" s="45"/>
    </row>
    <row r="133" spans="1:17">
      <c r="A133" s="14">
        <v>129</v>
      </c>
      <c r="B133" s="15" t="s">
        <v>599</v>
      </c>
      <c r="C133" s="16">
        <f>'Медикаменты Июнь'!L128</f>
        <v>0</v>
      </c>
      <c r="D133" s="17"/>
      <c r="E133" s="14">
        <f>100</f>
        <v>100</v>
      </c>
      <c r="F133" s="18"/>
      <c r="G133" s="19"/>
      <c r="H133" s="20"/>
      <c r="I133" s="21"/>
      <c r="J133" s="14"/>
      <c r="K133" s="14">
        <f t="shared" ref="K133:K196" si="4">SUM(F133:J133)</f>
        <v>0</v>
      </c>
      <c r="L133" s="16">
        <f t="shared" ref="L133:L196" si="5">(C133+E133)-K133</f>
        <v>100</v>
      </c>
      <c r="M133" s="22">
        <v>45383</v>
      </c>
      <c r="N133" s="44" t="s">
        <v>551</v>
      </c>
      <c r="O133" s="23" t="s">
        <v>16</v>
      </c>
      <c r="P133" s="24" t="s">
        <v>17</v>
      </c>
      <c r="Q133" s="28" t="s">
        <v>600</v>
      </c>
    </row>
    <row r="134" spans="1:17">
      <c r="A134" s="14">
        <v>130</v>
      </c>
      <c r="B134" s="15" t="s">
        <v>548</v>
      </c>
      <c r="C134" s="16">
        <f>'Медикаменты Июнь'!L129</f>
        <v>88</v>
      </c>
      <c r="D134" s="17"/>
      <c r="E134" s="14"/>
      <c r="F134" s="18">
        <f>5+5+5+15</f>
        <v>30</v>
      </c>
      <c r="G134" s="19"/>
      <c r="H134" s="20"/>
      <c r="I134" s="21"/>
      <c r="J134" s="14"/>
      <c r="K134" s="14">
        <f t="shared" si="4"/>
        <v>30</v>
      </c>
      <c r="L134" s="16">
        <f t="shared" si="5"/>
        <v>58</v>
      </c>
      <c r="M134" s="22">
        <v>45658</v>
      </c>
      <c r="N134" s="44" t="s">
        <v>45</v>
      </c>
      <c r="O134" s="23" t="s">
        <v>26</v>
      </c>
      <c r="P134" s="24" t="s">
        <v>17</v>
      </c>
      <c r="Q134" s="28" t="s">
        <v>201</v>
      </c>
    </row>
    <row r="135" spans="1:17">
      <c r="A135" s="14">
        <v>131</v>
      </c>
      <c r="B135" s="15" t="s">
        <v>202</v>
      </c>
      <c r="C135" s="16">
        <f>'Медикаменты Июнь'!L130</f>
        <v>0</v>
      </c>
      <c r="D135" s="17"/>
      <c r="E135" s="14"/>
      <c r="F135" s="18"/>
      <c r="G135" s="19"/>
      <c r="H135" s="20"/>
      <c r="I135" s="21"/>
      <c r="J135" s="14"/>
      <c r="K135" s="14">
        <f t="shared" si="4"/>
        <v>0</v>
      </c>
      <c r="L135" s="16">
        <f t="shared" si="5"/>
        <v>0</v>
      </c>
      <c r="M135" s="22"/>
      <c r="N135" s="44"/>
      <c r="O135" s="23" t="s">
        <v>16</v>
      </c>
      <c r="P135" s="24"/>
      <c r="Q135" s="45"/>
    </row>
    <row r="136" spans="1:17">
      <c r="A136" s="14">
        <v>132</v>
      </c>
      <c r="B136" s="15" t="s">
        <v>203</v>
      </c>
      <c r="C136" s="16">
        <f>'Медикаменты Июнь'!L131</f>
        <v>0</v>
      </c>
      <c r="D136" s="17"/>
      <c r="E136" s="14"/>
      <c r="F136" s="18"/>
      <c r="G136" s="19"/>
      <c r="H136" s="20"/>
      <c r="I136" s="21"/>
      <c r="J136" s="14"/>
      <c r="K136" s="14">
        <f t="shared" si="4"/>
        <v>0</v>
      </c>
      <c r="L136" s="16">
        <f t="shared" si="5"/>
        <v>0</v>
      </c>
      <c r="M136" s="22">
        <v>44287</v>
      </c>
      <c r="N136" s="44"/>
      <c r="O136" s="23" t="s">
        <v>16</v>
      </c>
      <c r="P136" s="24"/>
      <c r="Q136" s="28" t="s">
        <v>204</v>
      </c>
    </row>
    <row r="137" spans="1:17">
      <c r="A137" s="14">
        <v>133</v>
      </c>
      <c r="B137" s="15" t="s">
        <v>205</v>
      </c>
      <c r="C137" s="16">
        <f>'Медикаменты Июнь'!L132</f>
        <v>0</v>
      </c>
      <c r="D137" s="17"/>
      <c r="E137" s="14"/>
      <c r="F137" s="18"/>
      <c r="G137" s="19"/>
      <c r="H137" s="20"/>
      <c r="I137" s="21"/>
      <c r="J137" s="14"/>
      <c r="K137" s="14">
        <f t="shared" si="4"/>
        <v>0</v>
      </c>
      <c r="L137" s="16">
        <f t="shared" si="5"/>
        <v>0</v>
      </c>
      <c r="M137" s="22"/>
      <c r="N137" s="44"/>
      <c r="O137" s="23" t="s">
        <v>16</v>
      </c>
      <c r="P137" s="24"/>
      <c r="Q137" s="45"/>
    </row>
    <row r="138" spans="1:17">
      <c r="A138" s="14">
        <v>134</v>
      </c>
      <c r="B138" s="15" t="s">
        <v>206</v>
      </c>
      <c r="C138" s="16">
        <f>'Медикаменты Июнь'!L133</f>
        <v>0</v>
      </c>
      <c r="D138" s="17"/>
      <c r="E138" s="14"/>
      <c r="F138" s="18"/>
      <c r="G138" s="19"/>
      <c r="H138" s="20"/>
      <c r="I138" s="21"/>
      <c r="J138" s="14"/>
      <c r="K138" s="14">
        <f t="shared" si="4"/>
        <v>0</v>
      </c>
      <c r="L138" s="16">
        <f t="shared" si="5"/>
        <v>0</v>
      </c>
      <c r="M138" s="22"/>
      <c r="N138" s="44"/>
      <c r="O138" s="23" t="s">
        <v>16</v>
      </c>
      <c r="P138" s="24"/>
      <c r="Q138" s="45"/>
    </row>
    <row r="139" spans="1:17">
      <c r="A139" s="14">
        <v>135</v>
      </c>
      <c r="B139" s="15" t="s">
        <v>207</v>
      </c>
      <c r="C139" s="16">
        <f>'Медикаменты Июнь'!L134</f>
        <v>0</v>
      </c>
      <c r="D139" s="17"/>
      <c r="E139" s="14"/>
      <c r="F139" s="18"/>
      <c r="G139" s="19"/>
      <c r="H139" s="20"/>
      <c r="I139" s="21"/>
      <c r="J139" s="14"/>
      <c r="K139" s="14">
        <f t="shared" si="4"/>
        <v>0</v>
      </c>
      <c r="L139" s="16">
        <f t="shared" si="5"/>
        <v>0</v>
      </c>
      <c r="M139" s="22"/>
      <c r="N139" s="44"/>
      <c r="O139" s="23" t="s">
        <v>16</v>
      </c>
      <c r="P139" s="24"/>
      <c r="Q139" s="45"/>
    </row>
    <row r="140" spans="1:17">
      <c r="A140" s="14">
        <v>136</v>
      </c>
      <c r="B140" s="15" t="s">
        <v>208</v>
      </c>
      <c r="C140" s="16">
        <f>'Медикаменты Июнь'!L135</f>
        <v>80</v>
      </c>
      <c r="D140" s="17"/>
      <c r="E140" s="14"/>
      <c r="F140" s="18">
        <f>10+10+15</f>
        <v>35</v>
      </c>
      <c r="G140" s="19"/>
      <c r="H140" s="20"/>
      <c r="I140" s="21"/>
      <c r="J140" s="14"/>
      <c r="K140" s="14">
        <f t="shared" si="4"/>
        <v>35</v>
      </c>
      <c r="L140" s="16">
        <f t="shared" si="5"/>
        <v>45</v>
      </c>
      <c r="M140" s="22">
        <v>44986</v>
      </c>
      <c r="N140" s="44" t="s">
        <v>552</v>
      </c>
      <c r="O140" s="23" t="s">
        <v>16</v>
      </c>
      <c r="P140" s="24" t="s">
        <v>17</v>
      </c>
      <c r="Q140" s="28" t="s">
        <v>209</v>
      </c>
    </row>
    <row r="141" spans="1:17">
      <c r="A141" s="14">
        <v>137</v>
      </c>
      <c r="B141" s="15" t="s">
        <v>210</v>
      </c>
      <c r="C141" s="16">
        <f>'Медикаменты Июнь'!L136</f>
        <v>0</v>
      </c>
      <c r="D141" s="17"/>
      <c r="E141" s="14"/>
      <c r="F141" s="18"/>
      <c r="G141" s="19"/>
      <c r="H141" s="20"/>
      <c r="I141" s="21"/>
      <c r="J141" s="14"/>
      <c r="K141" s="14">
        <f t="shared" si="4"/>
        <v>0</v>
      </c>
      <c r="L141" s="16">
        <f t="shared" si="5"/>
        <v>0</v>
      </c>
      <c r="M141" s="22">
        <v>45413</v>
      </c>
      <c r="N141" s="44" t="s">
        <v>45</v>
      </c>
      <c r="O141" s="23" t="s">
        <v>16</v>
      </c>
      <c r="P141" s="24" t="s">
        <v>17</v>
      </c>
      <c r="Q141" s="28" t="s">
        <v>211</v>
      </c>
    </row>
    <row r="142" spans="1:17">
      <c r="A142" s="14">
        <v>138</v>
      </c>
      <c r="B142" s="15" t="s">
        <v>210</v>
      </c>
      <c r="C142" s="16">
        <f>'Медикаменты Июнь'!L137</f>
        <v>7</v>
      </c>
      <c r="D142" s="17"/>
      <c r="E142" s="14"/>
      <c r="F142" s="18"/>
      <c r="G142" s="19"/>
      <c r="H142" s="20"/>
      <c r="I142" s="21">
        <f>7</f>
        <v>7</v>
      </c>
      <c r="J142" s="14"/>
      <c r="K142" s="14">
        <f t="shared" si="4"/>
        <v>7</v>
      </c>
      <c r="L142" s="16">
        <f t="shared" si="5"/>
        <v>0</v>
      </c>
      <c r="M142" s="22">
        <v>45413</v>
      </c>
      <c r="N142" s="44" t="s">
        <v>45</v>
      </c>
      <c r="O142" s="23" t="s">
        <v>26</v>
      </c>
      <c r="P142" s="24" t="s">
        <v>17</v>
      </c>
      <c r="Q142" s="28" t="s">
        <v>211</v>
      </c>
    </row>
    <row r="143" spans="1:17">
      <c r="A143" s="14">
        <v>139</v>
      </c>
      <c r="B143" s="15" t="s">
        <v>212</v>
      </c>
      <c r="C143" s="16">
        <f>'Медикаменты Июнь'!L138</f>
        <v>0</v>
      </c>
      <c r="D143" s="17"/>
      <c r="E143" s="14"/>
      <c r="F143" s="18"/>
      <c r="G143" s="19"/>
      <c r="H143" s="20"/>
      <c r="I143" s="21"/>
      <c r="J143" s="14"/>
      <c r="K143" s="14">
        <f t="shared" si="4"/>
        <v>0</v>
      </c>
      <c r="L143" s="16">
        <f t="shared" si="5"/>
        <v>0</v>
      </c>
      <c r="M143" s="22"/>
      <c r="N143" s="44"/>
      <c r="O143" s="23" t="s">
        <v>16</v>
      </c>
      <c r="P143" s="24"/>
      <c r="Q143" s="45"/>
    </row>
    <row r="144" spans="1:17" ht="26.25">
      <c r="A144" s="14">
        <v>140</v>
      </c>
      <c r="B144" s="15" t="s">
        <v>213</v>
      </c>
      <c r="C144" s="16">
        <f>'Медикаменты Июнь'!L139</f>
        <v>18</v>
      </c>
      <c r="D144" s="17"/>
      <c r="E144" s="14"/>
      <c r="F144" s="18">
        <f>10+8</f>
        <v>18</v>
      </c>
      <c r="G144" s="19"/>
      <c r="H144" s="20"/>
      <c r="I144" s="21"/>
      <c r="J144" s="14"/>
      <c r="K144" s="14">
        <f t="shared" si="4"/>
        <v>18</v>
      </c>
      <c r="L144" s="16">
        <f t="shared" si="5"/>
        <v>0</v>
      </c>
      <c r="M144" s="22">
        <v>44409</v>
      </c>
      <c r="N144" s="44" t="s">
        <v>551</v>
      </c>
      <c r="O144" s="23" t="s">
        <v>16</v>
      </c>
      <c r="P144" s="24" t="s">
        <v>17</v>
      </c>
      <c r="Q144" s="28" t="s">
        <v>214</v>
      </c>
    </row>
    <row r="145" spans="1:17">
      <c r="A145" s="14">
        <v>141</v>
      </c>
      <c r="B145" s="15" t="s">
        <v>215</v>
      </c>
      <c r="C145" s="16">
        <f>'Медикаменты Июнь'!L140</f>
        <v>0</v>
      </c>
      <c r="D145" s="17"/>
      <c r="E145" s="14"/>
      <c r="F145" s="18"/>
      <c r="G145" s="19"/>
      <c r="H145" s="20"/>
      <c r="I145" s="21"/>
      <c r="J145" s="14"/>
      <c r="K145" s="14">
        <f t="shared" si="4"/>
        <v>0</v>
      </c>
      <c r="L145" s="16">
        <f t="shared" si="5"/>
        <v>0</v>
      </c>
      <c r="M145" s="22"/>
      <c r="N145" s="44"/>
      <c r="O145" s="23" t="s">
        <v>26</v>
      </c>
      <c r="P145" s="24"/>
      <c r="Q145" s="45"/>
    </row>
    <row r="146" spans="1:17" ht="26.25">
      <c r="A146" s="14">
        <v>142</v>
      </c>
      <c r="B146" s="15" t="s">
        <v>216</v>
      </c>
      <c r="C146" s="16">
        <f>'Медикаменты Июнь'!L141</f>
        <v>21</v>
      </c>
      <c r="D146" s="17"/>
      <c r="E146" s="14"/>
      <c r="F146" s="18">
        <f>5</f>
        <v>5</v>
      </c>
      <c r="G146" s="19">
        <f>16</f>
        <v>16</v>
      </c>
      <c r="H146" s="20"/>
      <c r="I146" s="21"/>
      <c r="J146" s="14"/>
      <c r="K146" s="14">
        <f t="shared" si="4"/>
        <v>21</v>
      </c>
      <c r="L146" s="16">
        <f t="shared" si="5"/>
        <v>0</v>
      </c>
      <c r="M146" s="22">
        <v>44805</v>
      </c>
      <c r="N146" s="44" t="s">
        <v>552</v>
      </c>
      <c r="O146" s="23" t="s">
        <v>16</v>
      </c>
      <c r="P146" s="24" t="s">
        <v>17</v>
      </c>
      <c r="Q146" s="28" t="s">
        <v>217</v>
      </c>
    </row>
    <row r="147" spans="1:17" ht="26.25">
      <c r="A147" s="14">
        <v>143</v>
      </c>
      <c r="B147" s="15" t="s">
        <v>216</v>
      </c>
      <c r="C147" s="16">
        <f>'Медикаменты Июнь'!L142</f>
        <v>0</v>
      </c>
      <c r="D147" s="17"/>
      <c r="E147" s="14">
        <f>50</f>
        <v>50</v>
      </c>
      <c r="F147" s="18"/>
      <c r="G147" s="19">
        <f>24</f>
        <v>24</v>
      </c>
      <c r="H147" s="20"/>
      <c r="I147" s="21">
        <f>5</f>
        <v>5</v>
      </c>
      <c r="J147" s="14"/>
      <c r="K147" s="14">
        <f t="shared" si="4"/>
        <v>29</v>
      </c>
      <c r="L147" s="16">
        <f t="shared" si="5"/>
        <v>21</v>
      </c>
      <c r="M147" s="22">
        <v>45292</v>
      </c>
      <c r="N147" s="44" t="s">
        <v>551</v>
      </c>
      <c r="O147" s="23" t="s">
        <v>16</v>
      </c>
      <c r="P147" s="24" t="s">
        <v>17</v>
      </c>
      <c r="Q147" s="28" t="s">
        <v>217</v>
      </c>
    </row>
    <row r="148" spans="1:17">
      <c r="A148" s="14">
        <v>144</v>
      </c>
      <c r="B148" s="15" t="s">
        <v>218</v>
      </c>
      <c r="C148" s="16">
        <f>'Медикаменты Июнь'!L143</f>
        <v>0</v>
      </c>
      <c r="D148" s="17"/>
      <c r="E148" s="14"/>
      <c r="F148" s="18"/>
      <c r="G148" s="19"/>
      <c r="H148" s="20"/>
      <c r="I148" s="21"/>
      <c r="J148" s="14"/>
      <c r="K148" s="14">
        <f t="shared" si="4"/>
        <v>0</v>
      </c>
      <c r="L148" s="16">
        <f t="shared" si="5"/>
        <v>0</v>
      </c>
      <c r="M148" s="22"/>
      <c r="N148" s="44"/>
      <c r="O148" s="23" t="s">
        <v>16</v>
      </c>
      <c r="P148" s="24"/>
      <c r="Q148" s="45"/>
    </row>
    <row r="149" spans="1:17">
      <c r="A149" s="14">
        <v>145</v>
      </c>
      <c r="B149" s="15" t="s">
        <v>219</v>
      </c>
      <c r="C149" s="16">
        <f>'Медикаменты Июнь'!L144</f>
        <v>0</v>
      </c>
      <c r="D149" s="17"/>
      <c r="E149" s="14"/>
      <c r="F149" s="18"/>
      <c r="G149" s="19"/>
      <c r="H149" s="20"/>
      <c r="I149" s="21"/>
      <c r="J149" s="14"/>
      <c r="K149" s="14">
        <f t="shared" si="4"/>
        <v>0</v>
      </c>
      <c r="L149" s="16">
        <f t="shared" si="5"/>
        <v>0</v>
      </c>
      <c r="M149" s="22"/>
      <c r="N149" s="44"/>
      <c r="O149" s="23" t="s">
        <v>16</v>
      </c>
      <c r="P149" s="24"/>
      <c r="Q149" s="45"/>
    </row>
    <row r="150" spans="1:17">
      <c r="A150" s="14">
        <v>146</v>
      </c>
      <c r="B150" s="15" t="s">
        <v>220</v>
      </c>
      <c r="C150" s="16">
        <f>'Медикаменты Июнь'!L145</f>
        <v>0</v>
      </c>
      <c r="D150" s="17"/>
      <c r="E150" s="14">
        <f>100</f>
        <v>100</v>
      </c>
      <c r="F150" s="18">
        <f>20</f>
        <v>20</v>
      </c>
      <c r="G150" s="19"/>
      <c r="H150" s="20"/>
      <c r="I150" s="21"/>
      <c r="J150" s="14"/>
      <c r="K150" s="14">
        <f t="shared" si="4"/>
        <v>20</v>
      </c>
      <c r="L150" s="16">
        <f t="shared" si="5"/>
        <v>80</v>
      </c>
      <c r="M150" s="22">
        <v>44927</v>
      </c>
      <c r="N150" s="44" t="s">
        <v>551</v>
      </c>
      <c r="O150" s="23" t="s">
        <v>16</v>
      </c>
      <c r="P150" s="24" t="s">
        <v>17</v>
      </c>
      <c r="Q150" s="28" t="s">
        <v>221</v>
      </c>
    </row>
    <row r="151" spans="1:17">
      <c r="A151" s="14">
        <v>147</v>
      </c>
      <c r="B151" s="15" t="s">
        <v>222</v>
      </c>
      <c r="C151" s="16">
        <f>'Медикаменты Июнь'!L146</f>
        <v>0</v>
      </c>
      <c r="D151" s="17"/>
      <c r="E151" s="14">
        <f>50</f>
        <v>50</v>
      </c>
      <c r="F151" s="18">
        <f>20</f>
        <v>20</v>
      </c>
      <c r="G151" s="19"/>
      <c r="H151" s="20"/>
      <c r="I151" s="21"/>
      <c r="J151" s="14"/>
      <c r="K151" s="14">
        <f t="shared" si="4"/>
        <v>20</v>
      </c>
      <c r="L151" s="16">
        <f t="shared" si="5"/>
        <v>30</v>
      </c>
      <c r="M151" s="22">
        <v>44866</v>
      </c>
      <c r="N151" s="44" t="s">
        <v>551</v>
      </c>
      <c r="O151" s="23" t="s">
        <v>16</v>
      </c>
      <c r="P151" s="24" t="s">
        <v>17</v>
      </c>
      <c r="Q151" s="28" t="s">
        <v>223</v>
      </c>
    </row>
    <row r="152" spans="1:17">
      <c r="A152" s="14">
        <v>148</v>
      </c>
      <c r="B152" s="15" t="s">
        <v>224</v>
      </c>
      <c r="C152" s="16">
        <f>'Медикаменты Июнь'!L147</f>
        <v>0</v>
      </c>
      <c r="D152" s="17"/>
      <c r="E152" s="14"/>
      <c r="F152" s="18"/>
      <c r="G152" s="19"/>
      <c r="H152" s="20"/>
      <c r="I152" s="21"/>
      <c r="J152" s="14"/>
      <c r="K152" s="14">
        <f t="shared" si="4"/>
        <v>0</v>
      </c>
      <c r="L152" s="16">
        <f t="shared" si="5"/>
        <v>0</v>
      </c>
      <c r="M152" s="22">
        <v>45261</v>
      </c>
      <c r="N152" s="44"/>
      <c r="O152" s="23" t="s">
        <v>16</v>
      </c>
      <c r="P152" s="24"/>
      <c r="Q152" s="28" t="s">
        <v>225</v>
      </c>
    </row>
    <row r="153" spans="1:17">
      <c r="A153" s="14">
        <v>149</v>
      </c>
      <c r="B153" s="15" t="s">
        <v>226</v>
      </c>
      <c r="C153" s="16">
        <f>'Медикаменты Июнь'!L148</f>
        <v>0</v>
      </c>
      <c r="D153" s="17"/>
      <c r="E153" s="14"/>
      <c r="F153" s="18"/>
      <c r="G153" s="19"/>
      <c r="H153" s="20"/>
      <c r="I153" s="21"/>
      <c r="J153" s="14"/>
      <c r="K153" s="14">
        <f t="shared" si="4"/>
        <v>0</v>
      </c>
      <c r="L153" s="16">
        <f t="shared" si="5"/>
        <v>0</v>
      </c>
      <c r="M153" s="22"/>
      <c r="N153" s="44"/>
      <c r="O153" s="23" t="s">
        <v>16</v>
      </c>
      <c r="P153" s="24"/>
      <c r="Q153" s="45"/>
    </row>
    <row r="154" spans="1:17">
      <c r="A154" s="14">
        <v>150</v>
      </c>
      <c r="B154" s="15" t="s">
        <v>227</v>
      </c>
      <c r="C154" s="16">
        <f>'Медикаменты Июнь'!L149</f>
        <v>0</v>
      </c>
      <c r="D154" s="17"/>
      <c r="E154" s="14"/>
      <c r="F154" s="18"/>
      <c r="G154" s="19"/>
      <c r="H154" s="20"/>
      <c r="I154" s="21"/>
      <c r="J154" s="14"/>
      <c r="K154" s="14">
        <f t="shared" si="4"/>
        <v>0</v>
      </c>
      <c r="L154" s="16">
        <f t="shared" si="5"/>
        <v>0</v>
      </c>
      <c r="M154" s="22">
        <v>44562</v>
      </c>
      <c r="N154" s="44"/>
      <c r="O154" s="23" t="s">
        <v>16</v>
      </c>
      <c r="P154" s="24"/>
      <c r="Q154" s="28" t="s">
        <v>228</v>
      </c>
    </row>
    <row r="155" spans="1:17">
      <c r="A155" s="14">
        <v>151</v>
      </c>
      <c r="B155" s="15" t="s">
        <v>229</v>
      </c>
      <c r="C155" s="16">
        <f>'Медикаменты Июнь'!L150</f>
        <v>23</v>
      </c>
      <c r="D155" s="17"/>
      <c r="E155" s="14"/>
      <c r="F155" s="18">
        <f>3</f>
        <v>3</v>
      </c>
      <c r="G155" s="19"/>
      <c r="H155" s="20"/>
      <c r="I155" s="21"/>
      <c r="J155" s="14"/>
      <c r="K155" s="14">
        <f t="shared" si="4"/>
        <v>3</v>
      </c>
      <c r="L155" s="16">
        <f t="shared" si="5"/>
        <v>20</v>
      </c>
      <c r="M155" s="22">
        <v>44986</v>
      </c>
      <c r="N155" s="44" t="s">
        <v>45</v>
      </c>
      <c r="O155" s="23" t="s">
        <v>16</v>
      </c>
      <c r="P155" s="24" t="s">
        <v>17</v>
      </c>
      <c r="Q155" s="28" t="s">
        <v>230</v>
      </c>
    </row>
    <row r="156" spans="1:17">
      <c r="A156" s="14">
        <v>152</v>
      </c>
      <c r="B156" s="15" t="s">
        <v>231</v>
      </c>
      <c r="C156" s="16">
        <f>'Медикаменты Июнь'!L151</f>
        <v>0</v>
      </c>
      <c r="D156" s="17"/>
      <c r="E156" s="14"/>
      <c r="F156" s="18"/>
      <c r="G156" s="19"/>
      <c r="H156" s="20"/>
      <c r="I156" s="21"/>
      <c r="J156" s="14"/>
      <c r="K156" s="14">
        <f t="shared" si="4"/>
        <v>0</v>
      </c>
      <c r="L156" s="16">
        <f t="shared" si="5"/>
        <v>0</v>
      </c>
      <c r="M156" s="22"/>
      <c r="N156" s="44"/>
      <c r="O156" s="23" t="s">
        <v>16</v>
      </c>
      <c r="P156" s="24"/>
      <c r="Q156" s="45"/>
    </row>
    <row r="157" spans="1:17">
      <c r="A157" s="14">
        <v>153</v>
      </c>
      <c r="B157" s="15" t="s">
        <v>232</v>
      </c>
      <c r="C157" s="16">
        <f>'Медикаменты Июнь'!L152</f>
        <v>0</v>
      </c>
      <c r="D157" s="17"/>
      <c r="E157" s="14"/>
      <c r="F157" s="18"/>
      <c r="G157" s="19"/>
      <c r="H157" s="20"/>
      <c r="I157" s="21"/>
      <c r="J157" s="14"/>
      <c r="K157" s="14">
        <f t="shared" si="4"/>
        <v>0</v>
      </c>
      <c r="L157" s="16">
        <f t="shared" si="5"/>
        <v>0</v>
      </c>
      <c r="M157" s="22"/>
      <c r="N157" s="44"/>
      <c r="O157" s="23" t="s">
        <v>16</v>
      </c>
      <c r="P157" s="24"/>
      <c r="Q157" s="45"/>
    </row>
    <row r="158" spans="1:17">
      <c r="A158" s="14">
        <v>154</v>
      </c>
      <c r="B158" s="15" t="s">
        <v>233</v>
      </c>
      <c r="C158" s="16">
        <f>'Медикаменты Июнь'!L153</f>
        <v>0</v>
      </c>
      <c r="D158" s="17"/>
      <c r="E158" s="14"/>
      <c r="F158" s="18"/>
      <c r="G158" s="19"/>
      <c r="H158" s="20"/>
      <c r="I158" s="21"/>
      <c r="J158" s="14"/>
      <c r="K158" s="14">
        <f t="shared" si="4"/>
        <v>0</v>
      </c>
      <c r="L158" s="16">
        <f t="shared" si="5"/>
        <v>0</v>
      </c>
      <c r="M158" s="22">
        <v>44287</v>
      </c>
      <c r="N158" s="44"/>
      <c r="O158" s="23" t="s">
        <v>16</v>
      </c>
      <c r="P158" s="24" t="s">
        <v>45</v>
      </c>
      <c r="Q158" s="28" t="s">
        <v>234</v>
      </c>
    </row>
    <row r="159" spans="1:17">
      <c r="A159" s="14">
        <v>155</v>
      </c>
      <c r="B159" s="15" t="s">
        <v>235</v>
      </c>
      <c r="C159" s="16">
        <f>'Медикаменты Июнь'!L154</f>
        <v>0</v>
      </c>
      <c r="D159" s="17"/>
      <c r="E159" s="14"/>
      <c r="F159" s="18"/>
      <c r="G159" s="19"/>
      <c r="H159" s="20"/>
      <c r="I159" s="21"/>
      <c r="J159" s="14"/>
      <c r="K159" s="14">
        <f t="shared" si="4"/>
        <v>0</v>
      </c>
      <c r="L159" s="16">
        <f t="shared" si="5"/>
        <v>0</v>
      </c>
      <c r="M159" s="22"/>
      <c r="N159" s="44"/>
      <c r="O159" s="23" t="s">
        <v>16</v>
      </c>
      <c r="P159" s="24"/>
      <c r="Q159" s="45"/>
    </row>
    <row r="160" spans="1:17">
      <c r="A160" s="14">
        <v>156</v>
      </c>
      <c r="B160" s="15" t="s">
        <v>236</v>
      </c>
      <c r="C160" s="16">
        <f>'Медикаменты Июнь'!L155</f>
        <v>70</v>
      </c>
      <c r="D160" s="17"/>
      <c r="E160" s="14"/>
      <c r="F160" s="18">
        <f>3</f>
        <v>3</v>
      </c>
      <c r="G160" s="19"/>
      <c r="H160" s="20"/>
      <c r="I160" s="21"/>
      <c r="J160" s="14"/>
      <c r="K160" s="14">
        <f t="shared" si="4"/>
        <v>3</v>
      </c>
      <c r="L160" s="16">
        <f t="shared" si="5"/>
        <v>67</v>
      </c>
      <c r="M160" s="22">
        <v>44593</v>
      </c>
      <c r="N160" s="44" t="s">
        <v>45</v>
      </c>
      <c r="O160" s="23" t="s">
        <v>16</v>
      </c>
      <c r="P160" s="24" t="s">
        <v>45</v>
      </c>
      <c r="Q160" s="28" t="s">
        <v>237</v>
      </c>
    </row>
    <row r="161" spans="1:17">
      <c r="A161" s="14">
        <v>157</v>
      </c>
      <c r="B161" s="15" t="s">
        <v>238</v>
      </c>
      <c r="C161" s="16">
        <f>'Медикаменты Июнь'!L156</f>
        <v>0</v>
      </c>
      <c r="D161" s="17"/>
      <c r="E161" s="14"/>
      <c r="F161" s="18"/>
      <c r="G161" s="19"/>
      <c r="H161" s="20"/>
      <c r="I161" s="21"/>
      <c r="J161" s="14"/>
      <c r="K161" s="14">
        <f t="shared" si="4"/>
        <v>0</v>
      </c>
      <c r="L161" s="16">
        <f t="shared" si="5"/>
        <v>0</v>
      </c>
      <c r="M161" s="22"/>
      <c r="N161" s="44"/>
      <c r="O161" s="23" t="s">
        <v>16</v>
      </c>
      <c r="P161" s="24"/>
      <c r="Q161" s="45"/>
    </row>
    <row r="162" spans="1:17">
      <c r="A162" s="14">
        <v>158</v>
      </c>
      <c r="B162" s="15" t="s">
        <v>239</v>
      </c>
      <c r="C162" s="16">
        <f>'Медикаменты Июнь'!L157</f>
        <v>0</v>
      </c>
      <c r="D162" s="17"/>
      <c r="E162" s="14"/>
      <c r="F162" s="18"/>
      <c r="G162" s="19"/>
      <c r="H162" s="20"/>
      <c r="I162" s="21"/>
      <c r="J162" s="14"/>
      <c r="K162" s="14">
        <f t="shared" si="4"/>
        <v>0</v>
      </c>
      <c r="L162" s="16">
        <f t="shared" si="5"/>
        <v>0</v>
      </c>
      <c r="M162" s="22"/>
      <c r="N162" s="44"/>
      <c r="O162" s="23" t="s">
        <v>16</v>
      </c>
      <c r="P162" s="24"/>
      <c r="Q162" s="45"/>
    </row>
    <row r="163" spans="1:17">
      <c r="A163" s="14">
        <v>159</v>
      </c>
      <c r="B163" s="15" t="s">
        <v>240</v>
      </c>
      <c r="C163" s="16">
        <f>'Медикаменты Июнь'!L158</f>
        <v>98</v>
      </c>
      <c r="D163" s="17"/>
      <c r="E163" s="14"/>
      <c r="F163" s="18">
        <f>3</f>
        <v>3</v>
      </c>
      <c r="G163" s="19"/>
      <c r="H163" s="20"/>
      <c r="I163" s="21"/>
      <c r="J163" s="14"/>
      <c r="K163" s="14">
        <f t="shared" si="4"/>
        <v>3</v>
      </c>
      <c r="L163" s="16">
        <f t="shared" si="5"/>
        <v>95</v>
      </c>
      <c r="M163" s="22">
        <v>44652</v>
      </c>
      <c r="N163" s="44" t="s">
        <v>45</v>
      </c>
      <c r="O163" s="23" t="s">
        <v>16</v>
      </c>
      <c r="P163" s="24" t="s">
        <v>17</v>
      </c>
      <c r="Q163" s="28" t="s">
        <v>241</v>
      </c>
    </row>
    <row r="164" spans="1:17">
      <c r="A164" s="14">
        <v>160</v>
      </c>
      <c r="B164" s="15" t="s">
        <v>242</v>
      </c>
      <c r="C164" s="16">
        <f>'Медикаменты Июнь'!L159</f>
        <v>0</v>
      </c>
      <c r="D164" s="17"/>
      <c r="E164" s="14"/>
      <c r="F164" s="18"/>
      <c r="G164" s="19"/>
      <c r="H164" s="20"/>
      <c r="I164" s="21"/>
      <c r="J164" s="14"/>
      <c r="K164" s="14">
        <f t="shared" si="4"/>
        <v>0</v>
      </c>
      <c r="L164" s="16">
        <f t="shared" si="5"/>
        <v>0</v>
      </c>
      <c r="M164" s="22"/>
      <c r="N164" s="44"/>
      <c r="O164" s="23" t="s">
        <v>16</v>
      </c>
      <c r="P164" s="24"/>
      <c r="Q164" s="45"/>
    </row>
    <row r="165" spans="1:17" ht="26.25">
      <c r="A165" s="14">
        <v>161</v>
      </c>
      <c r="B165" s="15" t="s">
        <v>243</v>
      </c>
      <c r="C165" s="16">
        <f>'Медикаменты Июнь'!L160</f>
        <v>149</v>
      </c>
      <c r="D165" s="17"/>
      <c r="E165" s="14"/>
      <c r="F165" s="18">
        <f>3</f>
        <v>3</v>
      </c>
      <c r="G165" s="19"/>
      <c r="H165" s="20"/>
      <c r="I165" s="21"/>
      <c r="J165" s="14"/>
      <c r="K165" s="14">
        <f t="shared" si="4"/>
        <v>3</v>
      </c>
      <c r="L165" s="16">
        <f t="shared" si="5"/>
        <v>146</v>
      </c>
      <c r="M165" s="22">
        <v>44501</v>
      </c>
      <c r="N165" s="44" t="s">
        <v>45</v>
      </c>
      <c r="O165" s="23" t="s">
        <v>16</v>
      </c>
      <c r="P165" s="24" t="s">
        <v>17</v>
      </c>
      <c r="Q165" s="28" t="s">
        <v>244</v>
      </c>
    </row>
    <row r="166" spans="1:17">
      <c r="A166" s="14">
        <v>162</v>
      </c>
      <c r="B166" s="15" t="s">
        <v>245</v>
      </c>
      <c r="C166" s="16">
        <f>'Медикаменты Июнь'!L161</f>
        <v>0</v>
      </c>
      <c r="D166" s="17"/>
      <c r="E166" s="14"/>
      <c r="F166" s="18"/>
      <c r="G166" s="19"/>
      <c r="H166" s="20"/>
      <c r="I166" s="21"/>
      <c r="J166" s="14"/>
      <c r="K166" s="14">
        <f t="shared" si="4"/>
        <v>0</v>
      </c>
      <c r="L166" s="16">
        <f t="shared" si="5"/>
        <v>0</v>
      </c>
      <c r="M166" s="22"/>
      <c r="N166" s="44"/>
      <c r="O166" s="23" t="s">
        <v>16</v>
      </c>
      <c r="P166" s="24"/>
      <c r="Q166" s="45"/>
    </row>
    <row r="167" spans="1:17">
      <c r="A167" s="14">
        <v>163</v>
      </c>
      <c r="B167" s="15" t="s">
        <v>246</v>
      </c>
      <c r="C167" s="16">
        <f>'Медикаменты Июнь'!L162</f>
        <v>0</v>
      </c>
      <c r="D167" s="17"/>
      <c r="E167" s="14"/>
      <c r="F167" s="18"/>
      <c r="G167" s="19"/>
      <c r="H167" s="20"/>
      <c r="I167" s="21"/>
      <c r="J167" s="14"/>
      <c r="K167" s="14">
        <f t="shared" si="4"/>
        <v>0</v>
      </c>
      <c r="L167" s="16">
        <f t="shared" si="5"/>
        <v>0</v>
      </c>
      <c r="M167" s="22"/>
      <c r="N167" s="44"/>
      <c r="O167" s="23" t="s">
        <v>16</v>
      </c>
      <c r="P167" s="24"/>
      <c r="Q167" s="45"/>
    </row>
    <row r="168" spans="1:17">
      <c r="A168" s="14">
        <v>164</v>
      </c>
      <c r="B168" s="15" t="s">
        <v>247</v>
      </c>
      <c r="C168" s="16">
        <f>'Медикаменты Июнь'!L163</f>
        <v>0</v>
      </c>
      <c r="D168" s="17"/>
      <c r="E168" s="14"/>
      <c r="F168" s="18"/>
      <c r="G168" s="19"/>
      <c r="H168" s="20"/>
      <c r="I168" s="21"/>
      <c r="J168" s="14"/>
      <c r="K168" s="14">
        <f t="shared" si="4"/>
        <v>0</v>
      </c>
      <c r="L168" s="16">
        <f t="shared" si="5"/>
        <v>0</v>
      </c>
      <c r="M168" s="22"/>
      <c r="N168" s="44"/>
      <c r="O168" s="23" t="s">
        <v>16</v>
      </c>
      <c r="P168" s="24"/>
      <c r="Q168" s="45"/>
    </row>
    <row r="169" spans="1:17">
      <c r="A169" s="14">
        <v>165</v>
      </c>
      <c r="B169" s="15" t="s">
        <v>248</v>
      </c>
      <c r="C169" s="16">
        <f>'Медикаменты Июнь'!L164</f>
        <v>0</v>
      </c>
      <c r="D169" s="17"/>
      <c r="E169" s="14"/>
      <c r="F169" s="18"/>
      <c r="G169" s="19"/>
      <c r="H169" s="20"/>
      <c r="I169" s="21"/>
      <c r="J169" s="14"/>
      <c r="K169" s="14">
        <f t="shared" si="4"/>
        <v>0</v>
      </c>
      <c r="L169" s="16">
        <f t="shared" si="5"/>
        <v>0</v>
      </c>
      <c r="M169" s="22"/>
      <c r="N169" s="44"/>
      <c r="O169" s="23" t="s">
        <v>16</v>
      </c>
      <c r="P169" s="24"/>
      <c r="Q169" s="45"/>
    </row>
    <row r="170" spans="1:17">
      <c r="A170" s="14">
        <v>166</v>
      </c>
      <c r="B170" s="15" t="s">
        <v>249</v>
      </c>
      <c r="C170" s="16">
        <f>'Медикаменты Июнь'!L165</f>
        <v>0</v>
      </c>
      <c r="D170" s="17"/>
      <c r="E170" s="14"/>
      <c r="F170" s="18"/>
      <c r="G170" s="19"/>
      <c r="H170" s="20"/>
      <c r="I170" s="21"/>
      <c r="J170" s="14"/>
      <c r="K170" s="14">
        <f t="shared" si="4"/>
        <v>0</v>
      </c>
      <c r="L170" s="16">
        <f t="shared" si="5"/>
        <v>0</v>
      </c>
      <c r="M170" s="22"/>
      <c r="N170" s="44"/>
      <c r="O170" s="23" t="s">
        <v>16</v>
      </c>
      <c r="P170" s="24"/>
      <c r="Q170" s="45"/>
    </row>
    <row r="171" spans="1:17">
      <c r="A171" s="14">
        <v>167</v>
      </c>
      <c r="B171" s="15" t="s">
        <v>250</v>
      </c>
      <c r="C171" s="16">
        <f>'Медикаменты Июнь'!L166</f>
        <v>0</v>
      </c>
      <c r="D171" s="17"/>
      <c r="E171" s="14"/>
      <c r="F171" s="18"/>
      <c r="G171" s="19"/>
      <c r="H171" s="20"/>
      <c r="I171" s="21"/>
      <c r="J171" s="14"/>
      <c r="K171" s="14">
        <f t="shared" si="4"/>
        <v>0</v>
      </c>
      <c r="L171" s="16">
        <f t="shared" si="5"/>
        <v>0</v>
      </c>
      <c r="M171" s="22"/>
      <c r="N171" s="44"/>
      <c r="O171" s="23" t="s">
        <v>16</v>
      </c>
      <c r="P171" s="24"/>
      <c r="Q171" s="45"/>
    </row>
    <row r="172" spans="1:17">
      <c r="A172" s="14">
        <v>168</v>
      </c>
      <c r="B172" s="15" t="s">
        <v>251</v>
      </c>
      <c r="C172" s="16">
        <f>'Медикаменты Июнь'!L167</f>
        <v>0</v>
      </c>
      <c r="D172" s="17"/>
      <c r="E172" s="14"/>
      <c r="F172" s="18"/>
      <c r="G172" s="19"/>
      <c r="H172" s="20"/>
      <c r="I172" s="21"/>
      <c r="J172" s="14"/>
      <c r="K172" s="14">
        <f t="shared" si="4"/>
        <v>0</v>
      </c>
      <c r="L172" s="16">
        <f t="shared" si="5"/>
        <v>0</v>
      </c>
      <c r="M172" s="22">
        <v>44682</v>
      </c>
      <c r="N172" s="44" t="s">
        <v>45</v>
      </c>
      <c r="O172" s="23" t="s">
        <v>16</v>
      </c>
      <c r="P172" s="24" t="s">
        <v>45</v>
      </c>
      <c r="Q172" s="28" t="s">
        <v>252</v>
      </c>
    </row>
    <row r="173" spans="1:17">
      <c r="A173" s="14">
        <v>169</v>
      </c>
      <c r="B173" s="15" t="s">
        <v>253</v>
      </c>
      <c r="C173" s="16">
        <f>'Медикаменты Июнь'!L168</f>
        <v>100</v>
      </c>
      <c r="D173" s="17"/>
      <c r="E173" s="14"/>
      <c r="F173" s="18"/>
      <c r="G173" s="19"/>
      <c r="H173" s="20"/>
      <c r="I173" s="21"/>
      <c r="J173" s="14"/>
      <c r="K173" s="14">
        <f t="shared" si="4"/>
        <v>0</v>
      </c>
      <c r="L173" s="16">
        <f t="shared" si="5"/>
        <v>100</v>
      </c>
      <c r="M173" s="22">
        <v>45047</v>
      </c>
      <c r="N173" s="44" t="s">
        <v>45</v>
      </c>
      <c r="O173" s="23" t="s">
        <v>16</v>
      </c>
      <c r="P173" s="24" t="s">
        <v>17</v>
      </c>
      <c r="Q173" s="28" t="s">
        <v>254</v>
      </c>
    </row>
    <row r="174" spans="1:17">
      <c r="A174" s="14">
        <v>170</v>
      </c>
      <c r="B174" s="15" t="s">
        <v>255</v>
      </c>
      <c r="C174" s="16">
        <f>'Медикаменты Июнь'!L169</f>
        <v>0</v>
      </c>
      <c r="D174" s="17"/>
      <c r="E174" s="14"/>
      <c r="F174" s="18"/>
      <c r="G174" s="19"/>
      <c r="H174" s="20"/>
      <c r="I174" s="21"/>
      <c r="J174" s="14"/>
      <c r="K174" s="14">
        <f t="shared" si="4"/>
        <v>0</v>
      </c>
      <c r="L174" s="16">
        <f t="shared" si="5"/>
        <v>0</v>
      </c>
      <c r="M174" s="22">
        <v>44562</v>
      </c>
      <c r="N174" s="44"/>
      <c r="O174" s="23" t="s">
        <v>26</v>
      </c>
      <c r="P174" s="24"/>
      <c r="Q174" s="28"/>
    </row>
    <row r="175" spans="1:17">
      <c r="A175" s="14">
        <v>171</v>
      </c>
      <c r="B175" s="15" t="s">
        <v>256</v>
      </c>
      <c r="C175" s="16">
        <f>'Медикаменты Июнь'!L170</f>
        <v>0</v>
      </c>
      <c r="D175" s="17"/>
      <c r="E175" s="14"/>
      <c r="F175" s="18"/>
      <c r="G175" s="19"/>
      <c r="H175" s="20"/>
      <c r="I175" s="21"/>
      <c r="J175" s="14"/>
      <c r="K175" s="14">
        <f t="shared" si="4"/>
        <v>0</v>
      </c>
      <c r="L175" s="16">
        <f t="shared" si="5"/>
        <v>0</v>
      </c>
      <c r="M175" s="22">
        <v>44044</v>
      </c>
      <c r="N175" s="44"/>
      <c r="O175" s="23" t="s">
        <v>16</v>
      </c>
      <c r="P175" s="24"/>
      <c r="Q175" s="45"/>
    </row>
    <row r="176" spans="1:17">
      <c r="A176" s="14">
        <v>172</v>
      </c>
      <c r="B176" s="15" t="s">
        <v>257</v>
      </c>
      <c r="C176" s="16">
        <f>'Медикаменты Июнь'!L171</f>
        <v>0</v>
      </c>
      <c r="D176" s="17"/>
      <c r="E176" s="14"/>
      <c r="F176" s="18"/>
      <c r="G176" s="19"/>
      <c r="H176" s="20"/>
      <c r="I176" s="21"/>
      <c r="J176" s="14"/>
      <c r="K176" s="14">
        <f t="shared" si="4"/>
        <v>0</v>
      </c>
      <c r="L176" s="16">
        <f t="shared" si="5"/>
        <v>0</v>
      </c>
      <c r="M176" s="22">
        <v>44287</v>
      </c>
      <c r="N176" s="44"/>
      <c r="O176" s="23" t="s">
        <v>16</v>
      </c>
      <c r="P176" s="24" t="s">
        <v>17</v>
      </c>
      <c r="Q176" s="28" t="s">
        <v>258</v>
      </c>
    </row>
    <row r="177" spans="1:17">
      <c r="A177" s="14">
        <v>173</v>
      </c>
      <c r="B177" s="15" t="s">
        <v>259</v>
      </c>
      <c r="C177" s="16">
        <f>'Медикаменты Июнь'!L172</f>
        <v>13</v>
      </c>
      <c r="D177" s="17"/>
      <c r="E177" s="14"/>
      <c r="F177" s="18"/>
      <c r="G177" s="19"/>
      <c r="H177" s="20"/>
      <c r="I177" s="21"/>
      <c r="J177" s="14"/>
      <c r="K177" s="14">
        <f t="shared" si="4"/>
        <v>0</v>
      </c>
      <c r="L177" s="16">
        <f t="shared" si="5"/>
        <v>13</v>
      </c>
      <c r="M177" s="22">
        <v>44531</v>
      </c>
      <c r="N177" s="44" t="s">
        <v>45</v>
      </c>
      <c r="O177" s="23" t="s">
        <v>16</v>
      </c>
      <c r="P177" s="24" t="s">
        <v>17</v>
      </c>
      <c r="Q177" s="28" t="s">
        <v>260</v>
      </c>
    </row>
    <row r="178" spans="1:17">
      <c r="A178" s="14">
        <v>174</v>
      </c>
      <c r="B178" s="15" t="s">
        <v>261</v>
      </c>
      <c r="C178" s="16">
        <f>'Медикаменты Июнь'!L173</f>
        <v>0</v>
      </c>
      <c r="D178" s="17"/>
      <c r="E178" s="14"/>
      <c r="F178" s="18"/>
      <c r="G178" s="19"/>
      <c r="H178" s="20"/>
      <c r="I178" s="21"/>
      <c r="J178" s="14"/>
      <c r="K178" s="14">
        <f t="shared" si="4"/>
        <v>0</v>
      </c>
      <c r="L178" s="16">
        <f t="shared" si="5"/>
        <v>0</v>
      </c>
      <c r="M178" s="22">
        <v>44440</v>
      </c>
      <c r="N178" s="44"/>
      <c r="O178" s="23" t="s">
        <v>16</v>
      </c>
      <c r="P178" s="24"/>
      <c r="Q178" s="28" t="s">
        <v>262</v>
      </c>
    </row>
    <row r="179" spans="1:17">
      <c r="A179" s="14">
        <v>175</v>
      </c>
      <c r="B179" s="15" t="s">
        <v>261</v>
      </c>
      <c r="C179" s="16">
        <f>'Медикаменты Июнь'!L174</f>
        <v>25</v>
      </c>
      <c r="D179" s="17"/>
      <c r="E179" s="14"/>
      <c r="F179" s="18">
        <f>10+5</f>
        <v>15</v>
      </c>
      <c r="G179" s="19"/>
      <c r="H179" s="20"/>
      <c r="I179" s="21"/>
      <c r="J179" s="14"/>
      <c r="K179" s="14">
        <f t="shared" si="4"/>
        <v>15</v>
      </c>
      <c r="L179" s="16">
        <f t="shared" si="5"/>
        <v>10</v>
      </c>
      <c r="M179" s="22">
        <v>44501</v>
      </c>
      <c r="N179" s="44" t="s">
        <v>45</v>
      </c>
      <c r="O179" s="23" t="s">
        <v>16</v>
      </c>
      <c r="P179" s="24" t="s">
        <v>17</v>
      </c>
      <c r="Q179" s="28" t="s">
        <v>262</v>
      </c>
    </row>
    <row r="180" spans="1:17">
      <c r="A180" s="14">
        <v>176</v>
      </c>
      <c r="B180" s="15" t="s">
        <v>263</v>
      </c>
      <c r="C180" s="16">
        <f>'Медикаменты Июнь'!L175</f>
        <v>0</v>
      </c>
      <c r="D180" s="17"/>
      <c r="E180" s="14"/>
      <c r="F180" s="18"/>
      <c r="G180" s="19"/>
      <c r="H180" s="20"/>
      <c r="I180" s="21"/>
      <c r="J180" s="14"/>
      <c r="K180" s="14">
        <f t="shared" si="4"/>
        <v>0</v>
      </c>
      <c r="L180" s="16">
        <f t="shared" si="5"/>
        <v>0</v>
      </c>
      <c r="M180" s="22"/>
      <c r="N180" s="44"/>
      <c r="O180" s="23" t="s">
        <v>16</v>
      </c>
      <c r="P180" s="24"/>
      <c r="Q180" s="45"/>
    </row>
    <row r="181" spans="1:17">
      <c r="A181" s="14">
        <v>177</v>
      </c>
      <c r="B181" s="15" t="s">
        <v>264</v>
      </c>
      <c r="C181" s="16">
        <f>'Медикаменты Июнь'!L176</f>
        <v>0</v>
      </c>
      <c r="D181" s="17"/>
      <c r="E181" s="14"/>
      <c r="F181" s="18"/>
      <c r="G181" s="19"/>
      <c r="H181" s="20"/>
      <c r="I181" s="21"/>
      <c r="J181" s="14"/>
      <c r="K181" s="14">
        <f t="shared" si="4"/>
        <v>0</v>
      </c>
      <c r="L181" s="16">
        <f t="shared" si="5"/>
        <v>0</v>
      </c>
      <c r="M181" s="22"/>
      <c r="N181" s="44"/>
      <c r="O181" s="23" t="s">
        <v>16</v>
      </c>
      <c r="P181" s="24"/>
      <c r="Q181" s="45"/>
    </row>
    <row r="182" spans="1:17">
      <c r="A182" s="14">
        <v>178</v>
      </c>
      <c r="B182" s="15" t="s">
        <v>265</v>
      </c>
      <c r="C182" s="16">
        <f>'Медикаменты Июнь'!L177</f>
        <v>0</v>
      </c>
      <c r="D182" s="17"/>
      <c r="E182" s="14"/>
      <c r="F182" s="18"/>
      <c r="G182" s="19"/>
      <c r="H182" s="20"/>
      <c r="I182" s="21"/>
      <c r="J182" s="14"/>
      <c r="K182" s="14">
        <f t="shared" si="4"/>
        <v>0</v>
      </c>
      <c r="L182" s="16">
        <f t="shared" si="5"/>
        <v>0</v>
      </c>
      <c r="M182" s="22"/>
      <c r="N182" s="44"/>
      <c r="O182" s="23" t="s">
        <v>16</v>
      </c>
      <c r="P182" s="24"/>
      <c r="Q182" s="45"/>
    </row>
    <row r="183" spans="1:17">
      <c r="A183" s="14">
        <v>179</v>
      </c>
      <c r="B183" s="15" t="s">
        <v>266</v>
      </c>
      <c r="C183" s="16">
        <f>'Медикаменты Июнь'!L178</f>
        <v>0</v>
      </c>
      <c r="D183" s="17"/>
      <c r="E183" s="14"/>
      <c r="F183" s="18"/>
      <c r="G183" s="19"/>
      <c r="H183" s="20"/>
      <c r="I183" s="21"/>
      <c r="J183" s="14"/>
      <c r="K183" s="14">
        <f t="shared" si="4"/>
        <v>0</v>
      </c>
      <c r="L183" s="16">
        <f t="shared" si="5"/>
        <v>0</v>
      </c>
      <c r="M183" s="22"/>
      <c r="N183" s="44"/>
      <c r="O183" s="23" t="s">
        <v>16</v>
      </c>
      <c r="P183" s="24"/>
      <c r="Q183" s="45"/>
    </row>
    <row r="184" spans="1:17">
      <c r="A184" s="14">
        <v>180</v>
      </c>
      <c r="B184" s="15" t="s">
        <v>267</v>
      </c>
      <c r="C184" s="16">
        <f>'Медикаменты Июнь'!L179</f>
        <v>0</v>
      </c>
      <c r="D184" s="17"/>
      <c r="E184" s="14"/>
      <c r="F184" s="18"/>
      <c r="G184" s="19"/>
      <c r="H184" s="20"/>
      <c r="I184" s="21"/>
      <c r="J184" s="14"/>
      <c r="K184" s="14">
        <f t="shared" si="4"/>
        <v>0</v>
      </c>
      <c r="L184" s="16">
        <f t="shared" si="5"/>
        <v>0</v>
      </c>
      <c r="M184" s="22"/>
      <c r="N184" s="44"/>
      <c r="O184" s="23" t="s">
        <v>16</v>
      </c>
      <c r="P184" s="24"/>
      <c r="Q184" s="45"/>
    </row>
    <row r="185" spans="1:17">
      <c r="A185" s="14">
        <v>181</v>
      </c>
      <c r="B185" s="15" t="s">
        <v>268</v>
      </c>
      <c r="C185" s="16">
        <f>'Медикаменты Июнь'!L180</f>
        <v>0</v>
      </c>
      <c r="D185" s="17"/>
      <c r="E185" s="14">
        <f>80</f>
        <v>80</v>
      </c>
      <c r="F185" s="18"/>
      <c r="G185" s="19"/>
      <c r="H185" s="20"/>
      <c r="I185" s="21"/>
      <c r="J185" s="14"/>
      <c r="K185" s="14">
        <f t="shared" si="4"/>
        <v>0</v>
      </c>
      <c r="L185" s="16">
        <f t="shared" si="5"/>
        <v>80</v>
      </c>
      <c r="M185" s="22">
        <v>45748</v>
      </c>
      <c r="N185" s="44" t="s">
        <v>551</v>
      </c>
      <c r="O185" s="23" t="s">
        <v>16</v>
      </c>
      <c r="P185" s="24" t="s">
        <v>17</v>
      </c>
      <c r="Q185" s="28" t="s">
        <v>269</v>
      </c>
    </row>
    <row r="186" spans="1:17">
      <c r="A186" s="14">
        <v>182</v>
      </c>
      <c r="B186" s="15" t="s">
        <v>268</v>
      </c>
      <c r="C186" s="16">
        <f>'Медикаменты Июнь'!L181</f>
        <v>0</v>
      </c>
      <c r="D186" s="17"/>
      <c r="E186" s="14">
        <f>20</f>
        <v>20</v>
      </c>
      <c r="F186" s="18"/>
      <c r="G186" s="19"/>
      <c r="H186" s="20"/>
      <c r="I186" s="21"/>
      <c r="J186" s="14"/>
      <c r="K186" s="14">
        <f t="shared" si="4"/>
        <v>0</v>
      </c>
      <c r="L186" s="16">
        <f t="shared" si="5"/>
        <v>20</v>
      </c>
      <c r="M186" s="22">
        <v>45748</v>
      </c>
      <c r="N186" s="44" t="s">
        <v>551</v>
      </c>
      <c r="O186" s="23" t="s">
        <v>26</v>
      </c>
      <c r="P186" s="24" t="s">
        <v>17</v>
      </c>
      <c r="Q186" s="28" t="s">
        <v>269</v>
      </c>
    </row>
    <row r="187" spans="1:17">
      <c r="A187" s="14">
        <v>183</v>
      </c>
      <c r="B187" s="15" t="s">
        <v>601</v>
      </c>
      <c r="C187" s="16"/>
      <c r="D187" s="17"/>
      <c r="E187" s="14">
        <f>100</f>
        <v>100</v>
      </c>
      <c r="F187" s="18"/>
      <c r="G187" s="19"/>
      <c r="H187" s="20"/>
      <c r="I187" s="21"/>
      <c r="J187" s="14"/>
      <c r="K187" s="14">
        <f t="shared" si="4"/>
        <v>0</v>
      </c>
      <c r="L187" s="16">
        <f t="shared" si="5"/>
        <v>100</v>
      </c>
      <c r="M187" s="22">
        <v>45383</v>
      </c>
      <c r="N187" s="44" t="s">
        <v>551</v>
      </c>
      <c r="O187" s="23" t="s">
        <v>16</v>
      </c>
      <c r="P187" s="24" t="s">
        <v>17</v>
      </c>
      <c r="Q187" s="28" t="s">
        <v>602</v>
      </c>
    </row>
    <row r="188" spans="1:17">
      <c r="A188" s="14">
        <v>184</v>
      </c>
      <c r="B188" s="15" t="s">
        <v>270</v>
      </c>
      <c r="C188" s="16">
        <f>'Медикаменты Июнь'!L182</f>
        <v>0</v>
      </c>
      <c r="D188" s="17"/>
      <c r="E188" s="14"/>
      <c r="F188" s="18"/>
      <c r="G188" s="19"/>
      <c r="H188" s="20"/>
      <c r="I188" s="21"/>
      <c r="J188" s="14"/>
      <c r="K188" s="14">
        <f t="shared" si="4"/>
        <v>0</v>
      </c>
      <c r="L188" s="16">
        <f t="shared" si="5"/>
        <v>0</v>
      </c>
      <c r="M188" s="22">
        <v>44075</v>
      </c>
      <c r="N188" s="44"/>
      <c r="O188" s="23" t="s">
        <v>16</v>
      </c>
      <c r="P188" s="24"/>
      <c r="Q188" s="28" t="s">
        <v>271</v>
      </c>
    </row>
    <row r="189" spans="1:17">
      <c r="A189" s="14">
        <v>185</v>
      </c>
      <c r="B189" s="15" t="s">
        <v>272</v>
      </c>
      <c r="C189" s="16">
        <f>'Медикаменты Июнь'!L183</f>
        <v>14</v>
      </c>
      <c r="D189" s="17"/>
      <c r="E189" s="14"/>
      <c r="F189" s="18">
        <f>5</f>
        <v>5</v>
      </c>
      <c r="G189" s="19"/>
      <c r="H189" s="20"/>
      <c r="I189" s="21"/>
      <c r="J189" s="14"/>
      <c r="K189" s="14">
        <f t="shared" si="4"/>
        <v>5</v>
      </c>
      <c r="L189" s="16">
        <f t="shared" si="5"/>
        <v>9</v>
      </c>
      <c r="M189" s="22">
        <v>45352</v>
      </c>
      <c r="N189" s="44" t="s">
        <v>551</v>
      </c>
      <c r="O189" s="23" t="s">
        <v>16</v>
      </c>
      <c r="P189" s="24" t="s">
        <v>17</v>
      </c>
      <c r="Q189" s="28" t="s">
        <v>273</v>
      </c>
    </row>
    <row r="190" spans="1:17">
      <c r="A190" s="14">
        <v>186</v>
      </c>
      <c r="B190" s="15" t="s">
        <v>274</v>
      </c>
      <c r="C190" s="16">
        <f>'Медикаменты Июнь'!L184</f>
        <v>0</v>
      </c>
      <c r="D190" s="17"/>
      <c r="E190" s="14"/>
      <c r="F190" s="18"/>
      <c r="G190" s="19"/>
      <c r="H190" s="20"/>
      <c r="I190" s="21"/>
      <c r="J190" s="14"/>
      <c r="K190" s="14">
        <f t="shared" si="4"/>
        <v>0</v>
      </c>
      <c r="L190" s="16">
        <f t="shared" si="5"/>
        <v>0</v>
      </c>
      <c r="M190" s="22">
        <v>44593</v>
      </c>
      <c r="N190" s="44"/>
      <c r="O190" s="23" t="s">
        <v>16</v>
      </c>
      <c r="P190" s="24"/>
      <c r="Q190" s="28" t="s">
        <v>275</v>
      </c>
    </row>
    <row r="191" spans="1:17">
      <c r="A191" s="14">
        <v>187</v>
      </c>
      <c r="B191" s="15" t="s">
        <v>276</v>
      </c>
      <c r="C191" s="16">
        <f>'Медикаменты Июнь'!L185</f>
        <v>0</v>
      </c>
      <c r="D191" s="17"/>
      <c r="E191" s="14"/>
      <c r="F191" s="18"/>
      <c r="G191" s="19"/>
      <c r="H191" s="20"/>
      <c r="I191" s="21"/>
      <c r="J191" s="14"/>
      <c r="K191" s="14">
        <f t="shared" si="4"/>
        <v>0</v>
      </c>
      <c r="L191" s="16">
        <f t="shared" si="5"/>
        <v>0</v>
      </c>
      <c r="M191" s="22"/>
      <c r="N191" s="44"/>
      <c r="O191" s="23" t="s">
        <v>16</v>
      </c>
      <c r="P191" s="24"/>
      <c r="Q191" s="45"/>
    </row>
    <row r="192" spans="1:17">
      <c r="A192" s="14">
        <v>188</v>
      </c>
      <c r="B192" s="15" t="s">
        <v>277</v>
      </c>
      <c r="C192" s="16">
        <f>'Медикаменты Июнь'!L186</f>
        <v>12</v>
      </c>
      <c r="D192" s="17"/>
      <c r="E192" s="14"/>
      <c r="F192" s="18"/>
      <c r="G192" s="19"/>
      <c r="H192" s="20"/>
      <c r="I192" s="21"/>
      <c r="J192" s="14"/>
      <c r="K192" s="14">
        <f t="shared" si="4"/>
        <v>0</v>
      </c>
      <c r="L192" s="16">
        <f t="shared" si="5"/>
        <v>12</v>
      </c>
      <c r="M192" s="22">
        <v>44409</v>
      </c>
      <c r="N192" s="44" t="s">
        <v>45</v>
      </c>
      <c r="O192" s="23" t="s">
        <v>16</v>
      </c>
      <c r="P192" s="24" t="s">
        <v>17</v>
      </c>
      <c r="Q192" s="28" t="s">
        <v>278</v>
      </c>
    </row>
    <row r="193" spans="1:17">
      <c r="A193" s="14">
        <v>189</v>
      </c>
      <c r="B193" s="15" t="s">
        <v>279</v>
      </c>
      <c r="C193" s="16">
        <f>'Медикаменты Июнь'!L187</f>
        <v>0</v>
      </c>
      <c r="D193" s="17"/>
      <c r="E193" s="14"/>
      <c r="F193" s="18"/>
      <c r="G193" s="19"/>
      <c r="H193" s="20"/>
      <c r="I193" s="21"/>
      <c r="J193" s="14"/>
      <c r="K193" s="14">
        <f t="shared" si="4"/>
        <v>0</v>
      </c>
      <c r="L193" s="16">
        <f t="shared" si="5"/>
        <v>0</v>
      </c>
      <c r="M193" s="22">
        <v>44378</v>
      </c>
      <c r="N193" s="44" t="s">
        <v>45</v>
      </c>
      <c r="O193" s="23" t="s">
        <v>16</v>
      </c>
      <c r="P193" s="24" t="s">
        <v>17</v>
      </c>
      <c r="Q193" s="28" t="s">
        <v>280</v>
      </c>
    </row>
    <row r="194" spans="1:17">
      <c r="A194" s="14">
        <v>190</v>
      </c>
      <c r="B194" s="15" t="s">
        <v>281</v>
      </c>
      <c r="C194" s="16">
        <f>'Медикаменты Июнь'!L188</f>
        <v>0</v>
      </c>
      <c r="D194" s="17"/>
      <c r="E194" s="14"/>
      <c r="F194" s="18"/>
      <c r="G194" s="19"/>
      <c r="H194" s="20"/>
      <c r="I194" s="21"/>
      <c r="J194" s="14"/>
      <c r="K194" s="14">
        <f t="shared" si="4"/>
        <v>0</v>
      </c>
      <c r="L194" s="16">
        <f t="shared" si="5"/>
        <v>0</v>
      </c>
      <c r="M194" s="22">
        <v>44593</v>
      </c>
      <c r="N194" s="44" t="s">
        <v>45</v>
      </c>
      <c r="O194" s="23" t="s">
        <v>16</v>
      </c>
      <c r="P194" s="24" t="s">
        <v>17</v>
      </c>
      <c r="Q194" s="28" t="s">
        <v>282</v>
      </c>
    </row>
    <row r="195" spans="1:17">
      <c r="A195" s="14">
        <v>191</v>
      </c>
      <c r="B195" s="15" t="s">
        <v>553</v>
      </c>
      <c r="C195" s="16">
        <f>'Медикаменты Июнь'!L189</f>
        <v>12</v>
      </c>
      <c r="D195" s="17"/>
      <c r="E195" s="14"/>
      <c r="F195" s="18"/>
      <c r="G195" s="19"/>
      <c r="H195" s="20"/>
      <c r="I195" s="21"/>
      <c r="J195" s="14"/>
      <c r="K195" s="14">
        <f t="shared" si="4"/>
        <v>0</v>
      </c>
      <c r="L195" s="16">
        <f t="shared" si="5"/>
        <v>12</v>
      </c>
      <c r="M195" s="22">
        <v>44835</v>
      </c>
      <c r="N195" s="44" t="s">
        <v>45</v>
      </c>
      <c r="O195" s="23" t="s">
        <v>16</v>
      </c>
      <c r="P195" s="24" t="s">
        <v>17</v>
      </c>
      <c r="Q195" s="28" t="s">
        <v>554</v>
      </c>
    </row>
    <row r="196" spans="1:17">
      <c r="A196" s="14">
        <v>192</v>
      </c>
      <c r="B196" s="15" t="s">
        <v>283</v>
      </c>
      <c r="C196" s="16">
        <f>'Медикаменты Июнь'!L190</f>
        <v>0</v>
      </c>
      <c r="D196" s="17"/>
      <c r="E196" s="14"/>
      <c r="F196" s="18"/>
      <c r="G196" s="19"/>
      <c r="H196" s="20"/>
      <c r="I196" s="21"/>
      <c r="J196" s="14"/>
      <c r="K196" s="14">
        <f t="shared" si="4"/>
        <v>0</v>
      </c>
      <c r="L196" s="16">
        <f t="shared" si="5"/>
        <v>0</v>
      </c>
      <c r="M196" s="22">
        <v>44136</v>
      </c>
      <c r="N196" s="44"/>
      <c r="O196" s="23" t="s">
        <v>16</v>
      </c>
      <c r="P196" s="24"/>
      <c r="Q196" s="28" t="s">
        <v>284</v>
      </c>
    </row>
    <row r="197" spans="1:17">
      <c r="A197" s="14">
        <v>193</v>
      </c>
      <c r="B197" s="15" t="s">
        <v>285</v>
      </c>
      <c r="C197" s="16">
        <f>'Медикаменты Июнь'!L191</f>
        <v>0</v>
      </c>
      <c r="D197" s="17"/>
      <c r="E197" s="14"/>
      <c r="F197" s="18"/>
      <c r="G197" s="19"/>
      <c r="H197" s="20"/>
      <c r="I197" s="21"/>
      <c r="J197" s="14"/>
      <c r="K197" s="14">
        <f t="shared" ref="K197:K260" si="6">SUM(F197:J197)</f>
        <v>0</v>
      </c>
      <c r="L197" s="16">
        <f t="shared" ref="L197:L260" si="7">(C197+E197)-K197</f>
        <v>0</v>
      </c>
      <c r="M197" s="22"/>
      <c r="N197" s="44"/>
      <c r="O197" s="23" t="s">
        <v>16</v>
      </c>
      <c r="P197" s="24"/>
      <c r="Q197" s="45"/>
    </row>
    <row r="198" spans="1:17">
      <c r="A198" s="14">
        <v>194</v>
      </c>
      <c r="B198" s="15" t="s">
        <v>603</v>
      </c>
      <c r="C198" s="16">
        <f>'Медикаменты Июнь'!L192</f>
        <v>0</v>
      </c>
      <c r="D198" s="17"/>
      <c r="E198" s="14">
        <f>50</f>
        <v>50</v>
      </c>
      <c r="F198" s="18"/>
      <c r="G198" s="19"/>
      <c r="H198" s="20"/>
      <c r="I198" s="21"/>
      <c r="J198" s="14"/>
      <c r="K198" s="14">
        <f t="shared" si="6"/>
        <v>0</v>
      </c>
      <c r="L198" s="16">
        <f t="shared" si="7"/>
        <v>50</v>
      </c>
      <c r="M198" s="22">
        <v>44896</v>
      </c>
      <c r="N198" s="44" t="s">
        <v>551</v>
      </c>
      <c r="O198" s="23" t="s">
        <v>16</v>
      </c>
      <c r="P198" s="24" t="s">
        <v>17</v>
      </c>
      <c r="Q198" s="28" t="s">
        <v>604</v>
      </c>
    </row>
    <row r="199" spans="1:17">
      <c r="A199" s="14">
        <v>195</v>
      </c>
      <c r="B199" s="15" t="s">
        <v>288</v>
      </c>
      <c r="C199" s="16">
        <f>'Медикаменты Июнь'!L193</f>
        <v>0</v>
      </c>
      <c r="D199" s="17"/>
      <c r="E199" s="14"/>
      <c r="F199" s="18"/>
      <c r="G199" s="19"/>
      <c r="H199" s="20"/>
      <c r="I199" s="21"/>
      <c r="J199" s="14"/>
      <c r="K199" s="14">
        <f t="shared" si="6"/>
        <v>0</v>
      </c>
      <c r="L199" s="16">
        <f t="shared" si="7"/>
        <v>0</v>
      </c>
      <c r="M199" s="22">
        <v>44105</v>
      </c>
      <c r="N199" s="44"/>
      <c r="O199" s="23" t="s">
        <v>16</v>
      </c>
      <c r="P199" s="24"/>
      <c r="Q199" s="28" t="s">
        <v>289</v>
      </c>
    </row>
    <row r="200" spans="1:17">
      <c r="A200" s="14">
        <v>196</v>
      </c>
      <c r="B200" s="15" t="s">
        <v>290</v>
      </c>
      <c r="C200" s="16">
        <f>'Медикаменты Июнь'!L194</f>
        <v>0</v>
      </c>
      <c r="D200" s="17"/>
      <c r="E200" s="14"/>
      <c r="F200" s="18"/>
      <c r="G200" s="19"/>
      <c r="H200" s="20"/>
      <c r="I200" s="21"/>
      <c r="J200" s="14"/>
      <c r="K200" s="14">
        <f t="shared" si="6"/>
        <v>0</v>
      </c>
      <c r="L200" s="16">
        <f t="shared" si="7"/>
        <v>0</v>
      </c>
      <c r="M200" s="22">
        <v>44317</v>
      </c>
      <c r="N200" s="44" t="s">
        <v>45</v>
      </c>
      <c r="O200" s="23" t="s">
        <v>16</v>
      </c>
      <c r="P200" s="24" t="s">
        <v>17</v>
      </c>
      <c r="Q200" s="28" t="s">
        <v>291</v>
      </c>
    </row>
    <row r="201" spans="1:17">
      <c r="A201" s="14">
        <v>197</v>
      </c>
      <c r="B201" s="15" t="s">
        <v>292</v>
      </c>
      <c r="C201" s="16">
        <f>'Медикаменты Июнь'!L195</f>
        <v>0</v>
      </c>
      <c r="D201" s="17"/>
      <c r="E201" s="14"/>
      <c r="F201" s="18"/>
      <c r="G201" s="19"/>
      <c r="H201" s="20"/>
      <c r="I201" s="21"/>
      <c r="J201" s="14"/>
      <c r="K201" s="14">
        <f t="shared" si="6"/>
        <v>0</v>
      </c>
      <c r="L201" s="16">
        <f t="shared" si="7"/>
        <v>0</v>
      </c>
      <c r="M201" s="22">
        <v>44197</v>
      </c>
      <c r="N201" s="44"/>
      <c r="O201" s="23" t="s">
        <v>16</v>
      </c>
      <c r="P201" s="24"/>
      <c r="Q201" s="28" t="s">
        <v>293</v>
      </c>
    </row>
    <row r="202" spans="1:17">
      <c r="A202" s="14">
        <v>198</v>
      </c>
      <c r="B202" s="15" t="s">
        <v>292</v>
      </c>
      <c r="C202" s="16">
        <f>'Медикаменты Июнь'!L196</f>
        <v>21</v>
      </c>
      <c r="D202" s="17"/>
      <c r="E202" s="14"/>
      <c r="F202" s="18"/>
      <c r="G202" s="19"/>
      <c r="H202" s="20"/>
      <c r="I202" s="21"/>
      <c r="J202" s="14"/>
      <c r="K202" s="14">
        <f t="shared" si="6"/>
        <v>0</v>
      </c>
      <c r="L202" s="16">
        <f t="shared" si="7"/>
        <v>21</v>
      </c>
      <c r="M202" s="22">
        <v>44713</v>
      </c>
      <c r="N202" s="44" t="s">
        <v>45</v>
      </c>
      <c r="O202" s="23" t="s">
        <v>16</v>
      </c>
      <c r="P202" s="24" t="s">
        <v>45</v>
      </c>
      <c r="Q202" s="28" t="s">
        <v>293</v>
      </c>
    </row>
    <row r="203" spans="1:17">
      <c r="A203" s="14">
        <v>199</v>
      </c>
      <c r="B203" s="15" t="s">
        <v>294</v>
      </c>
      <c r="C203" s="16">
        <f>'Медикаменты Июнь'!L197</f>
        <v>0</v>
      </c>
      <c r="D203" s="17"/>
      <c r="E203" s="14"/>
      <c r="F203" s="18"/>
      <c r="G203" s="19"/>
      <c r="H203" s="20"/>
      <c r="I203" s="21"/>
      <c r="J203" s="14"/>
      <c r="K203" s="14">
        <f t="shared" si="6"/>
        <v>0</v>
      </c>
      <c r="L203" s="16">
        <f t="shared" si="7"/>
        <v>0</v>
      </c>
      <c r="M203" s="22">
        <v>44409</v>
      </c>
      <c r="N203" s="44" t="s">
        <v>45</v>
      </c>
      <c r="O203" s="23" t="s">
        <v>16</v>
      </c>
      <c r="P203" s="24" t="s">
        <v>45</v>
      </c>
      <c r="Q203" s="28" t="s">
        <v>295</v>
      </c>
    </row>
    <row r="204" spans="1:17">
      <c r="A204" s="14">
        <v>200</v>
      </c>
      <c r="B204" s="15" t="s">
        <v>296</v>
      </c>
      <c r="C204" s="16">
        <f>'Медикаменты Июнь'!L198</f>
        <v>0</v>
      </c>
      <c r="D204" s="17"/>
      <c r="E204" s="14"/>
      <c r="F204" s="18"/>
      <c r="G204" s="19"/>
      <c r="H204" s="20"/>
      <c r="I204" s="21"/>
      <c r="J204" s="14"/>
      <c r="K204" s="14">
        <f t="shared" si="6"/>
        <v>0</v>
      </c>
      <c r="L204" s="16">
        <f t="shared" si="7"/>
        <v>0</v>
      </c>
      <c r="M204" s="22"/>
      <c r="N204" s="44"/>
      <c r="O204" s="23" t="s">
        <v>16</v>
      </c>
      <c r="P204" s="24"/>
      <c r="Q204" s="45"/>
    </row>
    <row r="205" spans="1:17">
      <c r="A205" s="14">
        <v>201</v>
      </c>
      <c r="B205" s="15" t="s">
        <v>297</v>
      </c>
      <c r="C205" s="16">
        <f>'Медикаменты Июнь'!L199</f>
        <v>0</v>
      </c>
      <c r="D205" s="17"/>
      <c r="E205" s="14"/>
      <c r="F205" s="18"/>
      <c r="G205" s="19"/>
      <c r="H205" s="20"/>
      <c r="I205" s="21"/>
      <c r="J205" s="14"/>
      <c r="K205" s="14">
        <f t="shared" si="6"/>
        <v>0</v>
      </c>
      <c r="L205" s="16">
        <f t="shared" si="7"/>
        <v>0</v>
      </c>
      <c r="M205" s="22"/>
      <c r="N205" s="44"/>
      <c r="O205" s="23" t="s">
        <v>16</v>
      </c>
      <c r="P205" s="24"/>
      <c r="Q205" s="45"/>
    </row>
    <row r="206" spans="1:17" ht="25.5">
      <c r="A206" s="14">
        <v>202</v>
      </c>
      <c r="B206" s="15" t="s">
        <v>298</v>
      </c>
      <c r="C206" s="16">
        <f>'Медикаменты Июнь'!L200</f>
        <v>0</v>
      </c>
      <c r="D206" s="17"/>
      <c r="E206" s="14"/>
      <c r="F206" s="18"/>
      <c r="G206" s="19"/>
      <c r="H206" s="20"/>
      <c r="I206" s="21"/>
      <c r="J206" s="14"/>
      <c r="K206" s="14">
        <f t="shared" si="6"/>
        <v>0</v>
      </c>
      <c r="L206" s="16">
        <f t="shared" si="7"/>
        <v>0</v>
      </c>
      <c r="M206" s="22">
        <v>44593</v>
      </c>
      <c r="N206" s="44"/>
      <c r="O206" s="23" t="s">
        <v>26</v>
      </c>
      <c r="P206" s="24"/>
      <c r="Q206" s="28"/>
    </row>
    <row r="207" spans="1:17">
      <c r="A207" s="14">
        <v>203</v>
      </c>
      <c r="B207" s="15" t="s">
        <v>299</v>
      </c>
      <c r="C207" s="16">
        <f>'Медикаменты Июнь'!L201</f>
        <v>0</v>
      </c>
      <c r="D207" s="17"/>
      <c r="E207" s="14"/>
      <c r="F207" s="18"/>
      <c r="G207" s="19"/>
      <c r="H207" s="20"/>
      <c r="I207" s="21"/>
      <c r="J207" s="14"/>
      <c r="K207" s="14">
        <f t="shared" si="6"/>
        <v>0</v>
      </c>
      <c r="L207" s="16">
        <f t="shared" si="7"/>
        <v>0</v>
      </c>
      <c r="M207" s="22">
        <v>44256</v>
      </c>
      <c r="N207" s="44"/>
      <c r="O207" s="23" t="s">
        <v>16</v>
      </c>
      <c r="P207" s="24"/>
      <c r="Q207" s="28" t="s">
        <v>300</v>
      </c>
    </row>
    <row r="208" spans="1:17">
      <c r="A208" s="14">
        <v>204</v>
      </c>
      <c r="B208" s="15" t="s">
        <v>301</v>
      </c>
      <c r="C208" s="16">
        <f>'Медикаменты Июнь'!L202</f>
        <v>0</v>
      </c>
      <c r="D208" s="17"/>
      <c r="E208" s="14"/>
      <c r="F208" s="18"/>
      <c r="G208" s="19"/>
      <c r="H208" s="20"/>
      <c r="I208" s="21"/>
      <c r="J208" s="14"/>
      <c r="K208" s="14">
        <f t="shared" si="6"/>
        <v>0</v>
      </c>
      <c r="L208" s="16">
        <f t="shared" si="7"/>
        <v>0</v>
      </c>
      <c r="M208" s="22"/>
      <c r="N208" s="44"/>
      <c r="O208" s="23" t="s">
        <v>16</v>
      </c>
      <c r="P208" s="24"/>
      <c r="Q208" s="45"/>
    </row>
    <row r="209" spans="1:17">
      <c r="A209" s="14">
        <v>205</v>
      </c>
      <c r="B209" s="15" t="s">
        <v>559</v>
      </c>
      <c r="C209" s="16">
        <f>'Медикаменты Июнь'!L203</f>
        <v>50</v>
      </c>
      <c r="D209" s="17"/>
      <c r="E209" s="14"/>
      <c r="F209" s="18">
        <f>10+5</f>
        <v>15</v>
      </c>
      <c r="G209" s="19">
        <f>20</f>
        <v>20</v>
      </c>
      <c r="H209" s="20"/>
      <c r="I209" s="21"/>
      <c r="J209" s="14"/>
      <c r="K209" s="14">
        <f t="shared" si="6"/>
        <v>35</v>
      </c>
      <c r="L209" s="16">
        <f t="shared" si="7"/>
        <v>15</v>
      </c>
      <c r="M209" s="22">
        <v>45352</v>
      </c>
      <c r="N209" s="44" t="s">
        <v>551</v>
      </c>
      <c r="O209" s="23" t="s">
        <v>16</v>
      </c>
      <c r="P209" s="24" t="s">
        <v>17</v>
      </c>
      <c r="Q209" s="28" t="s">
        <v>560</v>
      </c>
    </row>
    <row r="210" spans="1:17">
      <c r="A210" s="14">
        <v>206</v>
      </c>
      <c r="B210" s="15" t="s">
        <v>303</v>
      </c>
      <c r="C210" s="16">
        <f>'Медикаменты Июнь'!L204</f>
        <v>0</v>
      </c>
      <c r="D210" s="17"/>
      <c r="E210" s="14"/>
      <c r="F210" s="18"/>
      <c r="G210" s="19"/>
      <c r="H210" s="20"/>
      <c r="I210" s="21"/>
      <c r="J210" s="14"/>
      <c r="K210" s="14">
        <f t="shared" si="6"/>
        <v>0</v>
      </c>
      <c r="L210" s="16">
        <f t="shared" si="7"/>
        <v>0</v>
      </c>
      <c r="M210" s="22"/>
      <c r="N210" s="44"/>
      <c r="O210" s="23" t="s">
        <v>16</v>
      </c>
      <c r="P210" s="24"/>
      <c r="Q210" s="45"/>
    </row>
    <row r="211" spans="1:17">
      <c r="A211" s="14">
        <v>207</v>
      </c>
      <c r="B211" s="15" t="s">
        <v>304</v>
      </c>
      <c r="C211" s="16">
        <f>'Медикаменты Июнь'!L205</f>
        <v>0</v>
      </c>
      <c r="D211" s="17"/>
      <c r="E211" s="14"/>
      <c r="F211" s="18"/>
      <c r="G211" s="19"/>
      <c r="H211" s="20"/>
      <c r="I211" s="21"/>
      <c r="J211" s="14"/>
      <c r="K211" s="14">
        <f t="shared" si="6"/>
        <v>0</v>
      </c>
      <c r="L211" s="16">
        <f t="shared" si="7"/>
        <v>0</v>
      </c>
      <c r="M211" s="22">
        <v>45261</v>
      </c>
      <c r="N211" s="44"/>
      <c r="O211" s="23" t="s">
        <v>16</v>
      </c>
      <c r="P211" s="24"/>
      <c r="Q211" s="28" t="s">
        <v>305</v>
      </c>
    </row>
    <row r="212" spans="1:17">
      <c r="A212" s="14">
        <v>208</v>
      </c>
      <c r="B212" s="15" t="s">
        <v>304</v>
      </c>
      <c r="C212" s="16">
        <f>'Медикаменты Июнь'!L206</f>
        <v>160</v>
      </c>
      <c r="D212" s="17"/>
      <c r="E212" s="14"/>
      <c r="F212" s="18">
        <f>120+40</f>
        <v>160</v>
      </c>
      <c r="G212" s="19"/>
      <c r="H212" s="20"/>
      <c r="I212" s="21"/>
      <c r="J212" s="14"/>
      <c r="K212" s="14">
        <f t="shared" si="6"/>
        <v>160</v>
      </c>
      <c r="L212" s="16">
        <f t="shared" si="7"/>
        <v>0</v>
      </c>
      <c r="M212" s="22">
        <v>45413</v>
      </c>
      <c r="N212" s="44" t="s">
        <v>45</v>
      </c>
      <c r="O212" s="23" t="s">
        <v>26</v>
      </c>
      <c r="P212" s="24" t="s">
        <v>17</v>
      </c>
      <c r="Q212" s="28" t="s">
        <v>305</v>
      </c>
    </row>
    <row r="213" spans="1:17">
      <c r="A213" s="14">
        <v>209</v>
      </c>
      <c r="B213" s="15" t="s">
        <v>561</v>
      </c>
      <c r="C213" s="16">
        <f>'Медикаменты Июнь'!L207</f>
        <v>0</v>
      </c>
      <c r="D213" s="17"/>
      <c r="E213" s="14"/>
      <c r="F213" s="18"/>
      <c r="G213" s="19"/>
      <c r="H213" s="20"/>
      <c r="I213" s="21"/>
      <c r="J213" s="14"/>
      <c r="K213" s="14">
        <f t="shared" si="6"/>
        <v>0</v>
      </c>
      <c r="L213" s="16">
        <f t="shared" si="7"/>
        <v>0</v>
      </c>
      <c r="M213" s="22">
        <v>45689</v>
      </c>
      <c r="N213" s="44" t="s">
        <v>551</v>
      </c>
      <c r="O213" s="23" t="s">
        <v>26</v>
      </c>
      <c r="P213" s="24" t="s">
        <v>17</v>
      </c>
      <c r="Q213" s="28" t="s">
        <v>562</v>
      </c>
    </row>
    <row r="214" spans="1:17">
      <c r="A214" s="14">
        <v>210</v>
      </c>
      <c r="B214" s="15" t="s">
        <v>563</v>
      </c>
      <c r="C214" s="16">
        <f>'Медикаменты Июнь'!L208</f>
        <v>86</v>
      </c>
      <c r="D214" s="17"/>
      <c r="E214" s="14"/>
      <c r="F214" s="18">
        <f>4+6</f>
        <v>10</v>
      </c>
      <c r="G214" s="19"/>
      <c r="H214" s="20"/>
      <c r="I214" s="21"/>
      <c r="J214" s="14"/>
      <c r="K214" s="14">
        <f t="shared" si="6"/>
        <v>10</v>
      </c>
      <c r="L214" s="16">
        <f t="shared" si="7"/>
        <v>76</v>
      </c>
      <c r="M214" s="22">
        <v>46023</v>
      </c>
      <c r="N214" s="44" t="s">
        <v>551</v>
      </c>
      <c r="O214" s="23" t="s">
        <v>16</v>
      </c>
      <c r="P214" s="24" t="s">
        <v>17</v>
      </c>
      <c r="Q214" s="28" t="s">
        <v>564</v>
      </c>
    </row>
    <row r="215" spans="1:17">
      <c r="A215" s="14">
        <v>211</v>
      </c>
      <c r="B215" s="15" t="s">
        <v>306</v>
      </c>
      <c r="C215" s="16">
        <f>'Медикаменты Июнь'!L209</f>
        <v>0</v>
      </c>
      <c r="D215" s="17"/>
      <c r="E215" s="14"/>
      <c r="F215" s="18"/>
      <c r="G215" s="19"/>
      <c r="H215" s="20"/>
      <c r="I215" s="21"/>
      <c r="J215" s="14"/>
      <c r="K215" s="14">
        <f t="shared" si="6"/>
        <v>0</v>
      </c>
      <c r="L215" s="16">
        <f t="shared" si="7"/>
        <v>0</v>
      </c>
      <c r="M215" s="22"/>
      <c r="N215" s="44"/>
      <c r="O215" s="23" t="s">
        <v>16</v>
      </c>
      <c r="P215" s="24"/>
      <c r="Q215" s="45"/>
    </row>
    <row r="216" spans="1:17">
      <c r="A216" s="14">
        <v>212</v>
      </c>
      <c r="B216" s="15" t="s">
        <v>307</v>
      </c>
      <c r="C216" s="16">
        <f>'Медикаменты Июнь'!L210</f>
        <v>0</v>
      </c>
      <c r="D216" s="17"/>
      <c r="E216" s="14"/>
      <c r="F216" s="18"/>
      <c r="G216" s="19"/>
      <c r="H216" s="20"/>
      <c r="I216" s="21"/>
      <c r="J216" s="14"/>
      <c r="K216" s="14">
        <f t="shared" si="6"/>
        <v>0</v>
      </c>
      <c r="L216" s="16">
        <f t="shared" si="7"/>
        <v>0</v>
      </c>
      <c r="M216" s="22"/>
      <c r="N216" s="44"/>
      <c r="O216" s="23" t="s">
        <v>16</v>
      </c>
      <c r="P216" s="24"/>
      <c r="Q216" s="45"/>
    </row>
    <row r="217" spans="1:17">
      <c r="A217" s="14">
        <v>213</v>
      </c>
      <c r="B217" s="15" t="s">
        <v>308</v>
      </c>
      <c r="C217" s="16">
        <f>'Медикаменты Июнь'!L211</f>
        <v>57</v>
      </c>
      <c r="D217" s="17"/>
      <c r="E217" s="14"/>
      <c r="F217" s="18">
        <f>5</f>
        <v>5</v>
      </c>
      <c r="G217" s="19"/>
      <c r="H217" s="20"/>
      <c r="I217" s="21"/>
      <c r="J217" s="14"/>
      <c r="K217" s="14">
        <f t="shared" si="6"/>
        <v>5</v>
      </c>
      <c r="L217" s="16">
        <f t="shared" si="7"/>
        <v>52</v>
      </c>
      <c r="M217" s="22">
        <v>45200</v>
      </c>
      <c r="N217" s="44" t="s">
        <v>551</v>
      </c>
      <c r="O217" s="23" t="s">
        <v>16</v>
      </c>
      <c r="P217" s="24" t="s">
        <v>17</v>
      </c>
      <c r="Q217" s="28" t="s">
        <v>309</v>
      </c>
    </row>
    <row r="218" spans="1:17">
      <c r="A218" s="14">
        <v>214</v>
      </c>
      <c r="B218" s="15" t="s">
        <v>308</v>
      </c>
      <c r="C218" s="16">
        <f>'Медикаменты Июнь'!L212</f>
        <v>30</v>
      </c>
      <c r="D218" s="17"/>
      <c r="E218" s="14"/>
      <c r="F218" s="18"/>
      <c r="G218" s="19"/>
      <c r="H218" s="20"/>
      <c r="I218" s="21">
        <f>30</f>
        <v>30</v>
      </c>
      <c r="J218" s="14"/>
      <c r="K218" s="14">
        <f t="shared" si="6"/>
        <v>30</v>
      </c>
      <c r="L218" s="16">
        <f t="shared" si="7"/>
        <v>0</v>
      </c>
      <c r="M218" s="22">
        <v>45200</v>
      </c>
      <c r="N218" s="44" t="s">
        <v>551</v>
      </c>
      <c r="O218" s="23" t="s">
        <v>26</v>
      </c>
      <c r="P218" s="24" t="s">
        <v>17</v>
      </c>
      <c r="Q218" s="28" t="s">
        <v>309</v>
      </c>
    </row>
    <row r="219" spans="1:17">
      <c r="A219" s="14">
        <v>215</v>
      </c>
      <c r="B219" s="15" t="s">
        <v>310</v>
      </c>
      <c r="C219" s="16">
        <f>'Медикаменты Июнь'!L213</f>
        <v>15</v>
      </c>
      <c r="D219" s="17"/>
      <c r="E219" s="14"/>
      <c r="F219" s="18">
        <f>3+3</f>
        <v>6</v>
      </c>
      <c r="G219" s="19"/>
      <c r="H219" s="20"/>
      <c r="I219" s="21"/>
      <c r="J219" s="14"/>
      <c r="K219" s="14">
        <f t="shared" si="6"/>
        <v>6</v>
      </c>
      <c r="L219" s="16">
        <f t="shared" si="7"/>
        <v>9</v>
      </c>
      <c r="M219" s="22">
        <v>44652</v>
      </c>
      <c r="N219" s="44" t="s">
        <v>45</v>
      </c>
      <c r="O219" s="23" t="s">
        <v>16</v>
      </c>
      <c r="P219" s="24" t="s">
        <v>17</v>
      </c>
      <c r="Q219" s="28" t="s">
        <v>311</v>
      </c>
    </row>
    <row r="220" spans="1:17">
      <c r="A220" s="14">
        <v>216</v>
      </c>
      <c r="B220" s="15" t="s">
        <v>310</v>
      </c>
      <c r="C220" s="16">
        <f>'Медикаменты Июнь'!L214</f>
        <v>0</v>
      </c>
      <c r="D220" s="17"/>
      <c r="E220" s="14"/>
      <c r="F220" s="18"/>
      <c r="G220" s="19"/>
      <c r="H220" s="20"/>
      <c r="I220" s="21"/>
      <c r="J220" s="14"/>
      <c r="K220" s="14">
        <f t="shared" si="6"/>
        <v>0</v>
      </c>
      <c r="L220" s="16">
        <f t="shared" si="7"/>
        <v>0</v>
      </c>
      <c r="M220" s="22">
        <v>44652</v>
      </c>
      <c r="N220" s="44"/>
      <c r="O220" s="23" t="s">
        <v>26</v>
      </c>
      <c r="P220" s="24"/>
      <c r="Q220" s="28" t="s">
        <v>311</v>
      </c>
    </row>
    <row r="221" spans="1:17">
      <c r="A221" s="14">
        <v>217</v>
      </c>
      <c r="B221" s="15" t="s">
        <v>312</v>
      </c>
      <c r="C221" s="16">
        <f>'Медикаменты Июнь'!L215</f>
        <v>0</v>
      </c>
      <c r="D221" s="17"/>
      <c r="E221" s="14"/>
      <c r="F221" s="18"/>
      <c r="G221" s="19"/>
      <c r="H221" s="20"/>
      <c r="I221" s="21"/>
      <c r="J221" s="14"/>
      <c r="K221" s="14">
        <f t="shared" si="6"/>
        <v>0</v>
      </c>
      <c r="L221" s="16">
        <f t="shared" si="7"/>
        <v>0</v>
      </c>
      <c r="M221" s="22">
        <v>45658</v>
      </c>
      <c r="N221" s="44"/>
      <c r="O221" s="23" t="s">
        <v>16</v>
      </c>
      <c r="P221" s="24"/>
      <c r="Q221" s="28" t="s">
        <v>313</v>
      </c>
    </row>
    <row r="222" spans="1:17">
      <c r="A222" s="14">
        <v>218</v>
      </c>
      <c r="B222" s="15" t="s">
        <v>312</v>
      </c>
      <c r="C222" s="16">
        <f>'Медикаменты Июнь'!L216</f>
        <v>0</v>
      </c>
      <c r="D222" s="17"/>
      <c r="E222" s="14"/>
      <c r="F222" s="18"/>
      <c r="G222" s="19"/>
      <c r="H222" s="20"/>
      <c r="I222" s="21"/>
      <c r="J222" s="14"/>
      <c r="K222" s="14">
        <f t="shared" si="6"/>
        <v>0</v>
      </c>
      <c r="L222" s="16">
        <f t="shared" si="7"/>
        <v>0</v>
      </c>
      <c r="M222" s="22">
        <v>45658</v>
      </c>
      <c r="N222" s="44"/>
      <c r="O222" s="23" t="s">
        <v>26</v>
      </c>
      <c r="P222" s="24"/>
      <c r="Q222" s="28" t="s">
        <v>313</v>
      </c>
    </row>
    <row r="223" spans="1:17">
      <c r="A223" s="14">
        <v>219</v>
      </c>
      <c r="B223" s="15" t="s">
        <v>314</v>
      </c>
      <c r="C223" s="16">
        <f>'Медикаменты Июнь'!L217</f>
        <v>0</v>
      </c>
      <c r="D223" s="17"/>
      <c r="E223" s="14"/>
      <c r="F223" s="18"/>
      <c r="G223" s="19"/>
      <c r="H223" s="20"/>
      <c r="I223" s="21"/>
      <c r="J223" s="14"/>
      <c r="K223" s="14">
        <f t="shared" si="6"/>
        <v>0</v>
      </c>
      <c r="L223" s="16">
        <f t="shared" si="7"/>
        <v>0</v>
      </c>
      <c r="M223" s="22">
        <v>44562</v>
      </c>
      <c r="N223" s="44"/>
      <c r="O223" s="23" t="s">
        <v>16</v>
      </c>
      <c r="P223" s="24"/>
      <c r="Q223" s="28" t="s">
        <v>315</v>
      </c>
    </row>
    <row r="224" spans="1:17">
      <c r="A224" s="14">
        <v>220</v>
      </c>
      <c r="B224" s="15" t="s">
        <v>316</v>
      </c>
      <c r="C224" s="16">
        <f>'Медикаменты Июнь'!L218</f>
        <v>0</v>
      </c>
      <c r="D224" s="17"/>
      <c r="E224" s="14"/>
      <c r="F224" s="18"/>
      <c r="G224" s="19"/>
      <c r="H224" s="20"/>
      <c r="I224" s="21"/>
      <c r="J224" s="14"/>
      <c r="K224" s="14">
        <f t="shared" si="6"/>
        <v>0</v>
      </c>
      <c r="L224" s="16">
        <f t="shared" si="7"/>
        <v>0</v>
      </c>
      <c r="M224" s="22"/>
      <c r="N224" s="44"/>
      <c r="O224" s="23" t="s">
        <v>16</v>
      </c>
      <c r="P224" s="24"/>
      <c r="Q224" s="45"/>
    </row>
    <row r="225" spans="1:17">
      <c r="A225" s="14">
        <v>221</v>
      </c>
      <c r="B225" s="29" t="s">
        <v>317</v>
      </c>
      <c r="C225" s="16">
        <f>'Медикаменты Июнь'!L219</f>
        <v>0</v>
      </c>
      <c r="D225" s="17"/>
      <c r="E225" s="14"/>
      <c r="F225" s="18"/>
      <c r="G225" s="19"/>
      <c r="H225" s="20"/>
      <c r="I225" s="21"/>
      <c r="J225" s="14"/>
      <c r="K225" s="14">
        <f t="shared" si="6"/>
        <v>0</v>
      </c>
      <c r="L225" s="16">
        <f t="shared" si="7"/>
        <v>0</v>
      </c>
      <c r="M225" s="22"/>
      <c r="N225" s="44"/>
      <c r="O225" s="23" t="s">
        <v>16</v>
      </c>
      <c r="P225" s="24"/>
      <c r="Q225" s="45"/>
    </row>
    <row r="226" spans="1:17">
      <c r="A226" s="14">
        <v>222</v>
      </c>
      <c r="B226" s="29" t="s">
        <v>605</v>
      </c>
      <c r="C226" s="16">
        <f>'Медикаменты Июнь'!L220</f>
        <v>0</v>
      </c>
      <c r="D226" s="17"/>
      <c r="E226" s="14">
        <f>20</f>
        <v>20</v>
      </c>
      <c r="F226" s="18"/>
      <c r="G226" s="19"/>
      <c r="H226" s="20"/>
      <c r="I226" s="21"/>
      <c r="J226" s="14"/>
      <c r="K226" s="14">
        <f t="shared" si="6"/>
        <v>0</v>
      </c>
      <c r="L226" s="16">
        <f t="shared" si="7"/>
        <v>20</v>
      </c>
      <c r="M226" s="22">
        <v>44896</v>
      </c>
      <c r="N226" s="44" t="s">
        <v>551</v>
      </c>
      <c r="O226" s="23" t="s">
        <v>16</v>
      </c>
      <c r="P226" s="24" t="s">
        <v>17</v>
      </c>
      <c r="Q226" s="28" t="s">
        <v>606</v>
      </c>
    </row>
    <row r="227" spans="1:17">
      <c r="A227" s="14">
        <v>223</v>
      </c>
      <c r="B227" s="29" t="s">
        <v>319</v>
      </c>
      <c r="C227" s="16">
        <f>'Медикаменты Июнь'!L221</f>
        <v>0</v>
      </c>
      <c r="D227" s="17"/>
      <c r="E227" s="14"/>
      <c r="F227" s="18"/>
      <c r="G227" s="19"/>
      <c r="H227" s="20"/>
      <c r="I227" s="21"/>
      <c r="J227" s="14"/>
      <c r="K227" s="14">
        <f t="shared" si="6"/>
        <v>0</v>
      </c>
      <c r="L227" s="16">
        <f t="shared" si="7"/>
        <v>0</v>
      </c>
      <c r="M227" s="22"/>
      <c r="N227" s="44"/>
      <c r="O227" s="23" t="s">
        <v>16</v>
      </c>
      <c r="P227" s="24"/>
      <c r="Q227" s="45"/>
    </row>
    <row r="228" spans="1:17">
      <c r="A228" s="14">
        <v>224</v>
      </c>
      <c r="B228" s="29" t="s">
        <v>320</v>
      </c>
      <c r="C228" s="16">
        <f>'Медикаменты Июнь'!L222</f>
        <v>0</v>
      </c>
      <c r="D228" s="17"/>
      <c r="E228" s="14"/>
      <c r="F228" s="18"/>
      <c r="G228" s="19"/>
      <c r="H228" s="20"/>
      <c r="I228" s="21"/>
      <c r="J228" s="14"/>
      <c r="K228" s="14">
        <f t="shared" si="6"/>
        <v>0</v>
      </c>
      <c r="L228" s="16">
        <f t="shared" si="7"/>
        <v>0</v>
      </c>
      <c r="M228" s="22">
        <v>44652</v>
      </c>
      <c r="N228" s="44"/>
      <c r="O228" s="23" t="s">
        <v>16</v>
      </c>
      <c r="P228" s="24" t="s">
        <v>17</v>
      </c>
      <c r="Q228" s="28" t="s">
        <v>321</v>
      </c>
    </row>
    <row r="229" spans="1:17">
      <c r="A229" s="14">
        <v>225</v>
      </c>
      <c r="B229" s="29" t="s">
        <v>322</v>
      </c>
      <c r="C229" s="16">
        <f>'Медикаменты Июнь'!L223</f>
        <v>0</v>
      </c>
      <c r="D229" s="17"/>
      <c r="E229" s="14"/>
      <c r="F229" s="18"/>
      <c r="G229" s="19"/>
      <c r="H229" s="20"/>
      <c r="I229" s="21"/>
      <c r="J229" s="14"/>
      <c r="K229" s="14">
        <f t="shared" si="6"/>
        <v>0</v>
      </c>
      <c r="L229" s="16">
        <f t="shared" si="7"/>
        <v>0</v>
      </c>
      <c r="M229" s="22"/>
      <c r="N229" s="44"/>
      <c r="O229" s="23" t="s">
        <v>16</v>
      </c>
      <c r="P229" s="24"/>
      <c r="Q229" s="45"/>
    </row>
    <row r="230" spans="1:17">
      <c r="A230" s="14">
        <v>226</v>
      </c>
      <c r="B230" s="29" t="s">
        <v>323</v>
      </c>
      <c r="C230" s="16">
        <f>'Медикаменты Июнь'!L224</f>
        <v>0</v>
      </c>
      <c r="D230" s="17"/>
      <c r="E230" s="14"/>
      <c r="F230" s="18"/>
      <c r="G230" s="19"/>
      <c r="H230" s="20"/>
      <c r="I230" s="21"/>
      <c r="J230" s="14"/>
      <c r="K230" s="14">
        <f t="shared" si="6"/>
        <v>0</v>
      </c>
      <c r="L230" s="16">
        <f t="shared" si="7"/>
        <v>0</v>
      </c>
      <c r="M230" s="22"/>
      <c r="N230" s="44"/>
      <c r="O230" s="23" t="s">
        <v>16</v>
      </c>
      <c r="P230" s="24"/>
      <c r="Q230" s="45"/>
    </row>
    <row r="231" spans="1:17" ht="25.5">
      <c r="A231" s="14">
        <v>227</v>
      </c>
      <c r="B231" s="29" t="s">
        <v>607</v>
      </c>
      <c r="C231" s="16"/>
      <c r="D231" s="17"/>
      <c r="E231" s="14">
        <f>20</f>
        <v>20</v>
      </c>
      <c r="F231" s="18"/>
      <c r="G231" s="19"/>
      <c r="H231" s="20"/>
      <c r="I231" s="21"/>
      <c r="J231" s="14"/>
      <c r="K231" s="14">
        <f t="shared" si="6"/>
        <v>0</v>
      </c>
      <c r="L231" s="16">
        <f t="shared" si="7"/>
        <v>20</v>
      </c>
      <c r="M231" s="22">
        <v>44896</v>
      </c>
      <c r="N231" s="44" t="s">
        <v>551</v>
      </c>
      <c r="O231" s="23" t="s">
        <v>16</v>
      </c>
      <c r="P231" s="24" t="s">
        <v>17</v>
      </c>
      <c r="Q231" s="28" t="s">
        <v>608</v>
      </c>
    </row>
    <row r="232" spans="1:17">
      <c r="A232" s="14">
        <v>228</v>
      </c>
      <c r="B232" s="29" t="s">
        <v>555</v>
      </c>
      <c r="C232" s="16">
        <f>'Медикаменты Июнь'!L225</f>
        <v>11</v>
      </c>
      <c r="D232" s="17"/>
      <c r="E232" s="14"/>
      <c r="F232" s="18">
        <f>5+6</f>
        <v>11</v>
      </c>
      <c r="G232" s="19"/>
      <c r="H232" s="20"/>
      <c r="I232" s="21"/>
      <c r="J232" s="14"/>
      <c r="K232" s="14">
        <f t="shared" si="6"/>
        <v>11</v>
      </c>
      <c r="L232" s="16">
        <f t="shared" si="7"/>
        <v>0</v>
      </c>
      <c r="M232" s="22">
        <v>45017</v>
      </c>
      <c r="N232" s="44" t="s">
        <v>45</v>
      </c>
      <c r="O232" s="23" t="s">
        <v>16</v>
      </c>
      <c r="P232" s="24" t="s">
        <v>17</v>
      </c>
      <c r="Q232" s="28" t="s">
        <v>325</v>
      </c>
    </row>
    <row r="233" spans="1:17">
      <c r="A233" s="14">
        <v>229</v>
      </c>
      <c r="B233" s="29" t="s">
        <v>326</v>
      </c>
      <c r="C233" s="16">
        <f>'Медикаменты Июнь'!L226</f>
        <v>0</v>
      </c>
      <c r="D233" s="17"/>
      <c r="E233" s="14"/>
      <c r="F233" s="18"/>
      <c r="G233" s="19"/>
      <c r="H233" s="20"/>
      <c r="I233" s="21"/>
      <c r="J233" s="14"/>
      <c r="K233" s="14">
        <f t="shared" si="6"/>
        <v>0</v>
      </c>
      <c r="L233" s="16">
        <f t="shared" si="7"/>
        <v>0</v>
      </c>
      <c r="M233" s="22"/>
      <c r="N233" s="44"/>
      <c r="O233" s="23" t="s">
        <v>16</v>
      </c>
      <c r="P233" s="24"/>
      <c r="Q233" s="45"/>
    </row>
    <row r="234" spans="1:17">
      <c r="A234" s="14">
        <v>230</v>
      </c>
      <c r="B234" s="29" t="s">
        <v>327</v>
      </c>
      <c r="C234" s="16">
        <f>'Медикаменты Июнь'!L227</f>
        <v>0</v>
      </c>
      <c r="D234" s="17"/>
      <c r="E234" s="14"/>
      <c r="F234" s="18"/>
      <c r="G234" s="19"/>
      <c r="H234" s="20"/>
      <c r="I234" s="21"/>
      <c r="J234" s="14"/>
      <c r="K234" s="14">
        <f t="shared" si="6"/>
        <v>0</v>
      </c>
      <c r="L234" s="16">
        <f t="shared" si="7"/>
        <v>0</v>
      </c>
      <c r="M234" s="22">
        <v>44774</v>
      </c>
      <c r="N234" s="44" t="s">
        <v>45</v>
      </c>
      <c r="O234" s="23" t="s">
        <v>16</v>
      </c>
      <c r="P234" s="24" t="s">
        <v>17</v>
      </c>
      <c r="Q234" s="28" t="s">
        <v>328</v>
      </c>
    </row>
    <row r="235" spans="1:17">
      <c r="A235" s="14">
        <v>231</v>
      </c>
      <c r="B235" s="29" t="s">
        <v>327</v>
      </c>
      <c r="C235" s="16">
        <f>'Медикаменты Июнь'!L228</f>
        <v>0</v>
      </c>
      <c r="D235" s="17"/>
      <c r="E235" s="14"/>
      <c r="F235" s="18"/>
      <c r="G235" s="19"/>
      <c r="H235" s="20"/>
      <c r="I235" s="21"/>
      <c r="J235" s="14"/>
      <c r="K235" s="14">
        <f t="shared" si="6"/>
        <v>0</v>
      </c>
      <c r="L235" s="16">
        <f t="shared" si="7"/>
        <v>0</v>
      </c>
      <c r="M235" s="22">
        <v>44743</v>
      </c>
      <c r="N235" s="44"/>
      <c r="O235" s="23" t="s">
        <v>16</v>
      </c>
      <c r="P235" s="24" t="s">
        <v>17</v>
      </c>
      <c r="Q235" s="28" t="s">
        <v>328</v>
      </c>
    </row>
    <row r="236" spans="1:17">
      <c r="A236" s="14">
        <v>232</v>
      </c>
      <c r="B236" s="29" t="s">
        <v>327</v>
      </c>
      <c r="C236" s="16">
        <f>'Медикаменты Июнь'!L229</f>
        <v>25</v>
      </c>
      <c r="D236" s="17"/>
      <c r="E236" s="14"/>
      <c r="F236" s="18"/>
      <c r="G236" s="19"/>
      <c r="H236" s="20"/>
      <c r="I236" s="21">
        <f>25</f>
        <v>25</v>
      </c>
      <c r="J236" s="14"/>
      <c r="K236" s="14">
        <f t="shared" si="6"/>
        <v>25</v>
      </c>
      <c r="L236" s="16">
        <f t="shared" si="7"/>
        <v>0</v>
      </c>
      <c r="M236" s="22">
        <v>44774</v>
      </c>
      <c r="N236" s="44" t="s">
        <v>45</v>
      </c>
      <c r="O236" s="23" t="s">
        <v>26</v>
      </c>
      <c r="P236" s="24" t="s">
        <v>17</v>
      </c>
      <c r="Q236" s="28" t="s">
        <v>328</v>
      </c>
    </row>
    <row r="237" spans="1:17">
      <c r="A237" s="14">
        <v>233</v>
      </c>
      <c r="B237" s="29" t="s">
        <v>329</v>
      </c>
      <c r="C237" s="16">
        <f>'Медикаменты Июнь'!L230</f>
        <v>0</v>
      </c>
      <c r="D237" s="17"/>
      <c r="E237" s="14"/>
      <c r="F237" s="18"/>
      <c r="G237" s="19"/>
      <c r="H237" s="20"/>
      <c r="I237" s="21"/>
      <c r="J237" s="14"/>
      <c r="K237" s="14">
        <f t="shared" si="6"/>
        <v>0</v>
      </c>
      <c r="L237" s="16">
        <f t="shared" si="7"/>
        <v>0</v>
      </c>
      <c r="M237" s="22">
        <v>44713</v>
      </c>
      <c r="N237" s="44"/>
      <c r="O237" s="23" t="s">
        <v>16</v>
      </c>
      <c r="P237" s="24"/>
      <c r="Q237" s="28" t="s">
        <v>330</v>
      </c>
    </row>
    <row r="238" spans="1:17">
      <c r="A238" s="14">
        <v>234</v>
      </c>
      <c r="B238" s="29" t="s">
        <v>331</v>
      </c>
      <c r="C238" s="16">
        <f>'Медикаменты Июнь'!L231</f>
        <v>0</v>
      </c>
      <c r="D238" s="17"/>
      <c r="E238" s="14"/>
      <c r="F238" s="18"/>
      <c r="G238" s="19"/>
      <c r="H238" s="20"/>
      <c r="I238" s="21"/>
      <c r="J238" s="14"/>
      <c r="K238" s="14">
        <f t="shared" si="6"/>
        <v>0</v>
      </c>
      <c r="L238" s="16">
        <f t="shared" si="7"/>
        <v>0</v>
      </c>
      <c r="M238" s="22">
        <v>44317</v>
      </c>
      <c r="N238" s="44"/>
      <c r="O238" s="23" t="s">
        <v>16</v>
      </c>
      <c r="P238" s="24" t="s">
        <v>45</v>
      </c>
      <c r="Q238" s="28" t="s">
        <v>332</v>
      </c>
    </row>
    <row r="239" spans="1:17">
      <c r="A239" s="14">
        <v>235</v>
      </c>
      <c r="B239" s="29" t="s">
        <v>333</v>
      </c>
      <c r="C239" s="16">
        <f>'Медикаменты Июнь'!L232</f>
        <v>0</v>
      </c>
      <c r="D239" s="17"/>
      <c r="E239" s="14"/>
      <c r="F239" s="18"/>
      <c r="G239" s="19"/>
      <c r="H239" s="20"/>
      <c r="I239" s="21"/>
      <c r="J239" s="14"/>
      <c r="K239" s="14">
        <f t="shared" si="6"/>
        <v>0</v>
      </c>
      <c r="L239" s="16">
        <f t="shared" si="7"/>
        <v>0</v>
      </c>
      <c r="M239" s="22">
        <v>44348</v>
      </c>
      <c r="N239" s="44"/>
      <c r="O239" s="23" t="s">
        <v>16</v>
      </c>
      <c r="P239" s="24"/>
      <c r="Q239" s="28" t="s">
        <v>334</v>
      </c>
    </row>
    <row r="240" spans="1:17">
      <c r="A240" s="14">
        <v>236</v>
      </c>
      <c r="B240" s="29" t="s">
        <v>335</v>
      </c>
      <c r="C240" s="16">
        <f>'Медикаменты Июнь'!L233</f>
        <v>0</v>
      </c>
      <c r="D240" s="17"/>
      <c r="E240" s="14"/>
      <c r="F240" s="18"/>
      <c r="G240" s="19"/>
      <c r="H240" s="20"/>
      <c r="I240" s="21"/>
      <c r="J240" s="14"/>
      <c r="K240" s="14">
        <f t="shared" si="6"/>
        <v>0</v>
      </c>
      <c r="L240" s="16">
        <f t="shared" si="7"/>
        <v>0</v>
      </c>
      <c r="M240" s="22">
        <v>44348</v>
      </c>
      <c r="N240" s="44"/>
      <c r="O240" s="23" t="s">
        <v>16</v>
      </c>
      <c r="P240" s="24"/>
      <c r="Q240" s="45"/>
    </row>
    <row r="241" spans="1:17">
      <c r="A241" s="14">
        <v>237</v>
      </c>
      <c r="B241" s="29" t="s">
        <v>336</v>
      </c>
      <c r="C241" s="16">
        <f>'Медикаменты Июнь'!L234</f>
        <v>100</v>
      </c>
      <c r="D241" s="17"/>
      <c r="E241" s="14"/>
      <c r="F241" s="18">
        <f>15+5+20</f>
        <v>40</v>
      </c>
      <c r="G241" s="19"/>
      <c r="H241" s="20"/>
      <c r="I241" s="21"/>
      <c r="J241" s="14"/>
      <c r="K241" s="14">
        <f t="shared" si="6"/>
        <v>40</v>
      </c>
      <c r="L241" s="16">
        <f t="shared" si="7"/>
        <v>60</v>
      </c>
      <c r="M241" s="22">
        <v>45413</v>
      </c>
      <c r="N241" s="44" t="s">
        <v>45</v>
      </c>
      <c r="O241" s="23" t="s">
        <v>16</v>
      </c>
      <c r="P241" s="24" t="s">
        <v>17</v>
      </c>
      <c r="Q241" s="28" t="s">
        <v>337</v>
      </c>
    </row>
    <row r="242" spans="1:17">
      <c r="A242" s="14">
        <v>238</v>
      </c>
      <c r="B242" s="29" t="s">
        <v>338</v>
      </c>
      <c r="C242" s="16">
        <f>'Медикаменты Июнь'!L235</f>
        <v>0</v>
      </c>
      <c r="D242" s="17"/>
      <c r="E242" s="14"/>
      <c r="F242" s="18"/>
      <c r="G242" s="19"/>
      <c r="H242" s="20"/>
      <c r="I242" s="21"/>
      <c r="J242" s="14"/>
      <c r="K242" s="14">
        <f t="shared" si="6"/>
        <v>0</v>
      </c>
      <c r="L242" s="16">
        <f t="shared" si="7"/>
        <v>0</v>
      </c>
      <c r="M242" s="22">
        <v>44562</v>
      </c>
      <c r="N242" s="44"/>
      <c r="O242" s="23" t="s">
        <v>16</v>
      </c>
      <c r="P242" s="24"/>
      <c r="Q242" s="28" t="s">
        <v>339</v>
      </c>
    </row>
    <row r="243" spans="1:17">
      <c r="A243" s="14">
        <v>239</v>
      </c>
      <c r="B243" s="29" t="s">
        <v>340</v>
      </c>
      <c r="C243" s="16">
        <f>'Медикаменты Июнь'!L236</f>
        <v>0</v>
      </c>
      <c r="D243" s="17"/>
      <c r="E243" s="14"/>
      <c r="F243" s="18"/>
      <c r="G243" s="19"/>
      <c r="H243" s="20"/>
      <c r="I243" s="21"/>
      <c r="J243" s="14"/>
      <c r="K243" s="14">
        <f t="shared" si="6"/>
        <v>0</v>
      </c>
      <c r="L243" s="16">
        <f t="shared" si="7"/>
        <v>0</v>
      </c>
      <c r="M243" s="22"/>
      <c r="N243" s="44"/>
      <c r="O243" s="23" t="s">
        <v>16</v>
      </c>
      <c r="P243" s="24"/>
      <c r="Q243" s="45"/>
    </row>
    <row r="244" spans="1:17">
      <c r="A244" s="14">
        <v>240</v>
      </c>
      <c r="B244" s="29" t="s">
        <v>341</v>
      </c>
      <c r="C244" s="16">
        <f>'Медикаменты Июнь'!L237</f>
        <v>47</v>
      </c>
      <c r="D244" s="17"/>
      <c r="E244" s="14"/>
      <c r="F244" s="18">
        <f>5</f>
        <v>5</v>
      </c>
      <c r="G244" s="19"/>
      <c r="H244" s="20"/>
      <c r="I244" s="21"/>
      <c r="J244" s="14"/>
      <c r="K244" s="14">
        <f t="shared" si="6"/>
        <v>5</v>
      </c>
      <c r="L244" s="16">
        <f t="shared" si="7"/>
        <v>42</v>
      </c>
      <c r="M244" s="22">
        <v>45108</v>
      </c>
      <c r="N244" s="44" t="s">
        <v>45</v>
      </c>
      <c r="O244" s="23" t="s">
        <v>16</v>
      </c>
      <c r="P244" s="24" t="s">
        <v>17</v>
      </c>
      <c r="Q244" s="28" t="s">
        <v>342</v>
      </c>
    </row>
    <row r="245" spans="1:17">
      <c r="A245" s="14">
        <v>241</v>
      </c>
      <c r="B245" s="29" t="s">
        <v>343</v>
      </c>
      <c r="C245" s="16">
        <f>'Медикаменты Июнь'!L238</f>
        <v>0</v>
      </c>
      <c r="D245" s="17"/>
      <c r="E245" s="14">
        <f>200</f>
        <v>200</v>
      </c>
      <c r="F245" s="18"/>
      <c r="G245" s="19"/>
      <c r="H245" s="20"/>
      <c r="I245" s="21"/>
      <c r="J245" s="14"/>
      <c r="K245" s="14">
        <f t="shared" si="6"/>
        <v>0</v>
      </c>
      <c r="L245" s="16">
        <f t="shared" si="7"/>
        <v>200</v>
      </c>
      <c r="M245" s="22">
        <v>45047</v>
      </c>
      <c r="N245" s="44" t="s">
        <v>551</v>
      </c>
      <c r="O245" s="23" t="s">
        <v>16</v>
      </c>
      <c r="P245" s="24" t="s">
        <v>17</v>
      </c>
      <c r="Q245" s="28" t="s">
        <v>344</v>
      </c>
    </row>
    <row r="246" spans="1:17">
      <c r="A246" s="14">
        <v>242</v>
      </c>
      <c r="B246" s="29" t="s">
        <v>343</v>
      </c>
      <c r="C246" s="16">
        <f>'Медикаменты Июнь'!L239</f>
        <v>0</v>
      </c>
      <c r="D246" s="17"/>
      <c r="E246" s="14"/>
      <c r="F246" s="18"/>
      <c r="G246" s="19"/>
      <c r="H246" s="20"/>
      <c r="I246" s="21"/>
      <c r="J246" s="14"/>
      <c r="K246" s="14">
        <f t="shared" si="6"/>
        <v>0</v>
      </c>
      <c r="L246" s="16">
        <f t="shared" si="7"/>
        <v>0</v>
      </c>
      <c r="M246" s="22">
        <v>44835</v>
      </c>
      <c r="N246" s="44"/>
      <c r="O246" s="23" t="s">
        <v>26</v>
      </c>
      <c r="P246" s="24"/>
      <c r="Q246" s="28" t="s">
        <v>344</v>
      </c>
    </row>
    <row r="247" spans="1:17">
      <c r="A247" s="14">
        <v>243</v>
      </c>
      <c r="B247" s="29" t="s">
        <v>345</v>
      </c>
      <c r="C247" s="16">
        <f>'Медикаменты Июнь'!L240</f>
        <v>75</v>
      </c>
      <c r="D247" s="17"/>
      <c r="E247" s="14"/>
      <c r="F247" s="18">
        <f>10+5+10+5</f>
        <v>30</v>
      </c>
      <c r="G247" s="19"/>
      <c r="H247" s="20"/>
      <c r="I247" s="21"/>
      <c r="J247" s="14"/>
      <c r="K247" s="14">
        <f t="shared" si="6"/>
        <v>30</v>
      </c>
      <c r="L247" s="16">
        <f t="shared" si="7"/>
        <v>45</v>
      </c>
      <c r="M247" s="22">
        <v>45017</v>
      </c>
      <c r="N247" s="44" t="s">
        <v>45</v>
      </c>
      <c r="O247" s="23" t="s">
        <v>16</v>
      </c>
      <c r="P247" s="24" t="s">
        <v>45</v>
      </c>
      <c r="Q247" s="28" t="s">
        <v>346</v>
      </c>
    </row>
    <row r="248" spans="1:17">
      <c r="A248" s="14">
        <v>244</v>
      </c>
      <c r="B248" s="29" t="s">
        <v>347</v>
      </c>
      <c r="C248" s="16">
        <f>'Медикаменты Июнь'!L241</f>
        <v>100</v>
      </c>
      <c r="D248" s="17"/>
      <c r="E248" s="14"/>
      <c r="F248" s="18">
        <f>5+5+5</f>
        <v>15</v>
      </c>
      <c r="G248" s="19"/>
      <c r="H248" s="20"/>
      <c r="I248" s="21"/>
      <c r="J248" s="14"/>
      <c r="K248" s="14">
        <f t="shared" si="6"/>
        <v>15</v>
      </c>
      <c r="L248" s="16">
        <f t="shared" si="7"/>
        <v>85</v>
      </c>
      <c r="M248" s="22">
        <v>45323</v>
      </c>
      <c r="N248" s="44" t="s">
        <v>551</v>
      </c>
      <c r="O248" s="23" t="s">
        <v>16</v>
      </c>
      <c r="P248" s="24" t="s">
        <v>45</v>
      </c>
      <c r="Q248" s="28" t="s">
        <v>348</v>
      </c>
    </row>
    <row r="249" spans="1:17">
      <c r="A249" s="14">
        <v>245</v>
      </c>
      <c r="B249" s="29" t="s">
        <v>349</v>
      </c>
      <c r="C249" s="16">
        <f>'Медикаменты Июнь'!L242</f>
        <v>0</v>
      </c>
      <c r="D249" s="17"/>
      <c r="E249" s="14"/>
      <c r="F249" s="18"/>
      <c r="G249" s="19"/>
      <c r="H249" s="20"/>
      <c r="I249" s="21"/>
      <c r="J249" s="14"/>
      <c r="K249" s="14">
        <f t="shared" si="6"/>
        <v>0</v>
      </c>
      <c r="L249" s="16">
        <f t="shared" si="7"/>
        <v>0</v>
      </c>
      <c r="M249" s="22"/>
      <c r="N249" s="44"/>
      <c r="O249" s="23" t="s">
        <v>16</v>
      </c>
      <c r="P249" s="24"/>
      <c r="Q249" s="45"/>
    </row>
    <row r="250" spans="1:17">
      <c r="A250" s="14">
        <v>246</v>
      </c>
      <c r="B250" s="29" t="s">
        <v>350</v>
      </c>
      <c r="C250" s="16">
        <f>'Медикаменты Июнь'!L243</f>
        <v>0</v>
      </c>
      <c r="D250" s="17"/>
      <c r="E250" s="14"/>
      <c r="F250" s="18"/>
      <c r="G250" s="19"/>
      <c r="H250" s="20"/>
      <c r="I250" s="21"/>
      <c r="J250" s="14"/>
      <c r="K250" s="14">
        <f t="shared" si="6"/>
        <v>0</v>
      </c>
      <c r="L250" s="16">
        <f t="shared" si="7"/>
        <v>0</v>
      </c>
      <c r="M250" s="22"/>
      <c r="N250" s="44"/>
      <c r="O250" s="23" t="s">
        <v>16</v>
      </c>
      <c r="P250" s="24"/>
      <c r="Q250" s="45"/>
    </row>
    <row r="251" spans="1:17">
      <c r="A251" s="14">
        <v>247</v>
      </c>
      <c r="B251" s="29" t="s">
        <v>609</v>
      </c>
      <c r="C251" s="16">
        <f>'Медикаменты Июнь'!L244</f>
        <v>0</v>
      </c>
      <c r="D251" s="17"/>
      <c r="E251" s="14">
        <f>100</f>
        <v>100</v>
      </c>
      <c r="F251" s="18"/>
      <c r="G251" s="19"/>
      <c r="H251" s="20"/>
      <c r="I251" s="21"/>
      <c r="J251" s="14"/>
      <c r="K251" s="14">
        <f t="shared" si="6"/>
        <v>0</v>
      </c>
      <c r="L251" s="16">
        <f t="shared" si="7"/>
        <v>100</v>
      </c>
      <c r="M251" s="22">
        <v>45474</v>
      </c>
      <c r="N251" s="44" t="s">
        <v>551</v>
      </c>
      <c r="O251" s="23" t="s">
        <v>16</v>
      </c>
      <c r="P251" s="24" t="s">
        <v>17</v>
      </c>
      <c r="Q251" s="28" t="s">
        <v>352</v>
      </c>
    </row>
    <row r="252" spans="1:17">
      <c r="A252" s="14">
        <v>248</v>
      </c>
      <c r="B252" s="29" t="s">
        <v>353</v>
      </c>
      <c r="C252" s="16">
        <f>'Медикаменты Июнь'!L245</f>
        <v>263</v>
      </c>
      <c r="D252" s="17"/>
      <c r="E252" s="14"/>
      <c r="F252" s="18">
        <f>10+5+10</f>
        <v>25</v>
      </c>
      <c r="G252" s="19"/>
      <c r="H252" s="20"/>
      <c r="I252" s="21"/>
      <c r="J252" s="14"/>
      <c r="K252" s="14">
        <f t="shared" si="6"/>
        <v>25</v>
      </c>
      <c r="L252" s="16">
        <f t="shared" si="7"/>
        <v>238</v>
      </c>
      <c r="M252" s="22">
        <v>44652</v>
      </c>
      <c r="N252" s="44" t="s">
        <v>45</v>
      </c>
      <c r="O252" s="23" t="s">
        <v>16</v>
      </c>
      <c r="P252" s="24" t="s">
        <v>17</v>
      </c>
      <c r="Q252" s="28" t="s">
        <v>354</v>
      </c>
    </row>
    <row r="253" spans="1:17">
      <c r="A253" s="14">
        <v>249</v>
      </c>
      <c r="B253" s="29" t="s">
        <v>355</v>
      </c>
      <c r="C253" s="16">
        <f>'Медикаменты Июнь'!L246</f>
        <v>8</v>
      </c>
      <c r="D253" s="17"/>
      <c r="E253" s="14"/>
      <c r="F253" s="18"/>
      <c r="G253" s="19"/>
      <c r="H253" s="20"/>
      <c r="I253" s="21"/>
      <c r="J253" s="14"/>
      <c r="K253" s="14">
        <f t="shared" si="6"/>
        <v>0</v>
      </c>
      <c r="L253" s="16">
        <f t="shared" si="7"/>
        <v>8</v>
      </c>
      <c r="M253" s="22">
        <v>44713</v>
      </c>
      <c r="N253" s="44" t="s">
        <v>45</v>
      </c>
      <c r="O253" s="23" t="s">
        <v>16</v>
      </c>
      <c r="P253" s="24" t="s">
        <v>17</v>
      </c>
      <c r="Q253" s="28" t="s">
        <v>356</v>
      </c>
    </row>
    <row r="254" spans="1:17">
      <c r="A254" s="14">
        <v>250</v>
      </c>
      <c r="B254" s="29" t="s">
        <v>357</v>
      </c>
      <c r="C254" s="16">
        <f>'Медикаменты Июнь'!L247</f>
        <v>0</v>
      </c>
      <c r="D254" s="17"/>
      <c r="E254" s="14"/>
      <c r="F254" s="18"/>
      <c r="G254" s="19"/>
      <c r="H254" s="20"/>
      <c r="I254" s="21"/>
      <c r="J254" s="14"/>
      <c r="K254" s="14">
        <f t="shared" si="6"/>
        <v>0</v>
      </c>
      <c r="L254" s="16">
        <f t="shared" si="7"/>
        <v>0</v>
      </c>
      <c r="M254" s="22"/>
      <c r="N254" s="44"/>
      <c r="O254" s="23" t="s">
        <v>16</v>
      </c>
      <c r="P254" s="24"/>
      <c r="Q254" s="45"/>
    </row>
    <row r="255" spans="1:17">
      <c r="A255" s="14">
        <v>251</v>
      </c>
      <c r="B255" s="29" t="s">
        <v>358</v>
      </c>
      <c r="C255" s="16">
        <f>'Медикаменты Июнь'!L248</f>
        <v>0</v>
      </c>
      <c r="D255" s="17"/>
      <c r="E255" s="14"/>
      <c r="F255" s="18"/>
      <c r="G255" s="19"/>
      <c r="H255" s="20"/>
      <c r="I255" s="21"/>
      <c r="J255" s="14"/>
      <c r="K255" s="14">
        <f t="shared" si="6"/>
        <v>0</v>
      </c>
      <c r="L255" s="16">
        <f t="shared" si="7"/>
        <v>0</v>
      </c>
      <c r="M255" s="22">
        <v>44562</v>
      </c>
      <c r="N255" s="44"/>
      <c r="O255" s="23" t="s">
        <v>26</v>
      </c>
      <c r="P255" s="24"/>
      <c r="Q255" s="28" t="s">
        <v>359</v>
      </c>
    </row>
    <row r="256" spans="1:17">
      <c r="A256" s="14">
        <v>252</v>
      </c>
      <c r="B256" s="29" t="s">
        <v>360</v>
      </c>
      <c r="C256" s="16">
        <f>'Медикаменты Июнь'!L249</f>
        <v>0</v>
      </c>
      <c r="D256" s="17"/>
      <c r="E256" s="14"/>
      <c r="F256" s="18"/>
      <c r="G256" s="19"/>
      <c r="H256" s="20"/>
      <c r="I256" s="21"/>
      <c r="J256" s="14"/>
      <c r="K256" s="14">
        <f t="shared" si="6"/>
        <v>0</v>
      </c>
      <c r="L256" s="16">
        <f t="shared" si="7"/>
        <v>0</v>
      </c>
      <c r="M256" s="22"/>
      <c r="N256" s="44"/>
      <c r="O256" s="23" t="s">
        <v>16</v>
      </c>
      <c r="P256" s="24"/>
      <c r="Q256" s="45"/>
    </row>
    <row r="257" spans="1:17">
      <c r="A257" s="14">
        <v>253</v>
      </c>
      <c r="B257" s="29" t="s">
        <v>361</v>
      </c>
      <c r="C257" s="16">
        <f>'Медикаменты Июнь'!L250</f>
        <v>0</v>
      </c>
      <c r="D257" s="17"/>
      <c r="E257" s="14"/>
      <c r="F257" s="18"/>
      <c r="G257" s="19"/>
      <c r="H257" s="20"/>
      <c r="I257" s="21"/>
      <c r="J257" s="14"/>
      <c r="K257" s="14">
        <f t="shared" si="6"/>
        <v>0</v>
      </c>
      <c r="L257" s="16">
        <f t="shared" si="7"/>
        <v>0</v>
      </c>
      <c r="M257" s="22"/>
      <c r="N257" s="44"/>
      <c r="O257" s="23" t="s">
        <v>16</v>
      </c>
      <c r="P257" s="24"/>
      <c r="Q257" s="45"/>
    </row>
    <row r="258" spans="1:17">
      <c r="A258" s="14">
        <v>254</v>
      </c>
      <c r="B258" s="29" t="s">
        <v>362</v>
      </c>
      <c r="C258" s="16">
        <f>'Медикаменты Июнь'!L251</f>
        <v>0</v>
      </c>
      <c r="D258" s="17"/>
      <c r="E258" s="14"/>
      <c r="F258" s="18"/>
      <c r="G258" s="19"/>
      <c r="H258" s="20"/>
      <c r="I258" s="21"/>
      <c r="J258" s="14"/>
      <c r="K258" s="14">
        <f t="shared" si="6"/>
        <v>0</v>
      </c>
      <c r="L258" s="16">
        <f t="shared" si="7"/>
        <v>0</v>
      </c>
      <c r="M258" s="22">
        <v>45200</v>
      </c>
      <c r="N258" s="44"/>
      <c r="O258" s="23" t="s">
        <v>16</v>
      </c>
      <c r="P258" s="24"/>
      <c r="Q258" s="28" t="s">
        <v>363</v>
      </c>
    </row>
    <row r="259" spans="1:17">
      <c r="A259" s="14">
        <v>255</v>
      </c>
      <c r="B259" s="29" t="s">
        <v>364</v>
      </c>
      <c r="C259" s="16">
        <f>'Медикаменты Июнь'!L252</f>
        <v>0</v>
      </c>
      <c r="D259" s="17"/>
      <c r="E259" s="14"/>
      <c r="F259" s="18"/>
      <c r="G259" s="19"/>
      <c r="H259" s="20"/>
      <c r="I259" s="21"/>
      <c r="J259" s="14"/>
      <c r="K259" s="14">
        <f t="shared" si="6"/>
        <v>0</v>
      </c>
      <c r="L259" s="16">
        <f t="shared" si="7"/>
        <v>0</v>
      </c>
      <c r="M259" s="22">
        <v>44378</v>
      </c>
      <c r="N259" s="44"/>
      <c r="O259" s="23" t="s">
        <v>26</v>
      </c>
      <c r="P259" s="24"/>
      <c r="Q259" s="45"/>
    </row>
    <row r="260" spans="1:17">
      <c r="A260" s="14">
        <v>256</v>
      </c>
      <c r="B260" s="29" t="s">
        <v>365</v>
      </c>
      <c r="C260" s="16">
        <f>'Медикаменты Июнь'!L253</f>
        <v>0</v>
      </c>
      <c r="D260" s="17"/>
      <c r="E260" s="14"/>
      <c r="F260" s="18"/>
      <c r="G260" s="19"/>
      <c r="H260" s="20"/>
      <c r="I260" s="21"/>
      <c r="J260" s="14"/>
      <c r="K260" s="14">
        <f t="shared" si="6"/>
        <v>0</v>
      </c>
      <c r="L260" s="16">
        <f t="shared" si="7"/>
        <v>0</v>
      </c>
      <c r="M260" s="22"/>
      <c r="N260" s="44"/>
      <c r="O260" s="23" t="s">
        <v>16</v>
      </c>
      <c r="P260" s="24"/>
      <c r="Q260" s="45"/>
    </row>
    <row r="261" spans="1:17">
      <c r="A261" s="14">
        <v>257</v>
      </c>
      <c r="B261" s="29" t="s">
        <v>556</v>
      </c>
      <c r="C261" s="16">
        <f>'Медикаменты Июнь'!L254</f>
        <v>7</v>
      </c>
      <c r="D261" s="17"/>
      <c r="E261" s="14"/>
      <c r="F261" s="18">
        <f>1</f>
        <v>1</v>
      </c>
      <c r="G261" s="19"/>
      <c r="H261" s="20"/>
      <c r="I261" s="21"/>
      <c r="J261" s="14"/>
      <c r="K261" s="14">
        <f t="shared" ref="K261:K324" si="8">SUM(F261:J261)</f>
        <v>1</v>
      </c>
      <c r="L261" s="16">
        <f t="shared" ref="L261:L324" si="9">(C261+E261)-K261</f>
        <v>6</v>
      </c>
      <c r="M261" s="22">
        <v>45231</v>
      </c>
      <c r="N261" s="44" t="s">
        <v>551</v>
      </c>
      <c r="O261" s="23" t="s">
        <v>16</v>
      </c>
      <c r="P261" s="24" t="s">
        <v>17</v>
      </c>
      <c r="Q261" s="28" t="s">
        <v>557</v>
      </c>
    </row>
    <row r="262" spans="1:17">
      <c r="A262" s="14">
        <v>258</v>
      </c>
      <c r="B262" s="29" t="s">
        <v>556</v>
      </c>
      <c r="C262" s="16">
        <f>'Медикаменты Июнь'!L255</f>
        <v>0</v>
      </c>
      <c r="D262" s="17"/>
      <c r="E262" s="14"/>
      <c r="F262" s="18"/>
      <c r="G262" s="19"/>
      <c r="H262" s="20"/>
      <c r="I262" s="21"/>
      <c r="J262" s="14"/>
      <c r="K262" s="14">
        <f t="shared" si="8"/>
        <v>0</v>
      </c>
      <c r="L262" s="16">
        <f t="shared" si="9"/>
        <v>0</v>
      </c>
      <c r="M262" s="22">
        <v>45231</v>
      </c>
      <c r="N262" s="44" t="s">
        <v>551</v>
      </c>
      <c r="O262" s="23" t="s">
        <v>26</v>
      </c>
      <c r="P262" s="24" t="s">
        <v>17</v>
      </c>
      <c r="Q262" s="28" t="s">
        <v>557</v>
      </c>
    </row>
    <row r="263" spans="1:17">
      <c r="A263" s="14">
        <v>259</v>
      </c>
      <c r="B263" s="29" t="s">
        <v>367</v>
      </c>
      <c r="C263" s="16">
        <f>'Медикаменты Июнь'!L256</f>
        <v>0</v>
      </c>
      <c r="D263" s="17"/>
      <c r="E263" s="14"/>
      <c r="F263" s="18"/>
      <c r="G263" s="19"/>
      <c r="H263" s="20"/>
      <c r="I263" s="21"/>
      <c r="J263" s="14"/>
      <c r="K263" s="14">
        <f t="shared" si="8"/>
        <v>0</v>
      </c>
      <c r="L263" s="16">
        <f t="shared" si="9"/>
        <v>0</v>
      </c>
      <c r="M263" s="22">
        <v>45261</v>
      </c>
      <c r="N263" s="44" t="s">
        <v>45</v>
      </c>
      <c r="O263" s="23" t="s">
        <v>16</v>
      </c>
      <c r="P263" s="24" t="s">
        <v>17</v>
      </c>
      <c r="Q263" s="28" t="s">
        <v>368</v>
      </c>
    </row>
    <row r="264" spans="1:17">
      <c r="A264" s="14">
        <v>260</v>
      </c>
      <c r="B264" s="29" t="s">
        <v>369</v>
      </c>
      <c r="C264" s="16">
        <f>'Медикаменты Июнь'!L257</f>
        <v>0</v>
      </c>
      <c r="D264" s="17"/>
      <c r="E264" s="14"/>
      <c r="F264" s="18"/>
      <c r="G264" s="19"/>
      <c r="H264" s="20"/>
      <c r="I264" s="21"/>
      <c r="J264" s="14"/>
      <c r="K264" s="14">
        <f t="shared" si="8"/>
        <v>0</v>
      </c>
      <c r="L264" s="16">
        <f t="shared" si="9"/>
        <v>0</v>
      </c>
      <c r="M264" s="22">
        <v>44927</v>
      </c>
      <c r="N264" s="44" t="s">
        <v>45</v>
      </c>
      <c r="O264" s="23" t="s">
        <v>16</v>
      </c>
      <c r="P264" s="24" t="s">
        <v>45</v>
      </c>
      <c r="Q264" s="28" t="s">
        <v>370</v>
      </c>
    </row>
    <row r="265" spans="1:17">
      <c r="A265" s="14">
        <v>261</v>
      </c>
      <c r="B265" s="29" t="s">
        <v>371</v>
      </c>
      <c r="C265" s="16">
        <f>'Медикаменты Июнь'!L258</f>
        <v>0</v>
      </c>
      <c r="D265" s="17"/>
      <c r="E265" s="14"/>
      <c r="F265" s="18"/>
      <c r="G265" s="19"/>
      <c r="H265" s="20"/>
      <c r="I265" s="21"/>
      <c r="J265" s="14"/>
      <c r="K265" s="14">
        <f t="shared" si="8"/>
        <v>0</v>
      </c>
      <c r="L265" s="16">
        <f t="shared" si="9"/>
        <v>0</v>
      </c>
      <c r="M265" s="22">
        <v>45413</v>
      </c>
      <c r="N265" s="44"/>
      <c r="O265" s="23" t="s">
        <v>16</v>
      </c>
      <c r="P265" s="24" t="s">
        <v>17</v>
      </c>
      <c r="Q265" s="28" t="s">
        <v>372</v>
      </c>
    </row>
    <row r="266" spans="1:17">
      <c r="A266" s="14">
        <v>262</v>
      </c>
      <c r="B266" s="29" t="s">
        <v>371</v>
      </c>
      <c r="C266" s="16">
        <f>'Медикаменты Июнь'!L259</f>
        <v>0</v>
      </c>
      <c r="D266" s="17"/>
      <c r="E266" s="14"/>
      <c r="F266" s="18"/>
      <c r="G266" s="19"/>
      <c r="H266" s="20"/>
      <c r="I266" s="21"/>
      <c r="J266" s="14"/>
      <c r="K266" s="14">
        <f t="shared" si="8"/>
        <v>0</v>
      </c>
      <c r="L266" s="16">
        <f t="shared" si="9"/>
        <v>0</v>
      </c>
      <c r="M266" s="22">
        <v>45413</v>
      </c>
      <c r="N266" s="44"/>
      <c r="O266" s="23" t="s">
        <v>26</v>
      </c>
      <c r="P266" s="24"/>
      <c r="Q266" s="28" t="s">
        <v>372</v>
      </c>
    </row>
    <row r="267" spans="1:17">
      <c r="A267" s="14">
        <v>263</v>
      </c>
      <c r="B267" s="29" t="s">
        <v>373</v>
      </c>
      <c r="C267" s="16">
        <f>'Медикаменты Июнь'!L260</f>
        <v>0</v>
      </c>
      <c r="D267" s="17"/>
      <c r="E267" s="14"/>
      <c r="F267" s="18"/>
      <c r="G267" s="19"/>
      <c r="H267" s="20"/>
      <c r="I267" s="21"/>
      <c r="J267" s="14"/>
      <c r="K267" s="14">
        <f t="shared" si="8"/>
        <v>0</v>
      </c>
      <c r="L267" s="16">
        <f t="shared" si="9"/>
        <v>0</v>
      </c>
      <c r="M267" s="22">
        <v>45108</v>
      </c>
      <c r="N267" s="44"/>
      <c r="O267" s="23" t="s">
        <v>16</v>
      </c>
      <c r="P267" s="24"/>
      <c r="Q267" s="28" t="s">
        <v>374</v>
      </c>
    </row>
    <row r="268" spans="1:17">
      <c r="A268" s="14">
        <v>264</v>
      </c>
      <c r="B268" s="29" t="s">
        <v>373</v>
      </c>
      <c r="C268" s="16">
        <f>'Медикаменты Июнь'!L261</f>
        <v>0</v>
      </c>
      <c r="D268" s="17"/>
      <c r="E268" s="14"/>
      <c r="F268" s="18"/>
      <c r="G268" s="19"/>
      <c r="H268" s="20"/>
      <c r="I268" s="21"/>
      <c r="J268" s="14"/>
      <c r="K268" s="14">
        <f t="shared" si="8"/>
        <v>0</v>
      </c>
      <c r="L268" s="16">
        <f t="shared" si="9"/>
        <v>0</v>
      </c>
      <c r="M268" s="22">
        <v>45108</v>
      </c>
      <c r="N268" s="44"/>
      <c r="O268" s="23" t="s">
        <v>26</v>
      </c>
      <c r="P268" s="24"/>
      <c r="Q268" s="28" t="s">
        <v>374</v>
      </c>
    </row>
    <row r="269" spans="1:17">
      <c r="A269" s="14">
        <v>265</v>
      </c>
      <c r="B269" s="29" t="s">
        <v>375</v>
      </c>
      <c r="C269" s="16">
        <f>'Медикаменты Июнь'!L262</f>
        <v>0</v>
      </c>
      <c r="D269" s="17"/>
      <c r="E269" s="14"/>
      <c r="F269" s="18"/>
      <c r="G269" s="19"/>
      <c r="H269" s="20"/>
      <c r="I269" s="21"/>
      <c r="J269" s="14"/>
      <c r="K269" s="14">
        <f t="shared" si="8"/>
        <v>0</v>
      </c>
      <c r="L269" s="16">
        <f t="shared" si="9"/>
        <v>0</v>
      </c>
      <c r="M269" s="22">
        <v>44805</v>
      </c>
      <c r="N269" s="44"/>
      <c r="O269" s="23" t="s">
        <v>16</v>
      </c>
      <c r="P269" s="24" t="s">
        <v>17</v>
      </c>
      <c r="Q269" s="28" t="s">
        <v>376</v>
      </c>
    </row>
    <row r="270" spans="1:17">
      <c r="A270" s="14">
        <v>266</v>
      </c>
      <c r="B270" s="29" t="s">
        <v>375</v>
      </c>
      <c r="C270" s="16">
        <f>'Медикаменты Июнь'!L263</f>
        <v>0</v>
      </c>
      <c r="D270" s="17"/>
      <c r="E270" s="14"/>
      <c r="F270" s="18"/>
      <c r="G270" s="19"/>
      <c r="H270" s="20"/>
      <c r="I270" s="21"/>
      <c r="J270" s="14"/>
      <c r="K270" s="14">
        <f t="shared" si="8"/>
        <v>0</v>
      </c>
      <c r="L270" s="16">
        <f t="shared" si="9"/>
        <v>0</v>
      </c>
      <c r="M270" s="22">
        <v>44958</v>
      </c>
      <c r="N270" s="44"/>
      <c r="O270" s="23" t="s">
        <v>26</v>
      </c>
      <c r="P270" s="24"/>
      <c r="Q270" s="28" t="s">
        <v>376</v>
      </c>
    </row>
    <row r="271" spans="1:17">
      <c r="A271" s="14">
        <v>267</v>
      </c>
      <c r="B271" s="29" t="s">
        <v>377</v>
      </c>
      <c r="C271" s="16">
        <f>'Медикаменты Июнь'!L264</f>
        <v>19</v>
      </c>
      <c r="D271" s="17"/>
      <c r="E271" s="14">
        <f>200</f>
        <v>200</v>
      </c>
      <c r="F271" s="18">
        <f>10+9</f>
        <v>19</v>
      </c>
      <c r="G271" s="19"/>
      <c r="H271" s="20"/>
      <c r="I271" s="21"/>
      <c r="J271" s="14"/>
      <c r="K271" s="14">
        <f t="shared" si="8"/>
        <v>19</v>
      </c>
      <c r="L271" s="16">
        <f t="shared" si="9"/>
        <v>200</v>
      </c>
      <c r="M271" s="22">
        <v>45230</v>
      </c>
      <c r="N271" s="44" t="s">
        <v>551</v>
      </c>
      <c r="O271" s="23" t="s">
        <v>16</v>
      </c>
      <c r="P271" s="24" t="s">
        <v>17</v>
      </c>
      <c r="Q271" s="28" t="s">
        <v>378</v>
      </c>
    </row>
    <row r="272" spans="1:17">
      <c r="A272" s="14">
        <v>268</v>
      </c>
      <c r="B272" s="29" t="s">
        <v>377</v>
      </c>
      <c r="C272" s="16">
        <f>'Медикаменты Июнь'!L265</f>
        <v>0</v>
      </c>
      <c r="D272" s="17"/>
      <c r="E272" s="14"/>
      <c r="F272" s="18"/>
      <c r="G272" s="19"/>
      <c r="H272" s="20"/>
      <c r="I272" s="21"/>
      <c r="J272" s="14"/>
      <c r="K272" s="14">
        <f t="shared" si="8"/>
        <v>0</v>
      </c>
      <c r="L272" s="16">
        <f t="shared" si="9"/>
        <v>0</v>
      </c>
      <c r="M272" s="22">
        <v>45170</v>
      </c>
      <c r="N272" s="44"/>
      <c r="O272" s="23" t="s">
        <v>26</v>
      </c>
      <c r="P272" s="24" t="s">
        <v>17</v>
      </c>
      <c r="Q272" s="28" t="s">
        <v>378</v>
      </c>
    </row>
    <row r="273" spans="1:17">
      <c r="A273" s="14">
        <v>269</v>
      </c>
      <c r="B273" s="29" t="s">
        <v>379</v>
      </c>
      <c r="C273" s="16">
        <f>'Медикаменты Июнь'!L266</f>
        <v>200</v>
      </c>
      <c r="D273" s="17"/>
      <c r="E273" s="14"/>
      <c r="F273" s="18">
        <f>10</f>
        <v>10</v>
      </c>
      <c r="G273" s="19"/>
      <c r="H273" s="20"/>
      <c r="I273" s="21"/>
      <c r="J273" s="14"/>
      <c r="K273" s="14">
        <f t="shared" si="8"/>
        <v>10</v>
      </c>
      <c r="L273" s="16">
        <f t="shared" si="9"/>
        <v>190</v>
      </c>
      <c r="M273" s="22">
        <v>45292</v>
      </c>
      <c r="N273" s="44" t="s">
        <v>551</v>
      </c>
      <c r="O273" s="23" t="s">
        <v>16</v>
      </c>
      <c r="P273" s="24" t="s">
        <v>17</v>
      </c>
      <c r="Q273" s="28" t="s">
        <v>586</v>
      </c>
    </row>
    <row r="274" spans="1:17">
      <c r="A274" s="14">
        <v>270</v>
      </c>
      <c r="B274" s="29" t="s">
        <v>380</v>
      </c>
      <c r="C274" s="16">
        <f>'Медикаменты Июнь'!L267</f>
        <v>0</v>
      </c>
      <c r="D274" s="17"/>
      <c r="E274" s="14"/>
      <c r="F274" s="18"/>
      <c r="G274" s="19"/>
      <c r="H274" s="20"/>
      <c r="I274" s="21"/>
      <c r="J274" s="14"/>
      <c r="K274" s="14">
        <f t="shared" si="8"/>
        <v>0</v>
      </c>
      <c r="L274" s="16">
        <f t="shared" si="9"/>
        <v>0</v>
      </c>
      <c r="M274" s="22">
        <v>44682</v>
      </c>
      <c r="N274" s="44"/>
      <c r="O274" s="23" t="s">
        <v>16</v>
      </c>
      <c r="P274" s="24" t="s">
        <v>45</v>
      </c>
      <c r="Q274" s="28" t="s">
        <v>381</v>
      </c>
    </row>
    <row r="275" spans="1:17">
      <c r="A275" s="14">
        <v>271</v>
      </c>
      <c r="B275" s="29" t="s">
        <v>382</v>
      </c>
      <c r="C275" s="16">
        <f>'Медикаменты Июнь'!L268</f>
        <v>0</v>
      </c>
      <c r="D275" s="17"/>
      <c r="E275" s="14"/>
      <c r="F275" s="18"/>
      <c r="G275" s="19"/>
      <c r="H275" s="20"/>
      <c r="I275" s="21"/>
      <c r="J275" s="14"/>
      <c r="K275" s="14">
        <f t="shared" si="8"/>
        <v>0</v>
      </c>
      <c r="L275" s="16">
        <f t="shared" si="9"/>
        <v>0</v>
      </c>
      <c r="M275" s="22">
        <v>44743</v>
      </c>
      <c r="N275" s="44"/>
      <c r="O275" s="23" t="s">
        <v>16</v>
      </c>
      <c r="P275" s="24"/>
      <c r="Q275" s="28" t="s">
        <v>383</v>
      </c>
    </row>
    <row r="276" spans="1:17">
      <c r="A276" s="14">
        <v>272</v>
      </c>
      <c r="B276" s="29" t="s">
        <v>384</v>
      </c>
      <c r="C276" s="16">
        <f>'Медикаменты Июнь'!L269</f>
        <v>0</v>
      </c>
      <c r="D276" s="17"/>
      <c r="E276" s="14"/>
      <c r="F276" s="18"/>
      <c r="G276" s="19"/>
      <c r="H276" s="20"/>
      <c r="I276" s="21"/>
      <c r="J276" s="14"/>
      <c r="K276" s="14">
        <f t="shared" si="8"/>
        <v>0</v>
      </c>
      <c r="L276" s="16">
        <f t="shared" si="9"/>
        <v>0</v>
      </c>
      <c r="M276" s="22"/>
      <c r="N276" s="44"/>
      <c r="O276" s="23" t="s">
        <v>16</v>
      </c>
      <c r="P276" s="24"/>
      <c r="Q276" s="45"/>
    </row>
    <row r="277" spans="1:17">
      <c r="A277" s="14">
        <v>273</v>
      </c>
      <c r="B277" s="29" t="s">
        <v>385</v>
      </c>
      <c r="C277" s="16">
        <f>'Медикаменты Июнь'!L270</f>
        <v>0</v>
      </c>
      <c r="D277" s="17"/>
      <c r="E277" s="14"/>
      <c r="F277" s="18"/>
      <c r="G277" s="19"/>
      <c r="H277" s="20"/>
      <c r="I277" s="21"/>
      <c r="J277" s="14"/>
      <c r="K277" s="14">
        <f t="shared" si="8"/>
        <v>0</v>
      </c>
      <c r="L277" s="16">
        <f t="shared" si="9"/>
        <v>0</v>
      </c>
      <c r="M277" s="22"/>
      <c r="N277" s="44"/>
      <c r="O277" s="23" t="s">
        <v>16</v>
      </c>
      <c r="P277" s="24"/>
      <c r="Q277" s="45"/>
    </row>
    <row r="278" spans="1:17">
      <c r="A278" s="14">
        <v>274</v>
      </c>
      <c r="B278" s="29" t="s">
        <v>610</v>
      </c>
      <c r="C278" s="16"/>
      <c r="D278" s="17"/>
      <c r="E278" s="14">
        <f>100</f>
        <v>100</v>
      </c>
      <c r="F278" s="18">
        <f>10+5</f>
        <v>15</v>
      </c>
      <c r="G278" s="19"/>
      <c r="H278" s="20"/>
      <c r="I278" s="21"/>
      <c r="J278" s="14"/>
      <c r="K278" s="14">
        <f t="shared" si="8"/>
        <v>15</v>
      </c>
      <c r="L278" s="16">
        <f t="shared" si="9"/>
        <v>85</v>
      </c>
      <c r="M278" s="22">
        <v>45444</v>
      </c>
      <c r="N278" s="44" t="s">
        <v>551</v>
      </c>
      <c r="O278" s="23" t="s">
        <v>16</v>
      </c>
      <c r="P278" s="24" t="s">
        <v>45</v>
      </c>
      <c r="Q278" s="28" t="s">
        <v>611</v>
      </c>
    </row>
    <row r="279" spans="1:17">
      <c r="A279" s="14">
        <v>275</v>
      </c>
      <c r="B279" s="29" t="s">
        <v>386</v>
      </c>
      <c r="C279" s="16">
        <f>'Медикаменты Июнь'!L271</f>
        <v>0</v>
      </c>
      <c r="D279" s="17"/>
      <c r="E279" s="14"/>
      <c r="F279" s="18"/>
      <c r="G279" s="19"/>
      <c r="H279" s="20"/>
      <c r="I279" s="21"/>
      <c r="J279" s="14"/>
      <c r="K279" s="14">
        <f t="shared" si="8"/>
        <v>0</v>
      </c>
      <c r="L279" s="16">
        <f t="shared" si="9"/>
        <v>0</v>
      </c>
      <c r="M279" s="22"/>
      <c r="N279" s="44"/>
      <c r="O279" s="23" t="s">
        <v>16</v>
      </c>
      <c r="P279" s="24"/>
      <c r="Q279" s="45"/>
    </row>
    <row r="280" spans="1:17">
      <c r="A280" s="14">
        <v>276</v>
      </c>
      <c r="B280" s="29" t="s">
        <v>387</v>
      </c>
      <c r="C280" s="16">
        <f>'Медикаменты Июнь'!L272</f>
        <v>0</v>
      </c>
      <c r="D280" s="17"/>
      <c r="E280" s="14"/>
      <c r="F280" s="18"/>
      <c r="G280" s="19"/>
      <c r="H280" s="20"/>
      <c r="I280" s="21"/>
      <c r="J280" s="14"/>
      <c r="K280" s="14">
        <f t="shared" si="8"/>
        <v>0</v>
      </c>
      <c r="L280" s="16">
        <f t="shared" si="9"/>
        <v>0</v>
      </c>
      <c r="M280" s="22"/>
      <c r="N280" s="44"/>
      <c r="O280" s="23" t="s">
        <v>16</v>
      </c>
      <c r="P280" s="24"/>
      <c r="Q280" s="45"/>
    </row>
    <row r="281" spans="1:17">
      <c r="A281" s="14">
        <v>277</v>
      </c>
      <c r="B281" s="29" t="s">
        <v>388</v>
      </c>
      <c r="C281" s="16">
        <f>'Медикаменты Июнь'!L273</f>
        <v>0</v>
      </c>
      <c r="D281" s="17"/>
      <c r="E281" s="14"/>
      <c r="F281" s="18"/>
      <c r="G281" s="19"/>
      <c r="H281" s="20"/>
      <c r="I281" s="21"/>
      <c r="J281" s="14"/>
      <c r="K281" s="14">
        <f t="shared" si="8"/>
        <v>0</v>
      </c>
      <c r="L281" s="16">
        <f t="shared" si="9"/>
        <v>0</v>
      </c>
      <c r="M281" s="22">
        <v>45139</v>
      </c>
      <c r="N281" s="44"/>
      <c r="O281" s="23" t="s">
        <v>16</v>
      </c>
      <c r="P281" s="24"/>
      <c r="Q281" s="28" t="s">
        <v>389</v>
      </c>
    </row>
    <row r="282" spans="1:17">
      <c r="A282" s="14">
        <v>278</v>
      </c>
      <c r="B282" s="29" t="s">
        <v>390</v>
      </c>
      <c r="C282" s="16">
        <f>'Медикаменты Июнь'!L274</f>
        <v>0</v>
      </c>
      <c r="D282" s="26"/>
      <c r="E282" s="14"/>
      <c r="F282" s="18"/>
      <c r="G282" s="19"/>
      <c r="H282" s="20"/>
      <c r="I282" s="21"/>
      <c r="J282" s="14"/>
      <c r="K282" s="14">
        <f t="shared" si="8"/>
        <v>0</v>
      </c>
      <c r="L282" s="16">
        <f t="shared" si="9"/>
        <v>0</v>
      </c>
      <c r="M282" s="22"/>
      <c r="N282" s="44"/>
      <c r="O282" s="23" t="s">
        <v>16</v>
      </c>
      <c r="P282" s="24"/>
      <c r="Q282" s="28" t="s">
        <v>391</v>
      </c>
    </row>
    <row r="283" spans="1:17">
      <c r="A283" s="14">
        <v>279</v>
      </c>
      <c r="B283" s="29" t="s">
        <v>392</v>
      </c>
      <c r="C283" s="16">
        <f>'Медикаменты Июнь'!L275</f>
        <v>0</v>
      </c>
      <c r="D283" s="17"/>
      <c r="E283" s="14"/>
      <c r="F283" s="18"/>
      <c r="G283" s="19"/>
      <c r="H283" s="20"/>
      <c r="I283" s="21"/>
      <c r="J283" s="14"/>
      <c r="K283" s="14">
        <f t="shared" si="8"/>
        <v>0</v>
      </c>
      <c r="L283" s="16">
        <f t="shared" si="9"/>
        <v>0</v>
      </c>
      <c r="M283" s="22"/>
      <c r="N283" s="44"/>
      <c r="O283" s="23" t="s">
        <v>16</v>
      </c>
      <c r="P283" s="24"/>
      <c r="Q283" s="45"/>
    </row>
    <row r="284" spans="1:17">
      <c r="A284" s="14">
        <v>280</v>
      </c>
      <c r="B284" s="29" t="s">
        <v>573</v>
      </c>
      <c r="C284" s="16">
        <f>'Медикаменты Июнь'!L276</f>
        <v>5</v>
      </c>
      <c r="D284" s="17"/>
      <c r="E284" s="14"/>
      <c r="F284" s="18"/>
      <c r="G284" s="19"/>
      <c r="H284" s="20"/>
      <c r="I284" s="21"/>
      <c r="J284" s="14"/>
      <c r="K284" s="14">
        <f t="shared" si="8"/>
        <v>0</v>
      </c>
      <c r="L284" s="16">
        <f t="shared" si="9"/>
        <v>5</v>
      </c>
      <c r="M284" s="22">
        <v>45047</v>
      </c>
      <c r="N284" s="44" t="s">
        <v>45</v>
      </c>
      <c r="O284" s="23" t="s">
        <v>16</v>
      </c>
      <c r="P284" s="24" t="s">
        <v>17</v>
      </c>
      <c r="Q284" s="28" t="s">
        <v>574</v>
      </c>
    </row>
    <row r="285" spans="1:17">
      <c r="A285" s="14">
        <v>281</v>
      </c>
      <c r="B285" s="29" t="s">
        <v>393</v>
      </c>
      <c r="C285" s="16">
        <f>'Медикаменты Июнь'!L277</f>
        <v>69</v>
      </c>
      <c r="D285" s="17"/>
      <c r="E285" s="14"/>
      <c r="F285" s="18">
        <f>11</f>
        <v>11</v>
      </c>
      <c r="G285" s="19"/>
      <c r="H285" s="20"/>
      <c r="I285" s="21"/>
      <c r="J285" s="14"/>
      <c r="K285" s="14">
        <f t="shared" si="8"/>
        <v>11</v>
      </c>
      <c r="L285" s="16">
        <f t="shared" si="9"/>
        <v>58</v>
      </c>
      <c r="M285" s="22">
        <v>44652</v>
      </c>
      <c r="N285" s="44" t="s">
        <v>45</v>
      </c>
      <c r="O285" s="23" t="s">
        <v>16</v>
      </c>
      <c r="P285" s="24" t="s">
        <v>17</v>
      </c>
      <c r="Q285" s="28" t="s">
        <v>394</v>
      </c>
    </row>
    <row r="286" spans="1:17">
      <c r="A286" s="14">
        <v>282</v>
      </c>
      <c r="B286" s="29" t="s">
        <v>395</v>
      </c>
      <c r="C286" s="16">
        <f>'Медикаменты Июнь'!L278</f>
        <v>37</v>
      </c>
      <c r="D286" s="17"/>
      <c r="E286" s="14">
        <f>63</f>
        <v>63</v>
      </c>
      <c r="F286" s="18">
        <f>5+5</f>
        <v>10</v>
      </c>
      <c r="G286" s="19"/>
      <c r="H286" s="20"/>
      <c r="I286" s="21"/>
      <c r="J286" s="14"/>
      <c r="K286" s="14">
        <f t="shared" si="8"/>
        <v>10</v>
      </c>
      <c r="L286" s="16">
        <f t="shared" si="9"/>
        <v>90</v>
      </c>
      <c r="M286" s="22">
        <v>45689</v>
      </c>
      <c r="N286" s="44" t="s">
        <v>551</v>
      </c>
      <c r="O286" s="23" t="s">
        <v>16</v>
      </c>
      <c r="P286" s="24" t="s">
        <v>17</v>
      </c>
      <c r="Q286" s="28" t="s">
        <v>396</v>
      </c>
    </row>
    <row r="287" spans="1:17">
      <c r="A287" s="14">
        <v>283</v>
      </c>
      <c r="B287" s="29" t="s">
        <v>397</v>
      </c>
      <c r="C287" s="16">
        <f>'Медикаменты Июнь'!L279</f>
        <v>9</v>
      </c>
      <c r="D287" s="17"/>
      <c r="E287" s="14">
        <f>41</f>
        <v>41</v>
      </c>
      <c r="F287" s="18">
        <f>9</f>
        <v>9</v>
      </c>
      <c r="G287" s="19"/>
      <c r="H287" s="20"/>
      <c r="I287" s="21"/>
      <c r="J287" s="14"/>
      <c r="K287" s="14">
        <f t="shared" si="8"/>
        <v>9</v>
      </c>
      <c r="L287" s="16">
        <f t="shared" si="9"/>
        <v>41</v>
      </c>
      <c r="M287" s="22">
        <v>45689</v>
      </c>
      <c r="N287" s="44" t="s">
        <v>45</v>
      </c>
      <c r="O287" s="23" t="s">
        <v>16</v>
      </c>
      <c r="P287" s="24" t="s">
        <v>17</v>
      </c>
      <c r="Q287" s="28" t="s">
        <v>587</v>
      </c>
    </row>
    <row r="288" spans="1:17">
      <c r="A288" s="14">
        <v>284</v>
      </c>
      <c r="B288" s="29" t="s">
        <v>398</v>
      </c>
      <c r="C288" s="16">
        <f>'Медикаменты Июнь'!L280</f>
        <v>0</v>
      </c>
      <c r="D288" s="17"/>
      <c r="E288" s="14"/>
      <c r="F288" s="18"/>
      <c r="G288" s="19"/>
      <c r="H288" s="20"/>
      <c r="I288" s="21"/>
      <c r="J288" s="14"/>
      <c r="K288" s="14">
        <f t="shared" si="8"/>
        <v>0</v>
      </c>
      <c r="L288" s="16">
        <f t="shared" si="9"/>
        <v>0</v>
      </c>
      <c r="M288" s="22">
        <v>44256</v>
      </c>
      <c r="N288" s="44"/>
      <c r="O288" s="23" t="s">
        <v>16</v>
      </c>
      <c r="P288" s="24"/>
      <c r="Q288" s="28" t="s">
        <v>399</v>
      </c>
    </row>
    <row r="289" spans="1:17">
      <c r="A289" s="14">
        <v>285</v>
      </c>
      <c r="B289" s="29" t="s">
        <v>400</v>
      </c>
      <c r="C289" s="16">
        <f>'Медикаменты Июнь'!L281</f>
        <v>0</v>
      </c>
      <c r="D289" s="17"/>
      <c r="E289" s="14"/>
      <c r="F289" s="18"/>
      <c r="G289" s="19"/>
      <c r="H289" s="20"/>
      <c r="I289" s="21"/>
      <c r="J289" s="14"/>
      <c r="K289" s="14">
        <f t="shared" si="8"/>
        <v>0</v>
      </c>
      <c r="L289" s="16">
        <f t="shared" si="9"/>
        <v>0</v>
      </c>
      <c r="M289" s="22">
        <v>44531</v>
      </c>
      <c r="N289" s="44"/>
      <c r="O289" s="23" t="s">
        <v>16</v>
      </c>
      <c r="P289" s="24" t="s">
        <v>45</v>
      </c>
      <c r="Q289" s="28" t="s">
        <v>401</v>
      </c>
    </row>
    <row r="290" spans="1:17">
      <c r="A290" s="14">
        <v>286</v>
      </c>
      <c r="B290" s="29" t="s">
        <v>402</v>
      </c>
      <c r="C290" s="16">
        <f>'Медикаменты Июнь'!L282</f>
        <v>0</v>
      </c>
      <c r="D290" s="17"/>
      <c r="E290" s="14"/>
      <c r="F290" s="18"/>
      <c r="G290" s="19"/>
      <c r="H290" s="20"/>
      <c r="I290" s="21"/>
      <c r="J290" s="14"/>
      <c r="K290" s="14">
        <f t="shared" si="8"/>
        <v>0</v>
      </c>
      <c r="L290" s="16">
        <f t="shared" si="9"/>
        <v>0</v>
      </c>
      <c r="M290" s="22">
        <v>45108</v>
      </c>
      <c r="N290" s="44"/>
      <c r="O290" s="23" t="s">
        <v>26</v>
      </c>
      <c r="P290" s="24" t="s">
        <v>45</v>
      </c>
      <c r="Q290" s="28" t="s">
        <v>403</v>
      </c>
    </row>
    <row r="291" spans="1:17">
      <c r="A291" s="14">
        <v>287</v>
      </c>
      <c r="B291" s="29" t="s">
        <v>404</v>
      </c>
      <c r="C291" s="16">
        <f>'Медикаменты Июнь'!L283</f>
        <v>0</v>
      </c>
      <c r="D291" s="17"/>
      <c r="E291" s="14"/>
      <c r="F291" s="18"/>
      <c r="G291" s="19"/>
      <c r="H291" s="20"/>
      <c r="I291" s="21"/>
      <c r="J291" s="14"/>
      <c r="K291" s="14">
        <f t="shared" si="8"/>
        <v>0</v>
      </c>
      <c r="L291" s="16">
        <f t="shared" si="9"/>
        <v>0</v>
      </c>
      <c r="M291" s="22"/>
      <c r="N291" s="44"/>
      <c r="O291" s="23" t="s">
        <v>16</v>
      </c>
      <c r="P291" s="24"/>
      <c r="Q291" s="45"/>
    </row>
    <row r="292" spans="1:17">
      <c r="A292" s="14">
        <v>288</v>
      </c>
      <c r="B292" s="29" t="s">
        <v>549</v>
      </c>
      <c r="C292" s="16">
        <f>'Медикаменты Июнь'!L284</f>
        <v>0</v>
      </c>
      <c r="D292" s="17"/>
      <c r="E292" s="14"/>
      <c r="F292" s="18"/>
      <c r="G292" s="19"/>
      <c r="H292" s="20"/>
      <c r="I292" s="21"/>
      <c r="J292" s="14"/>
      <c r="K292" s="14">
        <f t="shared" si="8"/>
        <v>0</v>
      </c>
      <c r="L292" s="16">
        <f t="shared" si="9"/>
        <v>0</v>
      </c>
      <c r="M292" s="22">
        <v>44287</v>
      </c>
      <c r="N292" s="44"/>
      <c r="O292" s="23" t="s">
        <v>16</v>
      </c>
      <c r="P292" s="24" t="s">
        <v>45</v>
      </c>
      <c r="Q292" s="28" t="s">
        <v>406</v>
      </c>
    </row>
    <row r="293" spans="1:17">
      <c r="A293" s="14">
        <v>289</v>
      </c>
      <c r="B293" s="29" t="s">
        <v>407</v>
      </c>
      <c r="C293" s="16">
        <f>'Медикаменты Июнь'!L285</f>
        <v>0</v>
      </c>
      <c r="D293" s="17"/>
      <c r="E293" s="14"/>
      <c r="F293" s="18"/>
      <c r="G293" s="19"/>
      <c r="H293" s="20"/>
      <c r="I293" s="21"/>
      <c r="J293" s="14"/>
      <c r="K293" s="14">
        <f t="shared" si="8"/>
        <v>0</v>
      </c>
      <c r="L293" s="16">
        <f t="shared" si="9"/>
        <v>0</v>
      </c>
      <c r="M293" s="22">
        <v>44562</v>
      </c>
      <c r="N293" s="44"/>
      <c r="O293" s="23" t="s">
        <v>16</v>
      </c>
      <c r="P293" s="24" t="s">
        <v>17</v>
      </c>
      <c r="Q293" s="28" t="s">
        <v>408</v>
      </c>
    </row>
    <row r="294" spans="1:17">
      <c r="A294" s="14">
        <v>290</v>
      </c>
      <c r="B294" s="29" t="s">
        <v>409</v>
      </c>
      <c r="C294" s="16">
        <f>'Медикаменты Июнь'!L286</f>
        <v>255</v>
      </c>
      <c r="D294" s="17"/>
      <c r="E294" s="14"/>
      <c r="F294" s="18">
        <f>10+5+10</f>
        <v>25</v>
      </c>
      <c r="G294" s="19"/>
      <c r="H294" s="20"/>
      <c r="I294" s="21"/>
      <c r="J294" s="14"/>
      <c r="K294" s="14">
        <f t="shared" si="8"/>
        <v>25</v>
      </c>
      <c r="L294" s="16">
        <f t="shared" si="9"/>
        <v>230</v>
      </c>
      <c r="M294" s="22">
        <v>45139</v>
      </c>
      <c r="N294" s="44" t="s">
        <v>45</v>
      </c>
      <c r="O294" s="23" t="s">
        <v>16</v>
      </c>
      <c r="P294" s="24" t="s">
        <v>17</v>
      </c>
      <c r="Q294" s="28" t="s">
        <v>410</v>
      </c>
    </row>
    <row r="295" spans="1:17">
      <c r="A295" s="14">
        <v>291</v>
      </c>
      <c r="B295" s="29" t="s">
        <v>411</v>
      </c>
      <c r="C295" s="16">
        <f>'Медикаменты Июнь'!L287</f>
        <v>0</v>
      </c>
      <c r="D295" s="17"/>
      <c r="E295" s="14"/>
      <c r="F295" s="18"/>
      <c r="G295" s="19"/>
      <c r="H295" s="20"/>
      <c r="I295" s="21"/>
      <c r="J295" s="14"/>
      <c r="K295" s="14">
        <f t="shared" si="8"/>
        <v>0</v>
      </c>
      <c r="L295" s="16">
        <f t="shared" si="9"/>
        <v>0</v>
      </c>
      <c r="M295" s="22">
        <v>45413</v>
      </c>
      <c r="N295" s="44" t="s">
        <v>45</v>
      </c>
      <c r="O295" s="23" t="s">
        <v>16</v>
      </c>
      <c r="P295" s="24" t="s">
        <v>45</v>
      </c>
      <c r="Q295" s="28" t="s">
        <v>412</v>
      </c>
    </row>
    <row r="296" spans="1:17">
      <c r="A296" s="14">
        <v>292</v>
      </c>
      <c r="B296" s="29" t="s">
        <v>413</v>
      </c>
      <c r="C296" s="16">
        <f>'Медикаменты Июнь'!L288</f>
        <v>0</v>
      </c>
      <c r="D296" s="17"/>
      <c r="E296" s="14"/>
      <c r="F296" s="18"/>
      <c r="G296" s="19"/>
      <c r="H296" s="20"/>
      <c r="I296" s="21"/>
      <c r="J296" s="14"/>
      <c r="K296" s="14">
        <f t="shared" si="8"/>
        <v>0</v>
      </c>
      <c r="L296" s="16">
        <f t="shared" si="9"/>
        <v>0</v>
      </c>
      <c r="M296" s="22">
        <v>45474</v>
      </c>
      <c r="N296" s="44"/>
      <c r="O296" s="23" t="s">
        <v>16</v>
      </c>
      <c r="P296" s="24"/>
      <c r="Q296" s="28"/>
    </row>
    <row r="297" spans="1:17">
      <c r="A297" s="14">
        <v>293</v>
      </c>
      <c r="B297" s="29" t="s">
        <v>414</v>
      </c>
      <c r="C297" s="16">
        <f>'Медикаменты Июнь'!L289</f>
        <v>0</v>
      </c>
      <c r="D297" s="17"/>
      <c r="E297" s="14"/>
      <c r="F297" s="18"/>
      <c r="G297" s="19"/>
      <c r="H297" s="20"/>
      <c r="I297" s="21"/>
      <c r="J297" s="14"/>
      <c r="K297" s="14">
        <f t="shared" si="8"/>
        <v>0</v>
      </c>
      <c r="L297" s="16">
        <f t="shared" si="9"/>
        <v>0</v>
      </c>
      <c r="M297" s="22"/>
      <c r="N297" s="44"/>
      <c r="O297" s="23" t="s">
        <v>16</v>
      </c>
      <c r="P297" s="24"/>
      <c r="Q297" s="28"/>
    </row>
    <row r="298" spans="1:17">
      <c r="A298" s="14">
        <v>294</v>
      </c>
      <c r="B298" s="29" t="s">
        <v>415</v>
      </c>
      <c r="C298" s="16">
        <f>'Медикаменты Июнь'!L290</f>
        <v>0</v>
      </c>
      <c r="D298" s="17"/>
      <c r="E298" s="14"/>
      <c r="F298" s="18"/>
      <c r="G298" s="19"/>
      <c r="H298" s="20"/>
      <c r="I298" s="21"/>
      <c r="J298" s="14"/>
      <c r="K298" s="14">
        <f t="shared" si="8"/>
        <v>0</v>
      </c>
      <c r="L298" s="16">
        <f t="shared" si="9"/>
        <v>0</v>
      </c>
      <c r="M298" s="22">
        <v>44986</v>
      </c>
      <c r="N298" s="44"/>
      <c r="O298" s="23" t="s">
        <v>16</v>
      </c>
      <c r="P298" s="24" t="s">
        <v>17</v>
      </c>
      <c r="Q298" s="28" t="s">
        <v>416</v>
      </c>
    </row>
    <row r="299" spans="1:17">
      <c r="A299" s="14">
        <v>295</v>
      </c>
      <c r="B299" s="29" t="s">
        <v>415</v>
      </c>
      <c r="C299" s="16">
        <f>'Медикаменты Июнь'!L291</f>
        <v>0</v>
      </c>
      <c r="D299" s="17"/>
      <c r="E299" s="14"/>
      <c r="F299" s="18"/>
      <c r="G299" s="19"/>
      <c r="H299" s="20"/>
      <c r="I299" s="21"/>
      <c r="J299" s="14"/>
      <c r="K299" s="14">
        <f t="shared" si="8"/>
        <v>0</v>
      </c>
      <c r="L299" s="16">
        <f t="shared" si="9"/>
        <v>0</v>
      </c>
      <c r="M299" s="22">
        <v>44986</v>
      </c>
      <c r="N299" s="44"/>
      <c r="O299" s="23" t="s">
        <v>26</v>
      </c>
      <c r="P299" s="24"/>
      <c r="Q299" s="28" t="s">
        <v>416</v>
      </c>
    </row>
    <row r="300" spans="1:17">
      <c r="A300" s="14">
        <v>296</v>
      </c>
      <c r="B300" s="31" t="s">
        <v>417</v>
      </c>
      <c r="C300" s="16">
        <f>'Медикаменты Июнь'!L292</f>
        <v>0</v>
      </c>
      <c r="D300" s="17"/>
      <c r="E300" s="14"/>
      <c r="F300" s="18"/>
      <c r="G300" s="19"/>
      <c r="H300" s="20"/>
      <c r="I300" s="21"/>
      <c r="J300" s="14"/>
      <c r="K300" s="14">
        <f t="shared" si="8"/>
        <v>0</v>
      </c>
      <c r="L300" s="16">
        <f t="shared" si="9"/>
        <v>0</v>
      </c>
      <c r="M300" s="22">
        <v>44136</v>
      </c>
      <c r="N300" s="44"/>
      <c r="O300" s="23" t="s">
        <v>16</v>
      </c>
      <c r="P300" s="24"/>
      <c r="Q300" s="28" t="s">
        <v>418</v>
      </c>
    </row>
    <row r="301" spans="1:17">
      <c r="A301" s="14">
        <v>297</v>
      </c>
      <c r="B301" s="29" t="s">
        <v>419</v>
      </c>
      <c r="C301" s="16">
        <f>'Медикаменты Июнь'!L293</f>
        <v>0</v>
      </c>
      <c r="D301" s="17"/>
      <c r="E301" s="14"/>
      <c r="F301" s="18"/>
      <c r="G301" s="19"/>
      <c r="H301" s="20"/>
      <c r="I301" s="21"/>
      <c r="J301" s="14"/>
      <c r="K301" s="14">
        <f t="shared" si="8"/>
        <v>0</v>
      </c>
      <c r="L301" s="16">
        <f t="shared" si="9"/>
        <v>0</v>
      </c>
      <c r="M301" s="22"/>
      <c r="N301" s="44"/>
      <c r="O301" s="23" t="s">
        <v>16</v>
      </c>
      <c r="P301" s="24"/>
      <c r="Q301" s="45"/>
    </row>
    <row r="302" spans="1:17">
      <c r="A302" s="14">
        <v>298</v>
      </c>
      <c r="B302" s="29" t="s">
        <v>420</v>
      </c>
      <c r="C302" s="16">
        <f>'Медикаменты Июнь'!L294</f>
        <v>0</v>
      </c>
      <c r="D302" s="17"/>
      <c r="E302" s="14"/>
      <c r="F302" s="18"/>
      <c r="G302" s="19"/>
      <c r="H302" s="20"/>
      <c r="I302" s="21"/>
      <c r="J302" s="14"/>
      <c r="K302" s="14">
        <f t="shared" si="8"/>
        <v>0</v>
      </c>
      <c r="L302" s="16">
        <f t="shared" si="9"/>
        <v>0</v>
      </c>
      <c r="M302" s="22">
        <v>45047</v>
      </c>
      <c r="N302" s="44" t="s">
        <v>45</v>
      </c>
      <c r="O302" s="23" t="s">
        <v>16</v>
      </c>
      <c r="P302" s="24" t="s">
        <v>17</v>
      </c>
      <c r="Q302" s="28" t="s">
        <v>421</v>
      </c>
    </row>
    <row r="303" spans="1:17">
      <c r="A303" s="14">
        <v>299</v>
      </c>
      <c r="B303" s="29" t="s">
        <v>420</v>
      </c>
      <c r="C303" s="16">
        <f>'Медикаменты Июнь'!L295</f>
        <v>0</v>
      </c>
      <c r="D303" s="17"/>
      <c r="E303" s="14"/>
      <c r="F303" s="18"/>
      <c r="G303" s="19"/>
      <c r="H303" s="20"/>
      <c r="I303" s="21"/>
      <c r="J303" s="14"/>
      <c r="K303" s="14">
        <f t="shared" si="8"/>
        <v>0</v>
      </c>
      <c r="L303" s="16">
        <f t="shared" si="9"/>
        <v>0</v>
      </c>
      <c r="M303" s="22">
        <v>45047</v>
      </c>
      <c r="N303" s="44"/>
      <c r="O303" s="23" t="s">
        <v>26</v>
      </c>
      <c r="P303" s="24"/>
      <c r="Q303" s="28" t="s">
        <v>421</v>
      </c>
    </row>
    <row r="304" spans="1:17">
      <c r="A304" s="14">
        <v>300</v>
      </c>
      <c r="B304" s="29" t="s">
        <v>422</v>
      </c>
      <c r="C304" s="16">
        <f>'Медикаменты Июнь'!L296</f>
        <v>0</v>
      </c>
      <c r="D304" s="17"/>
      <c r="E304" s="14"/>
      <c r="F304" s="18"/>
      <c r="G304" s="19"/>
      <c r="H304" s="20"/>
      <c r="I304" s="21"/>
      <c r="J304" s="14"/>
      <c r="K304" s="14">
        <f t="shared" si="8"/>
        <v>0</v>
      </c>
      <c r="L304" s="16">
        <f t="shared" si="9"/>
        <v>0</v>
      </c>
      <c r="M304" s="22"/>
      <c r="N304" s="44"/>
      <c r="O304" s="23" t="s">
        <v>26</v>
      </c>
      <c r="P304" s="24"/>
      <c r="Q304" s="45"/>
    </row>
    <row r="305" spans="1:17">
      <c r="A305" s="14">
        <v>301</v>
      </c>
      <c r="B305" s="29" t="s">
        <v>422</v>
      </c>
      <c r="C305" s="16">
        <f>'Медикаменты Июнь'!L297</f>
        <v>18</v>
      </c>
      <c r="D305" s="17"/>
      <c r="E305" s="14"/>
      <c r="F305" s="18">
        <f>13+5</f>
        <v>18</v>
      </c>
      <c r="G305" s="19"/>
      <c r="H305" s="20"/>
      <c r="I305" s="21"/>
      <c r="J305" s="14"/>
      <c r="K305" s="14">
        <f t="shared" si="8"/>
        <v>18</v>
      </c>
      <c r="L305" s="16">
        <f t="shared" si="9"/>
        <v>0</v>
      </c>
      <c r="M305" s="22">
        <v>44531</v>
      </c>
      <c r="N305" s="44" t="s">
        <v>45</v>
      </c>
      <c r="O305" s="23" t="s">
        <v>16</v>
      </c>
      <c r="P305" s="24" t="s">
        <v>17</v>
      </c>
      <c r="Q305" s="28" t="s">
        <v>423</v>
      </c>
    </row>
    <row r="306" spans="1:17">
      <c r="A306" s="14">
        <v>302</v>
      </c>
      <c r="B306" s="29" t="s">
        <v>424</v>
      </c>
      <c r="C306" s="16">
        <f>'Медикаменты Июнь'!L298</f>
        <v>4</v>
      </c>
      <c r="D306" s="17"/>
      <c r="E306" s="14"/>
      <c r="F306" s="18">
        <f>4</f>
        <v>4</v>
      </c>
      <c r="G306" s="19"/>
      <c r="H306" s="20"/>
      <c r="I306" s="21"/>
      <c r="J306" s="14"/>
      <c r="K306" s="14">
        <f t="shared" si="8"/>
        <v>4</v>
      </c>
      <c r="L306" s="16">
        <f t="shared" si="9"/>
        <v>0</v>
      </c>
      <c r="M306" s="22">
        <v>44986</v>
      </c>
      <c r="N306" s="44" t="s">
        <v>551</v>
      </c>
      <c r="O306" s="23" t="s">
        <v>16</v>
      </c>
      <c r="P306" s="24" t="s">
        <v>17</v>
      </c>
      <c r="Q306" s="28" t="s">
        <v>425</v>
      </c>
    </row>
    <row r="307" spans="1:17">
      <c r="A307" s="14">
        <v>303</v>
      </c>
      <c r="B307" s="29" t="s">
        <v>426</v>
      </c>
      <c r="C307" s="16">
        <f>'Медикаменты Июнь'!L299</f>
        <v>0</v>
      </c>
      <c r="D307" s="17"/>
      <c r="E307" s="14"/>
      <c r="F307" s="18"/>
      <c r="G307" s="19"/>
      <c r="H307" s="20"/>
      <c r="I307" s="21"/>
      <c r="J307" s="14"/>
      <c r="K307" s="14">
        <f t="shared" si="8"/>
        <v>0</v>
      </c>
      <c r="L307" s="16">
        <f t="shared" si="9"/>
        <v>0</v>
      </c>
      <c r="M307" s="22"/>
      <c r="N307" s="44"/>
      <c r="O307" s="23" t="s">
        <v>16</v>
      </c>
      <c r="P307" s="24"/>
      <c r="Q307" s="45"/>
    </row>
    <row r="308" spans="1:17">
      <c r="A308" s="14">
        <v>304</v>
      </c>
      <c r="B308" s="29" t="s">
        <v>427</v>
      </c>
      <c r="C308" s="16">
        <f>'Медикаменты Июнь'!L300</f>
        <v>0</v>
      </c>
      <c r="D308" s="17"/>
      <c r="E308" s="14"/>
      <c r="F308" s="18"/>
      <c r="G308" s="19"/>
      <c r="H308" s="20"/>
      <c r="I308" s="21"/>
      <c r="J308" s="14"/>
      <c r="K308" s="14">
        <f t="shared" si="8"/>
        <v>0</v>
      </c>
      <c r="L308" s="16">
        <f t="shared" si="9"/>
        <v>0</v>
      </c>
      <c r="M308" s="22"/>
      <c r="N308" s="44"/>
      <c r="O308" s="23" t="s">
        <v>16</v>
      </c>
      <c r="P308" s="24"/>
      <c r="Q308" s="45"/>
    </row>
    <row r="309" spans="1:17">
      <c r="A309" s="14">
        <v>305</v>
      </c>
      <c r="B309" s="29" t="s">
        <v>428</v>
      </c>
      <c r="C309" s="16">
        <f>'Медикаменты Июнь'!L301</f>
        <v>27</v>
      </c>
      <c r="D309" s="17"/>
      <c r="E309" s="14"/>
      <c r="F309" s="18">
        <f>5+10</f>
        <v>15</v>
      </c>
      <c r="G309" s="19"/>
      <c r="H309" s="20"/>
      <c r="I309" s="21"/>
      <c r="J309" s="14"/>
      <c r="K309" s="14">
        <f t="shared" si="8"/>
        <v>15</v>
      </c>
      <c r="L309" s="16">
        <f t="shared" si="9"/>
        <v>12</v>
      </c>
      <c r="M309" s="22">
        <v>44501</v>
      </c>
      <c r="N309" s="44" t="s">
        <v>45</v>
      </c>
      <c r="O309" s="23" t="s">
        <v>16</v>
      </c>
      <c r="P309" s="24" t="s">
        <v>17</v>
      </c>
      <c r="Q309" s="28" t="s">
        <v>429</v>
      </c>
    </row>
    <row r="310" spans="1:17">
      <c r="A310" s="14">
        <v>306</v>
      </c>
      <c r="B310" s="29" t="s">
        <v>430</v>
      </c>
      <c r="C310" s="16">
        <f>'Медикаменты Июнь'!L302</f>
        <v>14</v>
      </c>
      <c r="D310" s="26"/>
      <c r="E310" s="14"/>
      <c r="F310" s="18">
        <f>10</f>
        <v>10</v>
      </c>
      <c r="G310" s="19"/>
      <c r="H310" s="20"/>
      <c r="I310" s="21"/>
      <c r="J310" s="14"/>
      <c r="K310" s="14">
        <f t="shared" si="8"/>
        <v>10</v>
      </c>
      <c r="L310" s="16">
        <f t="shared" si="9"/>
        <v>4</v>
      </c>
      <c r="M310" s="22">
        <v>44835</v>
      </c>
      <c r="N310" s="44" t="s">
        <v>45</v>
      </c>
      <c r="O310" s="23" t="s">
        <v>16</v>
      </c>
      <c r="P310" s="24" t="s">
        <v>17</v>
      </c>
      <c r="Q310" s="28" t="s">
        <v>431</v>
      </c>
    </row>
    <row r="311" spans="1:17">
      <c r="A311" s="14">
        <v>307</v>
      </c>
      <c r="B311" s="29" t="s">
        <v>430</v>
      </c>
      <c r="C311" s="16">
        <f>'Медикаменты Июнь'!L303</f>
        <v>50</v>
      </c>
      <c r="D311" s="26"/>
      <c r="E311" s="14"/>
      <c r="F311" s="18"/>
      <c r="G311" s="19"/>
      <c r="H311" s="20"/>
      <c r="I311" s="21"/>
      <c r="J311" s="14"/>
      <c r="K311" s="14">
        <f t="shared" si="8"/>
        <v>0</v>
      </c>
      <c r="L311" s="16">
        <f t="shared" si="9"/>
        <v>50</v>
      </c>
      <c r="M311" s="22">
        <v>45323</v>
      </c>
      <c r="N311" s="44" t="s">
        <v>551</v>
      </c>
      <c r="O311" s="23" t="s">
        <v>16</v>
      </c>
      <c r="P311" s="24" t="s">
        <v>17</v>
      </c>
      <c r="Q311" s="28" t="s">
        <v>431</v>
      </c>
    </row>
    <row r="312" spans="1:17">
      <c r="A312" s="14">
        <v>308</v>
      </c>
      <c r="B312" s="29" t="s">
        <v>430</v>
      </c>
      <c r="C312" s="16">
        <f>'Медикаменты Июнь'!L304</f>
        <v>46</v>
      </c>
      <c r="D312" s="26"/>
      <c r="E312" s="14"/>
      <c r="F312" s="18"/>
      <c r="G312" s="19"/>
      <c r="H312" s="20"/>
      <c r="I312" s="21">
        <f>46</f>
        <v>46</v>
      </c>
      <c r="J312" s="14"/>
      <c r="K312" s="14">
        <f t="shared" si="8"/>
        <v>46</v>
      </c>
      <c r="L312" s="16">
        <f t="shared" si="9"/>
        <v>0</v>
      </c>
      <c r="M312" s="22">
        <v>45323</v>
      </c>
      <c r="N312" s="44" t="s">
        <v>551</v>
      </c>
      <c r="O312" s="23" t="s">
        <v>26</v>
      </c>
      <c r="P312" s="24" t="s">
        <v>17</v>
      </c>
      <c r="Q312" s="28" t="s">
        <v>431</v>
      </c>
    </row>
    <row r="313" spans="1:17">
      <c r="A313" s="14">
        <v>309</v>
      </c>
      <c r="B313" s="29" t="s">
        <v>432</v>
      </c>
      <c r="C313" s="16">
        <f>'Медикаменты Июнь'!L305</f>
        <v>0</v>
      </c>
      <c r="D313" s="17"/>
      <c r="E313" s="14"/>
      <c r="F313" s="18"/>
      <c r="G313" s="19"/>
      <c r="H313" s="20"/>
      <c r="I313" s="21"/>
      <c r="J313" s="14"/>
      <c r="K313" s="14">
        <f t="shared" si="8"/>
        <v>0</v>
      </c>
      <c r="L313" s="16">
        <f t="shared" si="9"/>
        <v>0</v>
      </c>
      <c r="M313" s="22"/>
      <c r="N313" s="44"/>
      <c r="O313" s="23" t="s">
        <v>16</v>
      </c>
      <c r="P313" s="24"/>
      <c r="Q313" s="45"/>
    </row>
    <row r="314" spans="1:17">
      <c r="A314" s="14">
        <v>310</v>
      </c>
      <c r="B314" s="29" t="s">
        <v>433</v>
      </c>
      <c r="C314" s="16">
        <f>'Медикаменты Июнь'!L306</f>
        <v>0</v>
      </c>
      <c r="D314" s="17"/>
      <c r="E314" s="14"/>
      <c r="F314" s="18"/>
      <c r="G314" s="19"/>
      <c r="H314" s="20"/>
      <c r="I314" s="21"/>
      <c r="J314" s="14"/>
      <c r="K314" s="14">
        <f t="shared" si="8"/>
        <v>0</v>
      </c>
      <c r="L314" s="16">
        <f t="shared" si="9"/>
        <v>0</v>
      </c>
      <c r="M314" s="22"/>
      <c r="N314" s="44"/>
      <c r="O314" s="23" t="s">
        <v>16</v>
      </c>
      <c r="P314" s="24"/>
      <c r="Q314" s="45"/>
    </row>
    <row r="315" spans="1:17">
      <c r="A315" s="14">
        <v>311</v>
      </c>
      <c r="B315" s="29" t="s">
        <v>434</v>
      </c>
      <c r="C315" s="16">
        <f>'Медикаменты Июнь'!L307</f>
        <v>0</v>
      </c>
      <c r="D315" s="17"/>
      <c r="E315" s="14"/>
      <c r="F315" s="18"/>
      <c r="G315" s="19"/>
      <c r="H315" s="20"/>
      <c r="I315" s="21"/>
      <c r="J315" s="14"/>
      <c r="K315" s="14">
        <f t="shared" si="8"/>
        <v>0</v>
      </c>
      <c r="L315" s="16">
        <f t="shared" si="9"/>
        <v>0</v>
      </c>
      <c r="M315" s="22"/>
      <c r="N315" s="44"/>
      <c r="O315" s="23" t="s">
        <v>16</v>
      </c>
      <c r="P315" s="24"/>
      <c r="Q315" s="45"/>
    </row>
    <row r="316" spans="1:17">
      <c r="A316" s="14">
        <v>312</v>
      </c>
      <c r="B316" s="29" t="s">
        <v>435</v>
      </c>
      <c r="C316" s="16">
        <f>'Медикаменты Июнь'!L308</f>
        <v>0</v>
      </c>
      <c r="D316" s="17"/>
      <c r="E316" s="14"/>
      <c r="F316" s="18"/>
      <c r="G316" s="19"/>
      <c r="H316" s="20"/>
      <c r="I316" s="21"/>
      <c r="J316" s="14"/>
      <c r="K316" s="14">
        <f t="shared" si="8"/>
        <v>0</v>
      </c>
      <c r="L316" s="16">
        <f t="shared" si="9"/>
        <v>0</v>
      </c>
      <c r="M316" s="22"/>
      <c r="N316" s="44"/>
      <c r="O316" s="23" t="s">
        <v>16</v>
      </c>
      <c r="P316" s="24"/>
      <c r="Q316" s="45"/>
    </row>
    <row r="317" spans="1:17">
      <c r="A317" s="14">
        <v>313</v>
      </c>
      <c r="B317" s="29" t="s">
        <v>436</v>
      </c>
      <c r="C317" s="16">
        <f>'Медикаменты Июнь'!L309</f>
        <v>0</v>
      </c>
      <c r="D317" s="17"/>
      <c r="E317" s="14"/>
      <c r="F317" s="18"/>
      <c r="G317" s="19"/>
      <c r="H317" s="20"/>
      <c r="I317" s="21"/>
      <c r="J317" s="14"/>
      <c r="K317" s="14">
        <f t="shared" si="8"/>
        <v>0</v>
      </c>
      <c r="L317" s="16">
        <f t="shared" si="9"/>
        <v>0</v>
      </c>
      <c r="M317" s="22"/>
      <c r="N317" s="44"/>
      <c r="O317" s="23" t="s">
        <v>16</v>
      </c>
      <c r="P317" s="24"/>
      <c r="Q317" s="45"/>
    </row>
    <row r="318" spans="1:17">
      <c r="A318" s="14">
        <v>314</v>
      </c>
      <c r="B318" s="29" t="s">
        <v>437</v>
      </c>
      <c r="C318" s="16">
        <f>'Медикаменты Июнь'!L310</f>
        <v>485</v>
      </c>
      <c r="D318" s="17"/>
      <c r="E318" s="14"/>
      <c r="F318" s="18">
        <f>20+20</f>
        <v>40</v>
      </c>
      <c r="G318" s="19"/>
      <c r="H318" s="20"/>
      <c r="I318" s="21"/>
      <c r="J318" s="14"/>
      <c r="K318" s="14">
        <f t="shared" si="8"/>
        <v>40</v>
      </c>
      <c r="L318" s="16">
        <f t="shared" si="9"/>
        <v>445</v>
      </c>
      <c r="M318" s="22">
        <v>45689</v>
      </c>
      <c r="N318" s="44" t="s">
        <v>551</v>
      </c>
      <c r="O318" s="23" t="s">
        <v>16</v>
      </c>
      <c r="P318" s="24" t="s">
        <v>45</v>
      </c>
      <c r="Q318" s="28" t="s">
        <v>438</v>
      </c>
    </row>
    <row r="319" spans="1:17">
      <c r="A319" s="14">
        <v>315</v>
      </c>
      <c r="B319" s="29" t="s">
        <v>437</v>
      </c>
      <c r="C319" s="16">
        <f>'Медикаменты Июнь'!L311</f>
        <v>450</v>
      </c>
      <c r="D319" s="17"/>
      <c r="E319" s="14"/>
      <c r="F319" s="18"/>
      <c r="G319" s="19"/>
      <c r="H319" s="20"/>
      <c r="I319" s="21">
        <f>450</f>
        <v>450</v>
      </c>
      <c r="J319" s="14"/>
      <c r="K319" s="14">
        <f t="shared" si="8"/>
        <v>450</v>
      </c>
      <c r="L319" s="16">
        <f t="shared" si="9"/>
        <v>0</v>
      </c>
      <c r="M319" s="22">
        <v>45689</v>
      </c>
      <c r="N319" s="44" t="s">
        <v>551</v>
      </c>
      <c r="O319" s="23" t="s">
        <v>26</v>
      </c>
      <c r="P319" s="24" t="s">
        <v>45</v>
      </c>
      <c r="Q319" s="28" t="s">
        <v>438</v>
      </c>
    </row>
    <row r="320" spans="1:17">
      <c r="A320" s="14">
        <v>316</v>
      </c>
      <c r="B320" s="29" t="s">
        <v>440</v>
      </c>
      <c r="C320" s="16">
        <f>'Медикаменты Июнь'!L312</f>
        <v>0</v>
      </c>
      <c r="D320" s="17"/>
      <c r="E320" s="14"/>
      <c r="F320" s="18"/>
      <c r="G320" s="19"/>
      <c r="H320" s="20"/>
      <c r="I320" s="21"/>
      <c r="J320" s="14"/>
      <c r="K320" s="14">
        <f t="shared" si="8"/>
        <v>0</v>
      </c>
      <c r="L320" s="16">
        <f t="shared" si="9"/>
        <v>0</v>
      </c>
      <c r="M320" s="22"/>
      <c r="N320" s="44"/>
      <c r="O320" s="23" t="s">
        <v>16</v>
      </c>
      <c r="P320" s="24"/>
      <c r="Q320" s="45"/>
    </row>
    <row r="321" spans="1:17">
      <c r="A321" s="14">
        <v>317</v>
      </c>
      <c r="B321" s="29" t="s">
        <v>441</v>
      </c>
      <c r="C321" s="16">
        <f>'Медикаменты Июнь'!L313</f>
        <v>0</v>
      </c>
      <c r="D321" s="17"/>
      <c r="E321" s="14"/>
      <c r="F321" s="18"/>
      <c r="G321" s="19"/>
      <c r="H321" s="20"/>
      <c r="I321" s="21"/>
      <c r="J321" s="14"/>
      <c r="K321" s="14">
        <f t="shared" si="8"/>
        <v>0</v>
      </c>
      <c r="L321" s="16">
        <f t="shared" si="9"/>
        <v>0</v>
      </c>
      <c r="M321" s="22"/>
      <c r="N321" s="44"/>
      <c r="O321" s="23" t="s">
        <v>16</v>
      </c>
      <c r="P321" s="24"/>
      <c r="Q321" s="45"/>
    </row>
    <row r="322" spans="1:17">
      <c r="A322" s="14">
        <v>318</v>
      </c>
      <c r="B322" s="29" t="s">
        <v>442</v>
      </c>
      <c r="C322" s="16">
        <f>'Медикаменты Июнь'!L314</f>
        <v>0</v>
      </c>
      <c r="D322" s="17"/>
      <c r="E322" s="14"/>
      <c r="F322" s="18"/>
      <c r="G322" s="19"/>
      <c r="H322" s="20"/>
      <c r="I322" s="21"/>
      <c r="J322" s="14"/>
      <c r="K322" s="14">
        <f t="shared" si="8"/>
        <v>0</v>
      </c>
      <c r="L322" s="16">
        <f t="shared" si="9"/>
        <v>0</v>
      </c>
      <c r="M322" s="22"/>
      <c r="N322" s="44"/>
      <c r="O322" s="23" t="s">
        <v>16</v>
      </c>
      <c r="P322" s="24"/>
      <c r="Q322" s="45"/>
    </row>
    <row r="323" spans="1:17">
      <c r="A323" s="14">
        <v>319</v>
      </c>
      <c r="B323" s="29" t="s">
        <v>443</v>
      </c>
      <c r="C323" s="16">
        <f>'Медикаменты Июнь'!L315</f>
        <v>0</v>
      </c>
      <c r="D323" s="17"/>
      <c r="E323" s="14"/>
      <c r="F323" s="18"/>
      <c r="G323" s="19"/>
      <c r="H323" s="20"/>
      <c r="I323" s="21"/>
      <c r="J323" s="14"/>
      <c r="K323" s="14">
        <f t="shared" si="8"/>
        <v>0</v>
      </c>
      <c r="L323" s="16">
        <f t="shared" si="9"/>
        <v>0</v>
      </c>
      <c r="M323" s="22"/>
      <c r="N323" s="44"/>
      <c r="O323" s="23" t="s">
        <v>16</v>
      </c>
      <c r="P323" s="24"/>
      <c r="Q323" s="45"/>
    </row>
    <row r="324" spans="1:17">
      <c r="A324" s="14">
        <v>320</v>
      </c>
      <c r="B324" s="29" t="s">
        <v>444</v>
      </c>
      <c r="C324" s="16">
        <f>'Медикаменты Июнь'!L316</f>
        <v>15</v>
      </c>
      <c r="D324" s="17"/>
      <c r="E324" s="14"/>
      <c r="F324" s="18">
        <f>5+5+5</f>
        <v>15</v>
      </c>
      <c r="G324" s="19"/>
      <c r="H324" s="20"/>
      <c r="I324" s="21"/>
      <c r="J324" s="14"/>
      <c r="K324" s="14">
        <f t="shared" si="8"/>
        <v>15</v>
      </c>
      <c r="L324" s="16">
        <f t="shared" si="9"/>
        <v>0</v>
      </c>
      <c r="M324" s="22">
        <v>44501</v>
      </c>
      <c r="N324" s="44" t="s">
        <v>45</v>
      </c>
      <c r="O324" s="23" t="s">
        <v>16</v>
      </c>
      <c r="P324" s="24" t="s">
        <v>17</v>
      </c>
      <c r="Q324" s="28" t="s">
        <v>445</v>
      </c>
    </row>
    <row r="325" spans="1:17">
      <c r="A325" s="14">
        <v>321</v>
      </c>
      <c r="B325" s="29" t="s">
        <v>446</v>
      </c>
      <c r="C325" s="16">
        <f>'Медикаменты Июнь'!L317</f>
        <v>0</v>
      </c>
      <c r="D325" s="17"/>
      <c r="E325" s="14"/>
      <c r="F325" s="18"/>
      <c r="G325" s="19"/>
      <c r="H325" s="20"/>
      <c r="I325" s="21"/>
      <c r="J325" s="14"/>
      <c r="K325" s="14">
        <f t="shared" ref="K325:K388" si="10">SUM(F325:J325)</f>
        <v>0</v>
      </c>
      <c r="L325" s="16">
        <f t="shared" ref="L325:L388" si="11">(C325+E325)-K325</f>
        <v>0</v>
      </c>
      <c r="M325" s="22"/>
      <c r="N325" s="44"/>
      <c r="O325" s="23" t="s">
        <v>16</v>
      </c>
      <c r="P325" s="24"/>
      <c r="Q325" s="45"/>
    </row>
    <row r="326" spans="1:17">
      <c r="A326" s="14">
        <v>322</v>
      </c>
      <c r="B326" s="29" t="s">
        <v>447</v>
      </c>
      <c r="C326" s="16">
        <f>'Медикаменты Июнь'!L318</f>
        <v>0</v>
      </c>
      <c r="D326" s="17"/>
      <c r="E326" s="14"/>
      <c r="F326" s="18"/>
      <c r="G326" s="19"/>
      <c r="H326" s="20"/>
      <c r="I326" s="21"/>
      <c r="J326" s="14"/>
      <c r="K326" s="14">
        <f t="shared" si="10"/>
        <v>0</v>
      </c>
      <c r="L326" s="16">
        <f t="shared" si="11"/>
        <v>0</v>
      </c>
      <c r="M326" s="22">
        <v>44593</v>
      </c>
      <c r="N326" s="44"/>
      <c r="O326" s="23" t="s">
        <v>16</v>
      </c>
      <c r="P326" s="24"/>
      <c r="Q326" s="28" t="s">
        <v>448</v>
      </c>
    </row>
    <row r="327" spans="1:17">
      <c r="A327" s="14">
        <v>323</v>
      </c>
      <c r="B327" s="29" t="s">
        <v>449</v>
      </c>
      <c r="C327" s="16">
        <f>'Медикаменты Июнь'!L319</f>
        <v>0</v>
      </c>
      <c r="D327" s="17"/>
      <c r="E327" s="14"/>
      <c r="F327" s="18"/>
      <c r="G327" s="19"/>
      <c r="H327" s="20"/>
      <c r="I327" s="21"/>
      <c r="J327" s="14"/>
      <c r="K327" s="14">
        <f t="shared" si="10"/>
        <v>0</v>
      </c>
      <c r="L327" s="16">
        <f t="shared" si="11"/>
        <v>0</v>
      </c>
      <c r="M327" s="22">
        <v>44228</v>
      </c>
      <c r="N327" s="44"/>
      <c r="O327" s="23" t="s">
        <v>16</v>
      </c>
      <c r="P327" s="24" t="s">
        <v>17</v>
      </c>
      <c r="Q327" s="28" t="s">
        <v>450</v>
      </c>
    </row>
    <row r="328" spans="1:17">
      <c r="A328" s="14">
        <v>324</v>
      </c>
      <c r="B328" s="29" t="s">
        <v>451</v>
      </c>
      <c r="C328" s="16">
        <f>'Медикаменты Июнь'!L320</f>
        <v>0</v>
      </c>
      <c r="D328" s="17"/>
      <c r="E328" s="14"/>
      <c r="F328" s="18"/>
      <c r="G328" s="19"/>
      <c r="H328" s="20"/>
      <c r="I328" s="21"/>
      <c r="J328" s="14"/>
      <c r="K328" s="14">
        <f t="shared" si="10"/>
        <v>0</v>
      </c>
      <c r="L328" s="16">
        <f t="shared" si="11"/>
        <v>0</v>
      </c>
      <c r="M328" s="22">
        <v>44317</v>
      </c>
      <c r="N328" s="44"/>
      <c r="O328" s="23" t="s">
        <v>16</v>
      </c>
      <c r="P328" s="24" t="s">
        <v>17</v>
      </c>
      <c r="Q328" s="28" t="s">
        <v>452</v>
      </c>
    </row>
    <row r="329" spans="1:17" ht="25.5">
      <c r="A329" s="14">
        <v>325</v>
      </c>
      <c r="B329" s="29" t="s">
        <v>453</v>
      </c>
      <c r="C329" s="16">
        <f>'Медикаменты Июнь'!L321</f>
        <v>19</v>
      </c>
      <c r="D329" s="17"/>
      <c r="E329" s="14"/>
      <c r="F329" s="18"/>
      <c r="G329" s="19"/>
      <c r="H329" s="20"/>
      <c r="I329" s="21"/>
      <c r="J329" s="14"/>
      <c r="K329" s="14">
        <f t="shared" si="10"/>
        <v>0</v>
      </c>
      <c r="L329" s="16">
        <f t="shared" si="11"/>
        <v>19</v>
      </c>
      <c r="M329" s="22">
        <v>44470</v>
      </c>
      <c r="N329" s="44" t="s">
        <v>45</v>
      </c>
      <c r="O329" s="23" t="s">
        <v>16</v>
      </c>
      <c r="P329" s="24" t="s">
        <v>17</v>
      </c>
      <c r="Q329" s="28" t="s">
        <v>454</v>
      </c>
    </row>
    <row r="330" spans="1:17">
      <c r="A330" s="14">
        <v>326</v>
      </c>
      <c r="B330" s="29" t="s">
        <v>575</v>
      </c>
      <c r="C330" s="16">
        <f>'Медикаменты Июнь'!L322</f>
        <v>2</v>
      </c>
      <c r="D330" s="17"/>
      <c r="E330" s="14"/>
      <c r="F330" s="18"/>
      <c r="G330" s="19"/>
      <c r="H330" s="20"/>
      <c r="I330" s="21"/>
      <c r="J330" s="14"/>
      <c r="K330" s="14">
        <f t="shared" si="10"/>
        <v>0</v>
      </c>
      <c r="L330" s="16">
        <f t="shared" si="11"/>
        <v>2</v>
      </c>
      <c r="M330" s="22">
        <v>45444</v>
      </c>
      <c r="N330" s="44" t="s">
        <v>45</v>
      </c>
      <c r="O330" s="23" t="s">
        <v>16</v>
      </c>
      <c r="P330" s="24" t="s">
        <v>17</v>
      </c>
      <c r="Q330" s="28" t="s">
        <v>576</v>
      </c>
    </row>
    <row r="331" spans="1:17">
      <c r="A331" s="14">
        <v>327</v>
      </c>
      <c r="B331" s="29" t="s">
        <v>455</v>
      </c>
      <c r="C331" s="16">
        <f>'Медикаменты Июнь'!L323</f>
        <v>0</v>
      </c>
      <c r="D331" s="17"/>
      <c r="E331" s="14"/>
      <c r="F331" s="18"/>
      <c r="G331" s="19"/>
      <c r="H331" s="20"/>
      <c r="I331" s="21"/>
      <c r="J331" s="14"/>
      <c r="K331" s="14">
        <f t="shared" si="10"/>
        <v>0</v>
      </c>
      <c r="L331" s="16">
        <f t="shared" si="11"/>
        <v>0</v>
      </c>
      <c r="M331" s="22"/>
      <c r="N331" s="44"/>
      <c r="O331" s="23" t="s">
        <v>16</v>
      </c>
      <c r="P331" s="24"/>
      <c r="Q331" s="45"/>
    </row>
    <row r="332" spans="1:17">
      <c r="A332" s="14">
        <v>328</v>
      </c>
      <c r="B332" s="29" t="s">
        <v>456</v>
      </c>
      <c r="C332" s="16">
        <f>'Медикаменты Июнь'!L324</f>
        <v>0</v>
      </c>
      <c r="D332" s="17"/>
      <c r="E332" s="14"/>
      <c r="F332" s="18"/>
      <c r="G332" s="19"/>
      <c r="H332" s="20"/>
      <c r="I332" s="21"/>
      <c r="J332" s="14"/>
      <c r="K332" s="14">
        <f t="shared" si="10"/>
        <v>0</v>
      </c>
      <c r="L332" s="16">
        <f t="shared" si="11"/>
        <v>0</v>
      </c>
      <c r="M332" s="22">
        <v>44287</v>
      </c>
      <c r="N332" s="44"/>
      <c r="O332" s="23" t="s">
        <v>16</v>
      </c>
      <c r="P332" s="24"/>
      <c r="Q332" s="28" t="s">
        <v>457</v>
      </c>
    </row>
    <row r="333" spans="1:17">
      <c r="A333" s="14">
        <v>329</v>
      </c>
      <c r="B333" s="29" t="s">
        <v>458</v>
      </c>
      <c r="C333" s="16">
        <f>'Медикаменты Июнь'!L325</f>
        <v>0</v>
      </c>
      <c r="D333" s="17"/>
      <c r="E333" s="14"/>
      <c r="F333" s="18"/>
      <c r="G333" s="19"/>
      <c r="H333" s="20"/>
      <c r="I333" s="21"/>
      <c r="J333" s="14"/>
      <c r="K333" s="14">
        <f t="shared" si="10"/>
        <v>0</v>
      </c>
      <c r="L333" s="16">
        <f t="shared" si="11"/>
        <v>0</v>
      </c>
      <c r="M333" s="22">
        <v>44287</v>
      </c>
      <c r="N333" s="44" t="s">
        <v>45</v>
      </c>
      <c r="O333" s="23" t="s">
        <v>16</v>
      </c>
      <c r="P333" s="24" t="s">
        <v>45</v>
      </c>
      <c r="Q333" s="28" t="s">
        <v>459</v>
      </c>
    </row>
    <row r="334" spans="1:17">
      <c r="A334" s="14">
        <v>330</v>
      </c>
      <c r="B334" s="29" t="s">
        <v>460</v>
      </c>
      <c r="C334" s="16">
        <f>'Медикаменты Июнь'!L326</f>
        <v>0</v>
      </c>
      <c r="D334" s="17"/>
      <c r="E334" s="14"/>
      <c r="F334" s="18"/>
      <c r="G334" s="19"/>
      <c r="H334" s="20"/>
      <c r="I334" s="21"/>
      <c r="J334" s="14"/>
      <c r="K334" s="14">
        <f t="shared" si="10"/>
        <v>0</v>
      </c>
      <c r="L334" s="16">
        <f t="shared" si="11"/>
        <v>0</v>
      </c>
      <c r="M334" s="22">
        <v>45597</v>
      </c>
      <c r="N334" s="44"/>
      <c r="O334" s="23" t="s">
        <v>16</v>
      </c>
      <c r="P334" s="24" t="s">
        <v>45</v>
      </c>
      <c r="Q334" s="28" t="s">
        <v>461</v>
      </c>
    </row>
    <row r="335" spans="1:17">
      <c r="A335" s="14">
        <v>331</v>
      </c>
      <c r="B335" s="29" t="s">
        <v>462</v>
      </c>
      <c r="C335" s="16">
        <f>'Медикаменты Июнь'!L327</f>
        <v>0</v>
      </c>
      <c r="D335" s="17"/>
      <c r="E335" s="14"/>
      <c r="F335" s="18"/>
      <c r="G335" s="19"/>
      <c r="H335" s="20"/>
      <c r="I335" s="21"/>
      <c r="J335" s="14"/>
      <c r="K335" s="14">
        <f t="shared" si="10"/>
        <v>0</v>
      </c>
      <c r="L335" s="16">
        <f t="shared" si="11"/>
        <v>0</v>
      </c>
      <c r="M335" s="22">
        <v>43952</v>
      </c>
      <c r="N335" s="44"/>
      <c r="O335" s="23" t="s">
        <v>16</v>
      </c>
      <c r="P335" s="24"/>
      <c r="Q335" s="45"/>
    </row>
    <row r="336" spans="1:17">
      <c r="A336" s="14">
        <v>332</v>
      </c>
      <c r="B336" s="29" t="s">
        <v>463</v>
      </c>
      <c r="C336" s="16">
        <f>'Медикаменты Июнь'!L328</f>
        <v>0</v>
      </c>
      <c r="D336" s="17"/>
      <c r="E336" s="14"/>
      <c r="F336" s="18"/>
      <c r="G336" s="19"/>
      <c r="H336" s="20"/>
      <c r="I336" s="21"/>
      <c r="J336" s="14"/>
      <c r="K336" s="14">
        <f t="shared" si="10"/>
        <v>0</v>
      </c>
      <c r="L336" s="16">
        <f t="shared" si="11"/>
        <v>0</v>
      </c>
      <c r="M336" s="22"/>
      <c r="N336" s="44"/>
      <c r="O336" s="23" t="s">
        <v>16</v>
      </c>
      <c r="P336" s="24"/>
      <c r="Q336" s="45"/>
    </row>
    <row r="337" spans="1:17">
      <c r="A337" s="14">
        <v>333</v>
      </c>
      <c r="B337" s="29" t="s">
        <v>464</v>
      </c>
      <c r="C337" s="16">
        <f>'Медикаменты Июнь'!L329</f>
        <v>0</v>
      </c>
      <c r="D337" s="17"/>
      <c r="E337" s="14"/>
      <c r="F337" s="18"/>
      <c r="G337" s="19"/>
      <c r="H337" s="20"/>
      <c r="I337" s="21"/>
      <c r="J337" s="14"/>
      <c r="K337" s="14">
        <f t="shared" si="10"/>
        <v>0</v>
      </c>
      <c r="L337" s="16">
        <f t="shared" si="11"/>
        <v>0</v>
      </c>
      <c r="M337" s="22"/>
      <c r="N337" s="44"/>
      <c r="O337" s="23" t="s">
        <v>16</v>
      </c>
      <c r="P337" s="24"/>
      <c r="Q337" s="45"/>
    </row>
    <row r="338" spans="1:17">
      <c r="A338" s="14">
        <v>334</v>
      </c>
      <c r="B338" s="29" t="s">
        <v>465</v>
      </c>
      <c r="C338" s="16">
        <f>'Медикаменты Июнь'!L330</f>
        <v>0</v>
      </c>
      <c r="D338" s="17"/>
      <c r="E338" s="14"/>
      <c r="F338" s="18"/>
      <c r="G338" s="19"/>
      <c r="H338" s="20"/>
      <c r="I338" s="21"/>
      <c r="J338" s="14"/>
      <c r="K338" s="14">
        <f t="shared" si="10"/>
        <v>0</v>
      </c>
      <c r="L338" s="16">
        <f t="shared" si="11"/>
        <v>0</v>
      </c>
      <c r="M338" s="22"/>
      <c r="N338" s="44"/>
      <c r="O338" s="23" t="s">
        <v>16</v>
      </c>
      <c r="P338" s="24"/>
      <c r="Q338" s="45"/>
    </row>
    <row r="339" spans="1:17">
      <c r="A339" s="14">
        <v>335</v>
      </c>
      <c r="B339" s="29" t="s">
        <v>466</v>
      </c>
      <c r="C339" s="16">
        <f>'Медикаменты Июнь'!L331</f>
        <v>0</v>
      </c>
      <c r="D339" s="17"/>
      <c r="E339" s="14"/>
      <c r="F339" s="18"/>
      <c r="G339" s="19"/>
      <c r="H339" s="20"/>
      <c r="I339" s="21"/>
      <c r="J339" s="14"/>
      <c r="K339" s="14">
        <f t="shared" si="10"/>
        <v>0</v>
      </c>
      <c r="L339" s="16">
        <f t="shared" si="11"/>
        <v>0</v>
      </c>
      <c r="M339" s="22">
        <v>44835</v>
      </c>
      <c r="N339" s="44"/>
      <c r="O339" s="23" t="s">
        <v>16</v>
      </c>
      <c r="P339" s="24"/>
      <c r="Q339" s="45"/>
    </row>
    <row r="340" spans="1:17">
      <c r="A340" s="14">
        <v>336</v>
      </c>
      <c r="B340" s="29" t="s">
        <v>467</v>
      </c>
      <c r="C340" s="16">
        <f>'Медикаменты Июнь'!L332</f>
        <v>0</v>
      </c>
      <c r="D340" s="26"/>
      <c r="E340" s="14"/>
      <c r="F340" s="18"/>
      <c r="G340" s="19"/>
      <c r="H340" s="20"/>
      <c r="I340" s="21"/>
      <c r="J340" s="14"/>
      <c r="K340" s="14">
        <f t="shared" si="10"/>
        <v>0</v>
      </c>
      <c r="L340" s="16">
        <f t="shared" si="11"/>
        <v>0</v>
      </c>
      <c r="M340" s="22"/>
      <c r="N340" s="44"/>
      <c r="O340" s="23" t="s">
        <v>16</v>
      </c>
      <c r="P340" s="24"/>
      <c r="Q340" s="45"/>
    </row>
    <row r="341" spans="1:17">
      <c r="A341" s="14">
        <v>337</v>
      </c>
      <c r="B341" s="29" t="s">
        <v>468</v>
      </c>
      <c r="C341" s="16">
        <f>'Медикаменты Июнь'!L333</f>
        <v>0</v>
      </c>
      <c r="D341" s="17"/>
      <c r="E341" s="14"/>
      <c r="F341" s="18"/>
      <c r="G341" s="19"/>
      <c r="H341" s="20"/>
      <c r="I341" s="21"/>
      <c r="J341" s="14"/>
      <c r="K341" s="14">
        <f t="shared" si="10"/>
        <v>0</v>
      </c>
      <c r="L341" s="16">
        <f t="shared" si="11"/>
        <v>0</v>
      </c>
      <c r="M341" s="22"/>
      <c r="N341" s="44"/>
      <c r="O341" s="23" t="s">
        <v>16</v>
      </c>
      <c r="P341" s="24"/>
      <c r="Q341" s="45"/>
    </row>
    <row r="342" spans="1:17">
      <c r="A342" s="14">
        <v>338</v>
      </c>
      <c r="B342" s="29" t="s">
        <v>469</v>
      </c>
      <c r="C342" s="16">
        <f>'Медикаменты Июнь'!L334</f>
        <v>25</v>
      </c>
      <c r="D342" s="17"/>
      <c r="E342" s="14"/>
      <c r="F342" s="18">
        <f>5+10</f>
        <v>15</v>
      </c>
      <c r="G342" s="19"/>
      <c r="H342" s="20"/>
      <c r="I342" s="21"/>
      <c r="J342" s="14"/>
      <c r="K342" s="14">
        <f t="shared" si="10"/>
        <v>15</v>
      </c>
      <c r="L342" s="16">
        <f t="shared" si="11"/>
        <v>10</v>
      </c>
      <c r="M342" s="22">
        <v>44652</v>
      </c>
      <c r="N342" s="44" t="s">
        <v>45</v>
      </c>
      <c r="O342" s="23" t="s">
        <v>16</v>
      </c>
      <c r="P342" s="24" t="s">
        <v>17</v>
      </c>
      <c r="Q342" s="28" t="s">
        <v>470</v>
      </c>
    </row>
    <row r="343" spans="1:17">
      <c r="A343" s="14">
        <v>339</v>
      </c>
      <c r="B343" s="29" t="s">
        <v>577</v>
      </c>
      <c r="C343" s="16">
        <f>'Медикаменты Июнь'!L335</f>
        <v>278</v>
      </c>
      <c r="D343" s="17"/>
      <c r="E343" s="14">
        <f>665</f>
        <v>665</v>
      </c>
      <c r="F343" s="18">
        <f>10+10+10+50</f>
        <v>80</v>
      </c>
      <c r="G343" s="19"/>
      <c r="H343" s="20"/>
      <c r="I343" s="21"/>
      <c r="J343" s="14"/>
      <c r="K343" s="14">
        <f t="shared" si="10"/>
        <v>80</v>
      </c>
      <c r="L343" s="16">
        <f t="shared" si="11"/>
        <v>863</v>
      </c>
      <c r="M343" s="22">
        <v>44927</v>
      </c>
      <c r="N343" s="44" t="s">
        <v>551</v>
      </c>
      <c r="O343" s="23" t="s">
        <v>16</v>
      </c>
      <c r="P343" s="24" t="s">
        <v>17</v>
      </c>
      <c r="Q343" s="28" t="s">
        <v>578</v>
      </c>
    </row>
    <row r="344" spans="1:17">
      <c r="A344" s="14">
        <v>340</v>
      </c>
      <c r="B344" s="29" t="s">
        <v>577</v>
      </c>
      <c r="C344" s="16">
        <f>'Медикаменты Июнь'!L336</f>
        <v>53</v>
      </c>
      <c r="D344" s="17"/>
      <c r="E344" s="14"/>
      <c r="F344" s="18"/>
      <c r="G344" s="19"/>
      <c r="H344" s="20"/>
      <c r="I344" s="21">
        <f>53</f>
        <v>53</v>
      </c>
      <c r="J344" s="14"/>
      <c r="K344" s="14">
        <f t="shared" si="10"/>
        <v>53</v>
      </c>
      <c r="L344" s="16">
        <f t="shared" si="11"/>
        <v>0</v>
      </c>
      <c r="M344" s="22">
        <v>44927</v>
      </c>
      <c r="N344" s="44" t="s">
        <v>551</v>
      </c>
      <c r="O344" s="23" t="s">
        <v>26</v>
      </c>
      <c r="P344" s="24" t="s">
        <v>17</v>
      </c>
      <c r="Q344" s="28" t="s">
        <v>578</v>
      </c>
    </row>
    <row r="345" spans="1:17">
      <c r="A345" s="14">
        <v>341</v>
      </c>
      <c r="B345" s="29" t="s">
        <v>579</v>
      </c>
      <c r="C345" s="16">
        <f>'Медикаменты Июнь'!L337</f>
        <v>192</v>
      </c>
      <c r="D345" s="17"/>
      <c r="E345" s="14">
        <f>500</f>
        <v>500</v>
      </c>
      <c r="F345" s="18">
        <f>5+20+50</f>
        <v>75</v>
      </c>
      <c r="G345" s="19"/>
      <c r="H345" s="20"/>
      <c r="I345" s="21"/>
      <c r="J345" s="14"/>
      <c r="K345" s="14">
        <f t="shared" si="10"/>
        <v>75</v>
      </c>
      <c r="L345" s="16">
        <f t="shared" si="11"/>
        <v>617</v>
      </c>
      <c r="M345" s="22">
        <v>44927</v>
      </c>
      <c r="N345" s="44" t="s">
        <v>551</v>
      </c>
      <c r="O345" s="23" t="s">
        <v>16</v>
      </c>
      <c r="P345" s="24" t="s">
        <v>17</v>
      </c>
      <c r="Q345" s="28" t="s">
        <v>580</v>
      </c>
    </row>
    <row r="346" spans="1:17">
      <c r="A346" s="14">
        <v>342</v>
      </c>
      <c r="B346" s="29" t="s">
        <v>581</v>
      </c>
      <c r="C346" s="16">
        <f>'Медикаменты Июнь'!L338</f>
        <v>80</v>
      </c>
      <c r="D346" s="17"/>
      <c r="E346" s="14"/>
      <c r="F346" s="18"/>
      <c r="G346" s="19"/>
      <c r="H346" s="20"/>
      <c r="I346" s="21"/>
      <c r="J346" s="14"/>
      <c r="K346" s="14">
        <f t="shared" si="10"/>
        <v>0</v>
      </c>
      <c r="L346" s="16">
        <f t="shared" si="11"/>
        <v>80</v>
      </c>
      <c r="M346" s="22">
        <v>44927</v>
      </c>
      <c r="N346" s="44" t="s">
        <v>551</v>
      </c>
      <c r="O346" s="23" t="s">
        <v>16</v>
      </c>
      <c r="P346" s="24" t="s">
        <v>17</v>
      </c>
      <c r="Q346" s="28" t="s">
        <v>582</v>
      </c>
    </row>
    <row r="347" spans="1:17">
      <c r="A347" s="14">
        <v>343</v>
      </c>
      <c r="B347" s="29" t="s">
        <v>612</v>
      </c>
      <c r="C347" s="16"/>
      <c r="D347" s="17"/>
      <c r="E347" s="14">
        <f>300</f>
        <v>300</v>
      </c>
      <c r="F347" s="18"/>
      <c r="G347" s="19"/>
      <c r="H347" s="20"/>
      <c r="I347" s="21"/>
      <c r="J347" s="14"/>
      <c r="K347" s="14">
        <f t="shared" si="10"/>
        <v>0</v>
      </c>
      <c r="L347" s="16">
        <f t="shared" si="11"/>
        <v>300</v>
      </c>
      <c r="M347" s="22">
        <v>44866</v>
      </c>
      <c r="N347" s="44" t="s">
        <v>551</v>
      </c>
      <c r="O347" s="23" t="s">
        <v>16</v>
      </c>
      <c r="P347" s="24" t="s">
        <v>17</v>
      </c>
      <c r="Q347" s="28" t="s">
        <v>613</v>
      </c>
    </row>
    <row r="348" spans="1:17">
      <c r="A348" s="14">
        <v>344</v>
      </c>
      <c r="B348" s="29" t="s">
        <v>471</v>
      </c>
      <c r="C348" s="16">
        <f>'Медикаменты Июнь'!L339</f>
        <v>0</v>
      </c>
      <c r="D348" s="17"/>
      <c r="E348" s="14"/>
      <c r="F348" s="18"/>
      <c r="G348" s="19"/>
      <c r="H348" s="20"/>
      <c r="I348" s="21"/>
      <c r="J348" s="14"/>
      <c r="K348" s="14">
        <f t="shared" si="10"/>
        <v>0</v>
      </c>
      <c r="L348" s="16">
        <f t="shared" si="11"/>
        <v>0</v>
      </c>
      <c r="M348" s="22"/>
      <c r="N348" s="44"/>
      <c r="O348" s="23" t="s">
        <v>16</v>
      </c>
      <c r="P348" s="24"/>
      <c r="Q348" s="45"/>
    </row>
    <row r="349" spans="1:17">
      <c r="A349" s="14">
        <v>345</v>
      </c>
      <c r="B349" s="29" t="s">
        <v>472</v>
      </c>
      <c r="C349" s="16">
        <f>'Медикаменты Июнь'!L340</f>
        <v>0</v>
      </c>
      <c r="D349" s="17"/>
      <c r="E349" s="14"/>
      <c r="F349" s="18"/>
      <c r="G349" s="19"/>
      <c r="H349" s="20"/>
      <c r="I349" s="21"/>
      <c r="J349" s="14"/>
      <c r="K349" s="14">
        <f t="shared" si="10"/>
        <v>0</v>
      </c>
      <c r="L349" s="16">
        <f t="shared" si="11"/>
        <v>0</v>
      </c>
      <c r="M349" s="22">
        <v>44562</v>
      </c>
      <c r="N349" s="44"/>
      <c r="O349" s="23" t="s">
        <v>16</v>
      </c>
      <c r="P349" s="24"/>
      <c r="Q349" s="28" t="s">
        <v>473</v>
      </c>
    </row>
    <row r="350" spans="1:17">
      <c r="A350" s="14">
        <v>346</v>
      </c>
      <c r="B350" s="29" t="s">
        <v>474</v>
      </c>
      <c r="C350" s="16">
        <f>'Медикаменты Июнь'!L341</f>
        <v>270</v>
      </c>
      <c r="D350" s="17"/>
      <c r="E350" s="14"/>
      <c r="F350" s="18">
        <f>5+5+10</f>
        <v>20</v>
      </c>
      <c r="G350" s="19"/>
      <c r="H350" s="20"/>
      <c r="I350" s="21"/>
      <c r="J350" s="14"/>
      <c r="K350" s="14">
        <f t="shared" si="10"/>
        <v>20</v>
      </c>
      <c r="L350" s="16">
        <f t="shared" si="11"/>
        <v>250</v>
      </c>
      <c r="M350" s="22">
        <v>44743</v>
      </c>
      <c r="N350" s="44" t="s">
        <v>551</v>
      </c>
      <c r="O350" s="23" t="s">
        <v>16</v>
      </c>
      <c r="P350" s="24" t="s">
        <v>45</v>
      </c>
      <c r="Q350" s="28" t="s">
        <v>475</v>
      </c>
    </row>
    <row r="351" spans="1:17">
      <c r="A351" s="14">
        <v>347</v>
      </c>
      <c r="B351" s="29" t="s">
        <v>476</v>
      </c>
      <c r="C351" s="16">
        <f>'Медикаменты Июнь'!L342</f>
        <v>0</v>
      </c>
      <c r="D351" s="17"/>
      <c r="E351" s="14"/>
      <c r="F351" s="18"/>
      <c r="G351" s="19"/>
      <c r="H351" s="20"/>
      <c r="I351" s="21"/>
      <c r="J351" s="14"/>
      <c r="K351" s="14">
        <f t="shared" si="10"/>
        <v>0</v>
      </c>
      <c r="L351" s="16">
        <f t="shared" si="11"/>
        <v>0</v>
      </c>
      <c r="M351" s="22">
        <v>44531</v>
      </c>
      <c r="N351" s="44"/>
      <c r="O351" s="23" t="s">
        <v>16</v>
      </c>
      <c r="P351" s="24" t="s">
        <v>45</v>
      </c>
      <c r="Q351" s="28" t="s">
        <v>477</v>
      </c>
    </row>
    <row r="352" spans="1:17">
      <c r="A352" s="14">
        <v>348</v>
      </c>
      <c r="B352" s="29" t="s">
        <v>478</v>
      </c>
      <c r="C352" s="16">
        <f>'Медикаменты Июнь'!L343</f>
        <v>0</v>
      </c>
      <c r="D352" s="17"/>
      <c r="E352" s="14"/>
      <c r="F352" s="18"/>
      <c r="G352" s="19"/>
      <c r="H352" s="20"/>
      <c r="I352" s="21"/>
      <c r="J352" s="14"/>
      <c r="K352" s="14">
        <f t="shared" si="10"/>
        <v>0</v>
      </c>
      <c r="L352" s="16">
        <f t="shared" si="11"/>
        <v>0</v>
      </c>
      <c r="M352" s="22"/>
      <c r="N352" s="44"/>
      <c r="O352" s="23" t="s">
        <v>16</v>
      </c>
      <c r="P352" s="24"/>
      <c r="Q352" s="45"/>
    </row>
    <row r="353" spans="1:17">
      <c r="A353" s="14">
        <v>349</v>
      </c>
      <c r="B353" s="29" t="s">
        <v>479</v>
      </c>
      <c r="C353" s="16">
        <f>'Медикаменты Июнь'!L344</f>
        <v>0</v>
      </c>
      <c r="D353" s="17"/>
      <c r="E353" s="14"/>
      <c r="F353" s="18"/>
      <c r="G353" s="19"/>
      <c r="H353" s="20"/>
      <c r="I353" s="21"/>
      <c r="J353" s="14"/>
      <c r="K353" s="14">
        <f t="shared" si="10"/>
        <v>0</v>
      </c>
      <c r="L353" s="16">
        <f t="shared" si="11"/>
        <v>0</v>
      </c>
      <c r="M353" s="22">
        <v>44743</v>
      </c>
      <c r="N353" s="44"/>
      <c r="O353" s="23" t="s">
        <v>16</v>
      </c>
      <c r="P353" s="24"/>
      <c r="Q353" s="28" t="s">
        <v>480</v>
      </c>
    </row>
    <row r="354" spans="1:17">
      <c r="A354" s="14">
        <v>350</v>
      </c>
      <c r="B354" s="29" t="s">
        <v>481</v>
      </c>
      <c r="C354" s="16">
        <f>'Медикаменты Июнь'!L345</f>
        <v>25</v>
      </c>
      <c r="D354" s="17"/>
      <c r="E354" s="14">
        <f>170</f>
        <v>170</v>
      </c>
      <c r="F354" s="18">
        <f>20+5+20</f>
        <v>45</v>
      </c>
      <c r="G354" s="19"/>
      <c r="H354" s="20"/>
      <c r="I354" s="21"/>
      <c r="J354" s="14"/>
      <c r="K354" s="14">
        <f t="shared" si="10"/>
        <v>45</v>
      </c>
      <c r="L354" s="16">
        <f t="shared" si="11"/>
        <v>150</v>
      </c>
      <c r="M354" s="22">
        <v>45108</v>
      </c>
      <c r="N354" s="44" t="s">
        <v>45</v>
      </c>
      <c r="O354" s="23" t="s">
        <v>16</v>
      </c>
      <c r="P354" s="24" t="s">
        <v>17</v>
      </c>
      <c r="Q354" s="28" t="s">
        <v>558</v>
      </c>
    </row>
    <row r="355" spans="1:17">
      <c r="A355" s="14">
        <v>351</v>
      </c>
      <c r="B355" s="29" t="s">
        <v>481</v>
      </c>
      <c r="C355" s="16">
        <f>'Медикаменты Июнь'!L346</f>
        <v>0</v>
      </c>
      <c r="D355" s="17"/>
      <c r="E355" s="14"/>
      <c r="F355" s="18"/>
      <c r="G355" s="19"/>
      <c r="H355" s="20"/>
      <c r="I355" s="21"/>
      <c r="J355" s="14"/>
      <c r="K355" s="14">
        <f t="shared" si="10"/>
        <v>0</v>
      </c>
      <c r="L355" s="16">
        <f t="shared" si="11"/>
        <v>0</v>
      </c>
      <c r="M355" s="22">
        <v>45078</v>
      </c>
      <c r="N355" s="44" t="s">
        <v>45</v>
      </c>
      <c r="O355" s="23" t="s">
        <v>26</v>
      </c>
      <c r="P355" s="24" t="s">
        <v>17</v>
      </c>
      <c r="Q355" s="28" t="s">
        <v>558</v>
      </c>
    </row>
    <row r="356" spans="1:17">
      <c r="A356" s="14">
        <v>352</v>
      </c>
      <c r="B356" s="29" t="s">
        <v>483</v>
      </c>
      <c r="C356" s="16">
        <f>'Медикаменты Июнь'!L347</f>
        <v>0</v>
      </c>
      <c r="D356" s="17"/>
      <c r="E356" s="14"/>
      <c r="F356" s="18"/>
      <c r="G356" s="19"/>
      <c r="H356" s="20"/>
      <c r="I356" s="21"/>
      <c r="J356" s="14"/>
      <c r="K356" s="14">
        <f t="shared" si="10"/>
        <v>0</v>
      </c>
      <c r="L356" s="16">
        <f t="shared" si="11"/>
        <v>0</v>
      </c>
      <c r="M356" s="22">
        <v>45689</v>
      </c>
      <c r="N356" s="44" t="s">
        <v>45</v>
      </c>
      <c r="O356" s="23" t="s">
        <v>16</v>
      </c>
      <c r="P356" s="24" t="s">
        <v>17</v>
      </c>
      <c r="Q356" s="28" t="s">
        <v>484</v>
      </c>
    </row>
    <row r="357" spans="1:17">
      <c r="A357" s="14">
        <v>353</v>
      </c>
      <c r="B357" s="29" t="s">
        <v>483</v>
      </c>
      <c r="C357" s="16">
        <f>'Медикаменты Июнь'!L348</f>
        <v>0</v>
      </c>
      <c r="D357" s="17"/>
      <c r="E357" s="14"/>
      <c r="F357" s="18"/>
      <c r="G357" s="19"/>
      <c r="H357" s="20"/>
      <c r="I357" s="21"/>
      <c r="J357" s="14"/>
      <c r="K357" s="14">
        <f t="shared" si="10"/>
        <v>0</v>
      </c>
      <c r="L357" s="16">
        <f t="shared" si="11"/>
        <v>0</v>
      </c>
      <c r="M357" s="22">
        <v>45689</v>
      </c>
      <c r="N357" s="44" t="s">
        <v>45</v>
      </c>
      <c r="O357" s="23" t="s">
        <v>26</v>
      </c>
      <c r="P357" s="24" t="s">
        <v>17</v>
      </c>
      <c r="Q357" s="28" t="s">
        <v>484</v>
      </c>
    </row>
    <row r="358" spans="1:17">
      <c r="A358" s="14">
        <v>354</v>
      </c>
      <c r="B358" s="29" t="s">
        <v>485</v>
      </c>
      <c r="C358" s="16">
        <f>'Медикаменты Июнь'!L349</f>
        <v>0</v>
      </c>
      <c r="D358" s="17"/>
      <c r="E358" s="14"/>
      <c r="F358" s="18"/>
      <c r="G358" s="19"/>
      <c r="H358" s="20"/>
      <c r="I358" s="21"/>
      <c r="J358" s="14"/>
      <c r="K358" s="14">
        <f t="shared" si="10"/>
        <v>0</v>
      </c>
      <c r="L358" s="16">
        <f t="shared" si="11"/>
        <v>0</v>
      </c>
      <c r="M358" s="22">
        <v>45597</v>
      </c>
      <c r="N358" s="44"/>
      <c r="O358" s="23" t="s">
        <v>16</v>
      </c>
      <c r="P358" s="24"/>
      <c r="Q358" s="28" t="s">
        <v>486</v>
      </c>
    </row>
    <row r="359" spans="1:17">
      <c r="A359" s="14">
        <v>355</v>
      </c>
      <c r="B359" s="29" t="s">
        <v>487</v>
      </c>
      <c r="C359" s="16">
        <f>'Медикаменты Июнь'!L350</f>
        <v>0</v>
      </c>
      <c r="D359" s="17"/>
      <c r="E359" s="14"/>
      <c r="F359" s="18"/>
      <c r="G359" s="19"/>
      <c r="H359" s="20"/>
      <c r="I359" s="21"/>
      <c r="J359" s="14"/>
      <c r="K359" s="14">
        <f t="shared" si="10"/>
        <v>0</v>
      </c>
      <c r="L359" s="16">
        <f t="shared" si="11"/>
        <v>0</v>
      </c>
      <c r="M359" s="22"/>
      <c r="N359" s="44"/>
      <c r="O359" s="23" t="s">
        <v>16</v>
      </c>
      <c r="P359" s="24"/>
      <c r="Q359" s="45"/>
    </row>
    <row r="360" spans="1:17">
      <c r="A360" s="14">
        <v>356</v>
      </c>
      <c r="B360" s="29" t="s">
        <v>488</v>
      </c>
      <c r="C360" s="16">
        <f>'Медикаменты Июнь'!L351</f>
        <v>12</v>
      </c>
      <c r="D360" s="17"/>
      <c r="E360" s="14"/>
      <c r="F360" s="18">
        <f>5+3+4</f>
        <v>12</v>
      </c>
      <c r="G360" s="19"/>
      <c r="H360" s="20"/>
      <c r="I360" s="21"/>
      <c r="J360" s="14"/>
      <c r="K360" s="14">
        <f t="shared" si="10"/>
        <v>12</v>
      </c>
      <c r="L360" s="16">
        <f t="shared" si="11"/>
        <v>0</v>
      </c>
      <c r="M360" s="22">
        <v>45200</v>
      </c>
      <c r="N360" s="44" t="s">
        <v>551</v>
      </c>
      <c r="O360" s="23" t="s">
        <v>16</v>
      </c>
      <c r="P360" s="24" t="s">
        <v>17</v>
      </c>
      <c r="Q360" s="28" t="s">
        <v>489</v>
      </c>
    </row>
    <row r="361" spans="1:17">
      <c r="A361" s="14">
        <v>357</v>
      </c>
      <c r="B361" s="29" t="s">
        <v>490</v>
      </c>
      <c r="C361" s="16">
        <f>'Медикаменты Июнь'!L352</f>
        <v>0</v>
      </c>
      <c r="D361" s="17"/>
      <c r="E361" s="14"/>
      <c r="F361" s="18"/>
      <c r="G361" s="19"/>
      <c r="H361" s="20"/>
      <c r="I361" s="21"/>
      <c r="J361" s="14"/>
      <c r="K361" s="14">
        <f t="shared" si="10"/>
        <v>0</v>
      </c>
      <c r="L361" s="16">
        <f t="shared" si="11"/>
        <v>0</v>
      </c>
      <c r="M361" s="22"/>
      <c r="N361" s="44"/>
      <c r="O361" s="23" t="s">
        <v>16</v>
      </c>
      <c r="P361" s="24"/>
      <c r="Q361" s="45"/>
    </row>
    <row r="362" spans="1:17">
      <c r="A362" s="14">
        <v>358</v>
      </c>
      <c r="B362" s="29" t="s">
        <v>614</v>
      </c>
      <c r="C362" s="16"/>
      <c r="D362" s="17"/>
      <c r="E362" s="14">
        <f>75</f>
        <v>75</v>
      </c>
      <c r="F362" s="18"/>
      <c r="G362" s="19"/>
      <c r="H362" s="20"/>
      <c r="I362" s="21"/>
      <c r="J362" s="14"/>
      <c r="K362" s="14">
        <f t="shared" si="10"/>
        <v>0</v>
      </c>
      <c r="L362" s="16">
        <f t="shared" si="11"/>
        <v>75</v>
      </c>
      <c r="M362" s="22">
        <v>45323</v>
      </c>
      <c r="N362" s="44" t="s">
        <v>551</v>
      </c>
      <c r="O362" s="23" t="s">
        <v>16</v>
      </c>
      <c r="P362" s="24" t="s">
        <v>17</v>
      </c>
      <c r="Q362" s="28" t="s">
        <v>615</v>
      </c>
    </row>
    <row r="363" spans="1:17" ht="25.5">
      <c r="A363" s="14">
        <v>359</v>
      </c>
      <c r="B363" s="29" t="s">
        <v>491</v>
      </c>
      <c r="C363" s="16">
        <f>'Медикаменты Июнь'!L353</f>
        <v>50</v>
      </c>
      <c r="D363" s="17"/>
      <c r="E363" s="14"/>
      <c r="F363" s="18"/>
      <c r="G363" s="19"/>
      <c r="H363" s="20"/>
      <c r="I363" s="21"/>
      <c r="J363" s="14"/>
      <c r="K363" s="14">
        <f t="shared" si="10"/>
        <v>0</v>
      </c>
      <c r="L363" s="16">
        <f t="shared" si="11"/>
        <v>50</v>
      </c>
      <c r="M363" s="22">
        <v>45231</v>
      </c>
      <c r="N363" s="44" t="s">
        <v>551</v>
      </c>
      <c r="O363" s="23" t="s">
        <v>16</v>
      </c>
      <c r="P363" s="24" t="s">
        <v>17</v>
      </c>
      <c r="Q363" s="28" t="s">
        <v>492</v>
      </c>
    </row>
    <row r="364" spans="1:17" ht="25.5">
      <c r="A364" s="14">
        <v>360</v>
      </c>
      <c r="B364" s="29" t="s">
        <v>491</v>
      </c>
      <c r="C364" s="16">
        <f>'Медикаменты Июнь'!L354</f>
        <v>350</v>
      </c>
      <c r="D364" s="17"/>
      <c r="E364" s="14"/>
      <c r="F364" s="18"/>
      <c r="G364" s="19">
        <f>5</f>
        <v>5</v>
      </c>
      <c r="H364" s="20"/>
      <c r="I364" s="21"/>
      <c r="J364" s="14"/>
      <c r="K364" s="14">
        <f t="shared" si="10"/>
        <v>5</v>
      </c>
      <c r="L364" s="16">
        <f t="shared" si="11"/>
        <v>345</v>
      </c>
      <c r="M364" s="22">
        <v>44896</v>
      </c>
      <c r="N364" s="44" t="s">
        <v>551</v>
      </c>
      <c r="O364" s="23" t="s">
        <v>16</v>
      </c>
      <c r="P364" s="24" t="s">
        <v>17</v>
      </c>
      <c r="Q364" s="28" t="s">
        <v>492</v>
      </c>
    </row>
    <row r="365" spans="1:17">
      <c r="A365" s="14">
        <v>361</v>
      </c>
      <c r="B365" s="29" t="s">
        <v>493</v>
      </c>
      <c r="C365" s="16">
        <f>'Медикаменты Июнь'!L355</f>
        <v>100</v>
      </c>
      <c r="D365" s="17"/>
      <c r="E365" s="14"/>
      <c r="F365" s="18">
        <f>14+6+40</f>
        <v>60</v>
      </c>
      <c r="G365" s="19"/>
      <c r="H365" s="20"/>
      <c r="I365" s="21"/>
      <c r="J365" s="14"/>
      <c r="K365" s="14">
        <f t="shared" si="10"/>
        <v>60</v>
      </c>
      <c r="L365" s="16">
        <f t="shared" si="11"/>
        <v>40</v>
      </c>
      <c r="M365" s="22">
        <v>44774</v>
      </c>
      <c r="N365" s="44" t="s">
        <v>551</v>
      </c>
      <c r="O365" s="23" t="s">
        <v>16</v>
      </c>
      <c r="P365" s="24" t="s">
        <v>17</v>
      </c>
      <c r="Q365" s="28" t="s">
        <v>494</v>
      </c>
    </row>
    <row r="366" spans="1:17">
      <c r="A366" s="14">
        <v>362</v>
      </c>
      <c r="B366" s="29" t="s">
        <v>495</v>
      </c>
      <c r="C366" s="16">
        <f>'Медикаменты Июнь'!L356</f>
        <v>0</v>
      </c>
      <c r="D366" s="17"/>
      <c r="E366" s="14"/>
      <c r="F366" s="18"/>
      <c r="G366" s="19"/>
      <c r="H366" s="20"/>
      <c r="I366" s="21"/>
      <c r="J366" s="14"/>
      <c r="K366" s="14">
        <f t="shared" si="10"/>
        <v>0</v>
      </c>
      <c r="L366" s="16">
        <f t="shared" si="11"/>
        <v>0</v>
      </c>
      <c r="M366" s="22"/>
      <c r="N366" s="44"/>
      <c r="O366" s="23" t="s">
        <v>16</v>
      </c>
      <c r="P366" s="24"/>
      <c r="Q366" s="45"/>
    </row>
    <row r="367" spans="1:17">
      <c r="A367" s="14">
        <v>363</v>
      </c>
      <c r="B367" s="29" t="s">
        <v>583</v>
      </c>
      <c r="C367" s="16">
        <f>'Медикаменты Июнь'!L357</f>
        <v>10</v>
      </c>
      <c r="D367" s="17"/>
      <c r="E367" s="14"/>
      <c r="F367" s="18">
        <f>2</f>
        <v>2</v>
      </c>
      <c r="G367" s="19"/>
      <c r="H367" s="20"/>
      <c r="I367" s="21"/>
      <c r="J367" s="14"/>
      <c r="K367" s="14">
        <f t="shared" si="10"/>
        <v>2</v>
      </c>
      <c r="L367" s="16">
        <f t="shared" si="11"/>
        <v>8</v>
      </c>
      <c r="M367" s="22">
        <v>44896</v>
      </c>
      <c r="N367" s="44" t="s">
        <v>551</v>
      </c>
      <c r="O367" s="23" t="s">
        <v>16</v>
      </c>
      <c r="P367" s="24" t="s">
        <v>17</v>
      </c>
      <c r="Q367" s="28" t="s">
        <v>497</v>
      </c>
    </row>
    <row r="368" spans="1:17">
      <c r="A368" s="14">
        <v>364</v>
      </c>
      <c r="B368" s="29" t="s">
        <v>498</v>
      </c>
      <c r="C368" s="16">
        <f>'Медикаменты Июнь'!L358</f>
        <v>100</v>
      </c>
      <c r="D368" s="17"/>
      <c r="E368" s="14"/>
      <c r="F368" s="18"/>
      <c r="G368" s="19"/>
      <c r="H368" s="20"/>
      <c r="I368" s="21"/>
      <c r="J368" s="14"/>
      <c r="K368" s="14">
        <f t="shared" si="10"/>
        <v>0</v>
      </c>
      <c r="L368" s="16">
        <f t="shared" si="11"/>
        <v>100</v>
      </c>
      <c r="M368" s="22">
        <v>44805</v>
      </c>
      <c r="N368" s="44" t="s">
        <v>45</v>
      </c>
      <c r="O368" s="23" t="s">
        <v>16</v>
      </c>
      <c r="P368" s="24" t="s">
        <v>17</v>
      </c>
      <c r="Q368" s="28" t="s">
        <v>499</v>
      </c>
    </row>
    <row r="369" spans="1:17">
      <c r="A369" s="14">
        <v>365</v>
      </c>
      <c r="B369" s="29" t="s">
        <v>500</v>
      </c>
      <c r="C369" s="16">
        <f>'Медикаменты Июнь'!L359</f>
        <v>80</v>
      </c>
      <c r="D369" s="17"/>
      <c r="E369" s="14"/>
      <c r="F369" s="18"/>
      <c r="G369" s="19"/>
      <c r="H369" s="20"/>
      <c r="I369" s="21"/>
      <c r="J369" s="14"/>
      <c r="K369" s="14">
        <f t="shared" si="10"/>
        <v>0</v>
      </c>
      <c r="L369" s="16">
        <f t="shared" si="11"/>
        <v>80</v>
      </c>
      <c r="M369" s="22">
        <v>45992</v>
      </c>
      <c r="N369" s="44" t="s">
        <v>551</v>
      </c>
      <c r="O369" s="23" t="s">
        <v>16</v>
      </c>
      <c r="P369" s="24" t="s">
        <v>17</v>
      </c>
      <c r="Q369" s="28" t="s">
        <v>616</v>
      </c>
    </row>
    <row r="370" spans="1:17">
      <c r="A370" s="14">
        <v>366</v>
      </c>
      <c r="B370" s="29" t="s">
        <v>501</v>
      </c>
      <c r="C370" s="16">
        <f>'Медикаменты Июнь'!L360</f>
        <v>0</v>
      </c>
      <c r="D370" s="17"/>
      <c r="E370" s="14"/>
      <c r="F370" s="18"/>
      <c r="G370" s="19"/>
      <c r="H370" s="20"/>
      <c r="I370" s="21"/>
      <c r="J370" s="14"/>
      <c r="K370" s="14">
        <f t="shared" si="10"/>
        <v>0</v>
      </c>
      <c r="L370" s="16">
        <f t="shared" si="11"/>
        <v>0</v>
      </c>
      <c r="M370" s="22"/>
      <c r="N370" s="44"/>
      <c r="O370" s="23" t="s">
        <v>16</v>
      </c>
      <c r="P370" s="24"/>
      <c r="Q370" s="45"/>
    </row>
    <row r="371" spans="1:17">
      <c r="A371" s="14">
        <v>367</v>
      </c>
      <c r="B371" s="29" t="s">
        <v>502</v>
      </c>
      <c r="C371" s="16">
        <f>'Медикаменты Июнь'!L361</f>
        <v>30</v>
      </c>
      <c r="D371" s="17"/>
      <c r="E371" s="14"/>
      <c r="F371" s="18"/>
      <c r="G371" s="19"/>
      <c r="H371" s="20"/>
      <c r="I371" s="21"/>
      <c r="J371" s="14"/>
      <c r="K371" s="14">
        <f t="shared" si="10"/>
        <v>0</v>
      </c>
      <c r="L371" s="16">
        <f t="shared" si="11"/>
        <v>30</v>
      </c>
      <c r="M371" s="22">
        <v>45139</v>
      </c>
      <c r="N371" s="44" t="s">
        <v>551</v>
      </c>
      <c r="O371" s="23" t="s">
        <v>16</v>
      </c>
      <c r="P371" s="24" t="s">
        <v>17</v>
      </c>
      <c r="Q371" s="46" t="s">
        <v>588</v>
      </c>
    </row>
    <row r="372" spans="1:17">
      <c r="A372" s="14">
        <v>368</v>
      </c>
      <c r="B372" s="29" t="s">
        <v>502</v>
      </c>
      <c r="C372" s="16">
        <f>'Медикаменты Июнь'!L362</f>
        <v>0</v>
      </c>
      <c r="D372" s="17"/>
      <c r="E372" s="14"/>
      <c r="F372" s="18"/>
      <c r="G372" s="19"/>
      <c r="H372" s="20"/>
      <c r="I372" s="21"/>
      <c r="J372" s="14"/>
      <c r="K372" s="14">
        <f t="shared" si="10"/>
        <v>0</v>
      </c>
      <c r="L372" s="16">
        <f t="shared" si="11"/>
        <v>0</v>
      </c>
      <c r="M372" s="22">
        <v>45139</v>
      </c>
      <c r="N372" s="44" t="s">
        <v>551</v>
      </c>
      <c r="O372" s="23" t="s">
        <v>26</v>
      </c>
      <c r="P372" s="24" t="s">
        <v>17</v>
      </c>
      <c r="Q372" s="46" t="s">
        <v>588</v>
      </c>
    </row>
    <row r="373" spans="1:17">
      <c r="A373" s="14">
        <v>369</v>
      </c>
      <c r="B373" s="29" t="s">
        <v>503</v>
      </c>
      <c r="C373" s="16">
        <f>'Медикаменты Июнь'!L363</f>
        <v>76</v>
      </c>
      <c r="D373" s="26"/>
      <c r="E373" s="14"/>
      <c r="F373" s="18">
        <f>5+8</f>
        <v>13</v>
      </c>
      <c r="G373" s="19">
        <f>20</f>
        <v>20</v>
      </c>
      <c r="H373" s="20"/>
      <c r="I373" s="21"/>
      <c r="J373" s="14"/>
      <c r="K373" s="14">
        <f t="shared" si="10"/>
        <v>33</v>
      </c>
      <c r="L373" s="16">
        <f t="shared" si="11"/>
        <v>43</v>
      </c>
      <c r="M373" s="22">
        <v>44713</v>
      </c>
      <c r="N373" s="44" t="s">
        <v>45</v>
      </c>
      <c r="O373" s="23" t="s">
        <v>16</v>
      </c>
      <c r="P373" s="24" t="s">
        <v>17</v>
      </c>
      <c r="Q373" s="28" t="s">
        <v>504</v>
      </c>
    </row>
    <row r="374" spans="1:17">
      <c r="A374" s="14">
        <v>370</v>
      </c>
      <c r="B374" s="29" t="s">
        <v>505</v>
      </c>
      <c r="C374" s="16">
        <f>'Медикаменты Июнь'!L364</f>
        <v>0</v>
      </c>
      <c r="D374" s="17"/>
      <c r="E374" s="14"/>
      <c r="F374" s="18"/>
      <c r="G374" s="19"/>
      <c r="H374" s="20"/>
      <c r="I374" s="21"/>
      <c r="J374" s="14"/>
      <c r="K374" s="14">
        <f t="shared" si="10"/>
        <v>0</v>
      </c>
      <c r="L374" s="16">
        <f t="shared" si="11"/>
        <v>0</v>
      </c>
      <c r="M374" s="22"/>
      <c r="N374" s="44"/>
      <c r="O374" s="23" t="s">
        <v>16</v>
      </c>
      <c r="P374" s="24"/>
      <c r="Q374" s="45"/>
    </row>
    <row r="375" spans="1:17">
      <c r="A375" s="14">
        <v>371</v>
      </c>
      <c r="B375" s="29" t="s">
        <v>506</v>
      </c>
      <c r="C375" s="16">
        <f>'Медикаменты Июнь'!L365</f>
        <v>0</v>
      </c>
      <c r="D375" s="26"/>
      <c r="E375" s="14"/>
      <c r="F375" s="18"/>
      <c r="G375" s="19"/>
      <c r="H375" s="20"/>
      <c r="I375" s="21"/>
      <c r="J375" s="14"/>
      <c r="K375" s="14">
        <f t="shared" si="10"/>
        <v>0</v>
      </c>
      <c r="L375" s="16">
        <f t="shared" si="11"/>
        <v>0</v>
      </c>
      <c r="M375" s="22">
        <v>44531</v>
      </c>
      <c r="N375" s="44" t="s">
        <v>45</v>
      </c>
      <c r="O375" s="23" t="s">
        <v>16</v>
      </c>
      <c r="P375" s="24" t="s">
        <v>17</v>
      </c>
      <c r="Q375" s="28" t="s">
        <v>507</v>
      </c>
    </row>
    <row r="376" spans="1:17" ht="25.5">
      <c r="A376" s="14">
        <v>372</v>
      </c>
      <c r="B376" s="29" t="s">
        <v>508</v>
      </c>
      <c r="C376" s="16">
        <f>'Медикаменты Июнь'!L366</f>
        <v>412</v>
      </c>
      <c r="D376" s="17"/>
      <c r="E376" s="14"/>
      <c r="F376" s="18">
        <f>10</f>
        <v>10</v>
      </c>
      <c r="G376" s="19"/>
      <c r="H376" s="20"/>
      <c r="I376" s="21"/>
      <c r="J376" s="14"/>
      <c r="K376" s="14">
        <f t="shared" si="10"/>
        <v>10</v>
      </c>
      <c r="L376" s="16">
        <f t="shared" si="11"/>
        <v>402</v>
      </c>
      <c r="M376" s="22">
        <v>45108</v>
      </c>
      <c r="N376" s="44" t="s">
        <v>551</v>
      </c>
      <c r="O376" s="23" t="s">
        <v>16</v>
      </c>
      <c r="P376" s="24" t="s">
        <v>17</v>
      </c>
      <c r="Q376" s="28" t="s">
        <v>509</v>
      </c>
    </row>
    <row r="377" spans="1:17">
      <c r="A377" s="14">
        <v>373</v>
      </c>
      <c r="B377" s="29" t="s">
        <v>510</v>
      </c>
      <c r="C377" s="16">
        <f>'Медикаменты Июнь'!L367</f>
        <v>120</v>
      </c>
      <c r="D377" s="17"/>
      <c r="E377" s="14"/>
      <c r="F377" s="18">
        <f>2+3</f>
        <v>5</v>
      </c>
      <c r="G377" s="19">
        <f>10</f>
        <v>10</v>
      </c>
      <c r="H377" s="20"/>
      <c r="I377" s="21"/>
      <c r="J377" s="14"/>
      <c r="K377" s="14">
        <f t="shared" si="10"/>
        <v>15</v>
      </c>
      <c r="L377" s="16">
        <f t="shared" si="11"/>
        <v>105</v>
      </c>
      <c r="M377" s="22">
        <v>44950</v>
      </c>
      <c r="N377" s="44" t="s">
        <v>551</v>
      </c>
      <c r="O377" s="23" t="s">
        <v>16</v>
      </c>
      <c r="P377" s="24" t="s">
        <v>17</v>
      </c>
      <c r="Q377" s="28" t="s">
        <v>589</v>
      </c>
    </row>
    <row r="378" spans="1:17">
      <c r="A378" s="14">
        <v>374</v>
      </c>
      <c r="B378" s="29" t="s">
        <v>511</v>
      </c>
      <c r="C378" s="16">
        <f>'Медикаменты Июнь'!L368</f>
        <v>0</v>
      </c>
      <c r="D378" s="17"/>
      <c r="E378" s="14"/>
      <c r="F378" s="18"/>
      <c r="G378" s="19"/>
      <c r="H378" s="20"/>
      <c r="I378" s="21"/>
      <c r="J378" s="14"/>
      <c r="K378" s="14">
        <f t="shared" si="10"/>
        <v>0</v>
      </c>
      <c r="L378" s="16">
        <f t="shared" si="11"/>
        <v>0</v>
      </c>
      <c r="M378" s="22"/>
      <c r="N378" s="44"/>
      <c r="O378" s="23" t="s">
        <v>16</v>
      </c>
      <c r="P378" s="24"/>
      <c r="Q378" s="45"/>
    </row>
    <row r="379" spans="1:17">
      <c r="A379" s="14">
        <v>375</v>
      </c>
      <c r="B379" s="29" t="s">
        <v>512</v>
      </c>
      <c r="C379" s="16">
        <f>'Медикаменты Июнь'!L369</f>
        <v>0</v>
      </c>
      <c r="D379" s="17"/>
      <c r="E379" s="14">
        <f>300</f>
        <v>300</v>
      </c>
      <c r="F379" s="18"/>
      <c r="G379" s="19"/>
      <c r="H379" s="20"/>
      <c r="I379" s="21"/>
      <c r="J379" s="14"/>
      <c r="K379" s="14">
        <f t="shared" si="10"/>
        <v>0</v>
      </c>
      <c r="L379" s="16">
        <f t="shared" si="11"/>
        <v>300</v>
      </c>
      <c r="M379" s="22">
        <v>45383</v>
      </c>
      <c r="N379" s="44" t="s">
        <v>551</v>
      </c>
      <c r="O379" s="23" t="s">
        <v>16</v>
      </c>
      <c r="P379" s="24" t="s">
        <v>17</v>
      </c>
      <c r="Q379" s="28" t="s">
        <v>513</v>
      </c>
    </row>
    <row r="380" spans="1:17">
      <c r="A380" s="14">
        <v>376</v>
      </c>
      <c r="B380" s="29" t="s">
        <v>514</v>
      </c>
      <c r="C380" s="16">
        <f>'Медикаменты Июнь'!L370</f>
        <v>0</v>
      </c>
      <c r="D380" s="17"/>
      <c r="E380" s="14">
        <f>300</f>
        <v>300</v>
      </c>
      <c r="F380" s="18"/>
      <c r="G380" s="19"/>
      <c r="H380" s="20"/>
      <c r="I380" s="21"/>
      <c r="J380" s="14"/>
      <c r="K380" s="14">
        <f t="shared" si="10"/>
        <v>0</v>
      </c>
      <c r="L380" s="16">
        <f t="shared" si="11"/>
        <v>300</v>
      </c>
      <c r="M380" s="22">
        <v>45199</v>
      </c>
      <c r="N380" s="44" t="s">
        <v>551</v>
      </c>
      <c r="O380" s="23" t="s">
        <v>16</v>
      </c>
      <c r="P380" s="24" t="s">
        <v>17</v>
      </c>
      <c r="Q380" s="28" t="s">
        <v>515</v>
      </c>
    </row>
    <row r="381" spans="1:17">
      <c r="A381" s="14">
        <v>377</v>
      </c>
      <c r="B381" s="29" t="s">
        <v>516</v>
      </c>
      <c r="C381" s="16">
        <f>'Медикаменты Июнь'!L371</f>
        <v>0</v>
      </c>
      <c r="D381" s="17"/>
      <c r="E381" s="14"/>
      <c r="F381" s="18"/>
      <c r="G381" s="19"/>
      <c r="H381" s="20"/>
      <c r="I381" s="21"/>
      <c r="J381" s="14"/>
      <c r="K381" s="14">
        <f t="shared" si="10"/>
        <v>0</v>
      </c>
      <c r="L381" s="16">
        <f t="shared" si="11"/>
        <v>0</v>
      </c>
      <c r="M381" s="22"/>
      <c r="N381" s="44"/>
      <c r="O381" s="23" t="s">
        <v>16</v>
      </c>
      <c r="P381" s="24"/>
      <c r="Q381" s="45"/>
    </row>
    <row r="382" spans="1:17">
      <c r="A382" s="14">
        <v>378</v>
      </c>
      <c r="B382" s="29" t="s">
        <v>517</v>
      </c>
      <c r="C382" s="16">
        <f>'Медикаменты Июнь'!L372</f>
        <v>0</v>
      </c>
      <c r="D382" s="17"/>
      <c r="E382" s="14"/>
      <c r="F382" s="18"/>
      <c r="G382" s="19"/>
      <c r="H382" s="20"/>
      <c r="I382" s="21"/>
      <c r="J382" s="14"/>
      <c r="K382" s="14">
        <f t="shared" si="10"/>
        <v>0</v>
      </c>
      <c r="L382" s="16">
        <f t="shared" si="11"/>
        <v>0</v>
      </c>
      <c r="M382" s="22">
        <v>44682</v>
      </c>
      <c r="N382" s="44"/>
      <c r="O382" s="23" t="s">
        <v>26</v>
      </c>
      <c r="P382" s="24" t="s">
        <v>17</v>
      </c>
      <c r="Q382" s="28" t="s">
        <v>518</v>
      </c>
    </row>
    <row r="383" spans="1:17">
      <c r="A383" s="14">
        <v>379</v>
      </c>
      <c r="B383" s="29" t="s">
        <v>519</v>
      </c>
      <c r="C383" s="16">
        <f>'Медикаменты Июнь'!L373</f>
        <v>0</v>
      </c>
      <c r="D383" s="17"/>
      <c r="E383" s="14"/>
      <c r="F383" s="18"/>
      <c r="G383" s="19"/>
      <c r="H383" s="20"/>
      <c r="I383" s="21"/>
      <c r="J383" s="14"/>
      <c r="K383" s="14">
        <f t="shared" si="10"/>
        <v>0</v>
      </c>
      <c r="L383" s="16">
        <f t="shared" si="11"/>
        <v>0</v>
      </c>
      <c r="M383" s="22">
        <v>44409</v>
      </c>
      <c r="N383" s="44"/>
      <c r="O383" s="23" t="s">
        <v>16</v>
      </c>
      <c r="P383" s="24"/>
      <c r="Q383" s="45"/>
    </row>
    <row r="384" spans="1:17">
      <c r="A384" s="14">
        <v>380</v>
      </c>
      <c r="B384" s="29" t="s">
        <v>520</v>
      </c>
      <c r="C384" s="16">
        <f>'Медикаменты Июнь'!L374</f>
        <v>0</v>
      </c>
      <c r="D384" s="17"/>
      <c r="E384" s="14"/>
      <c r="F384" s="18"/>
      <c r="G384" s="19"/>
      <c r="H384" s="20"/>
      <c r="I384" s="21"/>
      <c r="J384" s="14"/>
      <c r="K384" s="14">
        <f t="shared" si="10"/>
        <v>0</v>
      </c>
      <c r="L384" s="16">
        <f t="shared" si="11"/>
        <v>0</v>
      </c>
      <c r="M384" s="22">
        <v>44805</v>
      </c>
      <c r="N384" s="44"/>
      <c r="O384" s="23" t="s">
        <v>26</v>
      </c>
      <c r="P384" s="24" t="s">
        <v>17</v>
      </c>
      <c r="Q384" s="28" t="s">
        <v>521</v>
      </c>
    </row>
    <row r="385" spans="1:17">
      <c r="A385" s="14">
        <v>381</v>
      </c>
      <c r="B385" s="29" t="s">
        <v>522</v>
      </c>
      <c r="C385" s="16">
        <f>'Медикаменты Июнь'!L375</f>
        <v>0</v>
      </c>
      <c r="D385" s="17"/>
      <c r="E385" s="14"/>
      <c r="F385" s="18"/>
      <c r="G385" s="19"/>
      <c r="H385" s="20"/>
      <c r="I385" s="21"/>
      <c r="J385" s="14"/>
      <c r="K385" s="14">
        <f t="shared" si="10"/>
        <v>0</v>
      </c>
      <c r="L385" s="16">
        <f t="shared" si="11"/>
        <v>0</v>
      </c>
      <c r="M385" s="22"/>
      <c r="N385" s="44"/>
      <c r="O385" s="23" t="s">
        <v>16</v>
      </c>
      <c r="P385" s="24"/>
      <c r="Q385" s="45"/>
    </row>
    <row r="386" spans="1:17">
      <c r="A386" s="14">
        <v>382</v>
      </c>
      <c r="B386" s="29" t="s">
        <v>523</v>
      </c>
      <c r="C386" s="16">
        <f>'Медикаменты Июнь'!L376</f>
        <v>0</v>
      </c>
      <c r="D386" s="17"/>
      <c r="E386" s="14"/>
      <c r="F386" s="18"/>
      <c r="G386" s="19"/>
      <c r="H386" s="20"/>
      <c r="I386" s="21"/>
      <c r="J386" s="14"/>
      <c r="K386" s="14">
        <f t="shared" si="10"/>
        <v>0</v>
      </c>
      <c r="L386" s="16">
        <f t="shared" si="11"/>
        <v>0</v>
      </c>
      <c r="M386" s="22">
        <v>44228</v>
      </c>
      <c r="N386" s="44"/>
      <c r="O386" s="23" t="s">
        <v>16</v>
      </c>
      <c r="P386" s="24"/>
      <c r="Q386" s="28" t="s">
        <v>524</v>
      </c>
    </row>
    <row r="387" spans="1:17">
      <c r="A387" s="14">
        <v>383</v>
      </c>
      <c r="B387" s="29" t="s">
        <v>525</v>
      </c>
      <c r="C387" s="16">
        <f>'Медикаменты Июнь'!L377</f>
        <v>86</v>
      </c>
      <c r="D387" s="17"/>
      <c r="E387" s="14"/>
      <c r="F387" s="18"/>
      <c r="G387" s="19"/>
      <c r="H387" s="20"/>
      <c r="I387" s="21"/>
      <c r="J387" s="14"/>
      <c r="K387" s="14">
        <f t="shared" si="10"/>
        <v>0</v>
      </c>
      <c r="L387" s="16">
        <f t="shared" si="11"/>
        <v>86</v>
      </c>
      <c r="M387" s="22">
        <v>44958</v>
      </c>
      <c r="N387" s="44" t="s">
        <v>45</v>
      </c>
      <c r="O387" s="23" t="s">
        <v>16</v>
      </c>
      <c r="P387" s="24" t="s">
        <v>17</v>
      </c>
      <c r="Q387" s="28" t="s">
        <v>526</v>
      </c>
    </row>
    <row r="388" spans="1:17">
      <c r="A388" s="14">
        <v>384</v>
      </c>
      <c r="B388" s="29" t="s">
        <v>527</v>
      </c>
      <c r="C388" s="16">
        <f>'Медикаменты Июнь'!L378</f>
        <v>0</v>
      </c>
      <c r="D388" s="17"/>
      <c r="E388" s="14"/>
      <c r="F388" s="18"/>
      <c r="G388" s="19"/>
      <c r="H388" s="20"/>
      <c r="I388" s="21"/>
      <c r="J388" s="14"/>
      <c r="K388" s="14">
        <f t="shared" si="10"/>
        <v>0</v>
      </c>
      <c r="L388" s="16">
        <f t="shared" si="11"/>
        <v>0</v>
      </c>
      <c r="M388" s="22">
        <v>44652</v>
      </c>
      <c r="N388" s="44" t="s">
        <v>45</v>
      </c>
      <c r="O388" s="23" t="s">
        <v>16</v>
      </c>
      <c r="P388" s="24" t="s">
        <v>17</v>
      </c>
      <c r="Q388" s="28" t="s">
        <v>528</v>
      </c>
    </row>
    <row r="389" spans="1:17">
      <c r="A389" s="14">
        <v>385</v>
      </c>
      <c r="B389" s="29" t="s">
        <v>527</v>
      </c>
      <c r="C389" s="16">
        <f>'Медикаменты Июнь'!L379</f>
        <v>25</v>
      </c>
      <c r="D389" s="17"/>
      <c r="E389" s="14"/>
      <c r="F389" s="18"/>
      <c r="G389" s="19"/>
      <c r="H389" s="20"/>
      <c r="I389" s="21"/>
      <c r="J389" s="14"/>
      <c r="K389" s="14">
        <f t="shared" ref="K389:K452" si="12">SUM(F389:J389)</f>
        <v>0</v>
      </c>
      <c r="L389" s="16">
        <f t="shared" ref="L389:L452" si="13">(C389+E389)-K389</f>
        <v>25</v>
      </c>
      <c r="M389" s="22">
        <v>44896</v>
      </c>
      <c r="N389" s="44" t="s">
        <v>45</v>
      </c>
      <c r="O389" s="23" t="s">
        <v>16</v>
      </c>
      <c r="P389" s="24" t="s">
        <v>17</v>
      </c>
      <c r="Q389" s="28" t="s">
        <v>528</v>
      </c>
    </row>
  </sheetData>
  <autoFilter ref="A2:Q389"/>
  <mergeCells count="18">
    <mergeCell ref="P2:P4"/>
    <mergeCell ref="Q2:Q4"/>
    <mergeCell ref="A1:Q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2:M4"/>
    <mergeCell ref="N2:N4"/>
    <mergeCell ref="O2:O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BF00"/>
  </sheetPr>
  <dimension ref="A1:O26"/>
  <sheetViews>
    <sheetView zoomScaleNormal="100" workbookViewId="0">
      <pane ySplit="4" topLeftCell="A5" activePane="bottomLeft" state="frozen"/>
      <selection pane="bottomLeft" activeCell="L21" sqref="L21"/>
    </sheetView>
  </sheetViews>
  <sheetFormatPr defaultRowHeight="15"/>
  <cols>
    <col min="1" max="1" width="12.5703125" customWidth="1"/>
    <col min="2" max="2" width="45.85546875" customWidth="1"/>
    <col min="3" max="13" width="13.28515625" customWidth="1"/>
    <col min="14" max="14" width="13.7109375" customWidth="1"/>
    <col min="15" max="1022" width="9.140625" customWidth="1"/>
    <col min="1023" max="1025" width="11.5703125" customWidth="1"/>
  </cols>
  <sheetData>
    <row r="1" spans="1:15" ht="51.75" customHeight="1">
      <c r="A1" s="3" t="s">
        <v>529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s="33" customFormat="1" ht="13.9" customHeight="1">
      <c r="A2" s="11" t="s">
        <v>1</v>
      </c>
      <c r="B2" s="10" t="s">
        <v>2</v>
      </c>
      <c r="C2" s="9">
        <v>44378</v>
      </c>
      <c r="D2" s="11" t="s">
        <v>3</v>
      </c>
      <c r="E2" s="11" t="s">
        <v>4</v>
      </c>
      <c r="F2" s="8" t="s">
        <v>5</v>
      </c>
      <c r="G2" s="2" t="s">
        <v>6</v>
      </c>
      <c r="H2" s="6" t="s">
        <v>7</v>
      </c>
      <c r="I2" s="5" t="s">
        <v>8</v>
      </c>
      <c r="J2" s="11" t="s">
        <v>9</v>
      </c>
      <c r="K2" s="11" t="s">
        <v>10</v>
      </c>
      <c r="L2" s="9">
        <v>44408</v>
      </c>
      <c r="M2" s="1" t="s">
        <v>11</v>
      </c>
      <c r="N2" s="1" t="s">
        <v>12</v>
      </c>
      <c r="O2" s="32"/>
    </row>
    <row r="3" spans="1:15" s="33" customFormat="1" ht="14.25">
      <c r="A3" s="11"/>
      <c r="B3" s="10"/>
      <c r="C3" s="9"/>
      <c r="D3" s="9"/>
      <c r="E3" s="9"/>
      <c r="F3" s="8"/>
      <c r="G3" s="2"/>
      <c r="H3" s="6"/>
      <c r="I3" s="5"/>
      <c r="J3" s="11"/>
      <c r="K3" s="11"/>
      <c r="L3" s="11"/>
      <c r="M3" s="1"/>
      <c r="N3" s="1"/>
      <c r="O3" s="32"/>
    </row>
    <row r="4" spans="1:15" s="33" customFormat="1" ht="24.75" customHeight="1">
      <c r="A4" s="11"/>
      <c r="B4" s="10"/>
      <c r="C4" s="9"/>
      <c r="D4" s="9"/>
      <c r="E4" s="9"/>
      <c r="F4" s="8"/>
      <c r="G4" s="2"/>
      <c r="H4" s="6"/>
      <c r="I4" s="5"/>
      <c r="J4" s="11"/>
      <c r="K4" s="11"/>
      <c r="L4" s="11"/>
      <c r="M4" s="1"/>
      <c r="N4" s="1"/>
      <c r="O4" s="32"/>
    </row>
    <row r="5" spans="1:15">
      <c r="A5" s="34">
        <v>1</v>
      </c>
      <c r="B5" s="35" t="s">
        <v>530</v>
      </c>
      <c r="C5" s="14">
        <f>'Перевязочные Июнь'!L5</f>
        <v>518</v>
      </c>
      <c r="D5" s="36"/>
      <c r="E5" s="36"/>
      <c r="F5" s="37"/>
      <c r="G5" s="38"/>
      <c r="H5" s="39"/>
      <c r="I5" s="40"/>
      <c r="J5" s="36"/>
      <c r="K5" s="14">
        <f t="shared" ref="K5:K26" si="0">SUM(F5:J5)</f>
        <v>0</v>
      </c>
      <c r="L5" s="16">
        <f t="shared" ref="L5:L26" si="1">(C5+E5)-K5</f>
        <v>518</v>
      </c>
      <c r="M5" s="41">
        <v>44652</v>
      </c>
      <c r="N5" s="42" t="s">
        <v>16</v>
      </c>
      <c r="O5" s="43"/>
    </row>
    <row r="6" spans="1:15">
      <c r="A6" s="34">
        <v>2</v>
      </c>
      <c r="B6" s="35" t="s">
        <v>531</v>
      </c>
      <c r="C6" s="14">
        <f>'Перевязочные Июнь'!L6</f>
        <v>85</v>
      </c>
      <c r="D6" s="36"/>
      <c r="E6" s="36"/>
      <c r="F6" s="37"/>
      <c r="G6" s="38"/>
      <c r="H6" s="39"/>
      <c r="I6" s="40"/>
      <c r="J6" s="36"/>
      <c r="K6" s="14">
        <f t="shared" si="0"/>
        <v>0</v>
      </c>
      <c r="L6" s="16">
        <f t="shared" si="1"/>
        <v>85</v>
      </c>
      <c r="M6" s="41">
        <v>45200</v>
      </c>
      <c r="N6" s="42" t="s">
        <v>16</v>
      </c>
      <c r="O6" s="43"/>
    </row>
    <row r="7" spans="1:15">
      <c r="A7" s="34">
        <v>3</v>
      </c>
      <c r="B7" s="35" t="s">
        <v>532</v>
      </c>
      <c r="C7" s="14">
        <f>'Перевязочные Июнь'!L7</f>
        <v>10</v>
      </c>
      <c r="D7" s="36"/>
      <c r="E7" s="36"/>
      <c r="F7" s="37"/>
      <c r="G7" s="38"/>
      <c r="H7" s="39"/>
      <c r="I7" s="40"/>
      <c r="J7" s="36"/>
      <c r="K7" s="14">
        <f t="shared" si="0"/>
        <v>0</v>
      </c>
      <c r="L7" s="16">
        <f t="shared" si="1"/>
        <v>10</v>
      </c>
      <c r="M7" s="41">
        <v>44958</v>
      </c>
      <c r="N7" s="42" t="s">
        <v>16</v>
      </c>
      <c r="O7" s="43"/>
    </row>
    <row r="8" spans="1:15">
      <c r="A8" s="34">
        <v>4</v>
      </c>
      <c r="B8" s="35" t="s">
        <v>533</v>
      </c>
      <c r="C8" s="14">
        <f>'Перевязочные Июнь'!L8</f>
        <v>0</v>
      </c>
      <c r="D8" s="36"/>
      <c r="E8" s="36"/>
      <c r="F8" s="37"/>
      <c r="G8" s="38"/>
      <c r="H8" s="39"/>
      <c r="I8" s="40"/>
      <c r="J8" s="36"/>
      <c r="K8" s="14">
        <f t="shared" si="0"/>
        <v>0</v>
      </c>
      <c r="L8" s="16">
        <f t="shared" si="1"/>
        <v>0</v>
      </c>
      <c r="M8" s="41"/>
      <c r="N8" s="42" t="s">
        <v>16</v>
      </c>
      <c r="O8" s="43"/>
    </row>
    <row r="9" spans="1:15">
      <c r="A9" s="34">
        <v>5</v>
      </c>
      <c r="B9" s="35" t="s">
        <v>534</v>
      </c>
      <c r="C9" s="14">
        <f>'Перевязочные Июнь'!L9</f>
        <v>0</v>
      </c>
      <c r="D9" s="36"/>
      <c r="E9" s="36"/>
      <c r="F9" s="37"/>
      <c r="G9" s="38"/>
      <c r="H9" s="39"/>
      <c r="I9" s="40"/>
      <c r="J9" s="36"/>
      <c r="K9" s="14">
        <f t="shared" si="0"/>
        <v>0</v>
      </c>
      <c r="L9" s="16">
        <f t="shared" si="1"/>
        <v>0</v>
      </c>
      <c r="M9" s="41"/>
      <c r="N9" s="42" t="s">
        <v>16</v>
      </c>
      <c r="O9" s="43"/>
    </row>
    <row r="10" spans="1:15">
      <c r="A10" s="34">
        <v>6</v>
      </c>
      <c r="B10" s="35" t="s">
        <v>535</v>
      </c>
      <c r="C10" s="14">
        <f>'Перевязочные Июнь'!L10</f>
        <v>10</v>
      </c>
      <c r="D10" s="36"/>
      <c r="E10" s="36"/>
      <c r="F10" s="37"/>
      <c r="G10" s="38"/>
      <c r="H10" s="39"/>
      <c r="I10" s="40"/>
      <c r="J10" s="36"/>
      <c r="K10" s="14">
        <f t="shared" si="0"/>
        <v>0</v>
      </c>
      <c r="L10" s="16">
        <f t="shared" si="1"/>
        <v>10</v>
      </c>
      <c r="M10" s="41">
        <v>45231</v>
      </c>
      <c r="N10" s="42" t="s">
        <v>16</v>
      </c>
      <c r="O10" s="43"/>
    </row>
    <row r="11" spans="1:15">
      <c r="A11" s="34">
        <v>7</v>
      </c>
      <c r="B11" s="35" t="s">
        <v>536</v>
      </c>
      <c r="C11" s="14">
        <f>'Перевязочные Июнь'!L11</f>
        <v>0</v>
      </c>
      <c r="D11" s="36"/>
      <c r="E11" s="36"/>
      <c r="F11" s="37"/>
      <c r="G11" s="38"/>
      <c r="H11" s="39"/>
      <c r="I11" s="40"/>
      <c r="J11" s="36"/>
      <c r="K11" s="14">
        <f t="shared" si="0"/>
        <v>0</v>
      </c>
      <c r="L11" s="16">
        <f t="shared" si="1"/>
        <v>0</v>
      </c>
      <c r="M11" s="41"/>
      <c r="N11" s="42" t="s">
        <v>16</v>
      </c>
      <c r="O11" s="43"/>
    </row>
    <row r="12" spans="1:15">
      <c r="A12" s="34">
        <v>8</v>
      </c>
      <c r="B12" s="35" t="s">
        <v>537</v>
      </c>
      <c r="C12" s="14">
        <f>'Перевязочные Июнь'!L12</f>
        <v>16</v>
      </c>
      <c r="D12" s="36"/>
      <c r="E12" s="36"/>
      <c r="F12" s="37">
        <f>4</f>
        <v>4</v>
      </c>
      <c r="G12" s="38"/>
      <c r="H12" s="39"/>
      <c r="I12" s="40"/>
      <c r="J12" s="36"/>
      <c r="K12" s="14">
        <f t="shared" si="0"/>
        <v>4</v>
      </c>
      <c r="L12" s="16">
        <f t="shared" si="1"/>
        <v>12</v>
      </c>
      <c r="M12" s="41">
        <v>45658</v>
      </c>
      <c r="N12" s="42" t="s">
        <v>16</v>
      </c>
      <c r="O12" s="43"/>
    </row>
    <row r="13" spans="1:15">
      <c r="A13" s="34">
        <v>9</v>
      </c>
      <c r="B13" s="35" t="s">
        <v>537</v>
      </c>
      <c r="C13" s="14"/>
      <c r="D13" s="36"/>
      <c r="E13" s="36">
        <f>50</f>
        <v>50</v>
      </c>
      <c r="F13" s="37"/>
      <c r="G13" s="38"/>
      <c r="H13" s="39"/>
      <c r="I13" s="40"/>
      <c r="J13" s="36"/>
      <c r="K13" s="14">
        <f t="shared" si="0"/>
        <v>0</v>
      </c>
      <c r="L13" s="16">
        <f t="shared" si="1"/>
        <v>50</v>
      </c>
      <c r="M13" s="41">
        <v>45870</v>
      </c>
      <c r="N13" s="42" t="s">
        <v>16</v>
      </c>
      <c r="O13" s="43"/>
    </row>
    <row r="14" spans="1:15">
      <c r="A14" s="34">
        <v>10</v>
      </c>
      <c r="B14" s="35" t="s">
        <v>617</v>
      </c>
      <c r="C14" s="14"/>
      <c r="D14" s="36"/>
      <c r="E14" s="36">
        <f>20</f>
        <v>20</v>
      </c>
      <c r="F14" s="37"/>
      <c r="G14" s="38"/>
      <c r="H14" s="39"/>
      <c r="I14" s="40"/>
      <c r="J14" s="36"/>
      <c r="K14" s="14">
        <f t="shared" si="0"/>
        <v>0</v>
      </c>
      <c r="L14" s="16">
        <f t="shared" si="1"/>
        <v>20</v>
      </c>
      <c r="M14" s="41">
        <v>45809</v>
      </c>
      <c r="N14" s="42" t="s">
        <v>16</v>
      </c>
      <c r="O14" s="43"/>
    </row>
    <row r="15" spans="1:15">
      <c r="A15" s="34">
        <v>11</v>
      </c>
      <c r="B15" s="35" t="s">
        <v>538</v>
      </c>
      <c r="C15" s="14">
        <f>'Перевязочные Июнь'!L13</f>
        <v>640</v>
      </c>
      <c r="D15" s="36"/>
      <c r="E15" s="36"/>
      <c r="F15" s="37"/>
      <c r="G15" s="38"/>
      <c r="H15" s="39"/>
      <c r="I15" s="40"/>
      <c r="J15" s="36"/>
      <c r="K15" s="14">
        <f t="shared" si="0"/>
        <v>0</v>
      </c>
      <c r="L15" s="16">
        <f t="shared" si="1"/>
        <v>640</v>
      </c>
      <c r="M15" s="41">
        <v>44682</v>
      </c>
      <c r="N15" s="42" t="s">
        <v>16</v>
      </c>
      <c r="O15" s="43"/>
    </row>
    <row r="16" spans="1:15">
      <c r="A16" s="34">
        <v>12</v>
      </c>
      <c r="B16" s="35" t="s">
        <v>539</v>
      </c>
      <c r="C16" s="14">
        <f>'Перевязочные Июнь'!L14</f>
        <v>410</v>
      </c>
      <c r="D16" s="36"/>
      <c r="E16" s="36"/>
      <c r="F16" s="37">
        <f>24+24</f>
        <v>48</v>
      </c>
      <c r="G16" s="38"/>
      <c r="H16" s="39"/>
      <c r="I16" s="40"/>
      <c r="J16" s="36"/>
      <c r="K16" s="14">
        <f t="shared" si="0"/>
        <v>48</v>
      </c>
      <c r="L16" s="16">
        <f t="shared" si="1"/>
        <v>362</v>
      </c>
      <c r="M16" s="41">
        <v>45261</v>
      </c>
      <c r="N16" s="42" t="s">
        <v>16</v>
      </c>
      <c r="O16" s="43"/>
    </row>
    <row r="17" spans="1:15">
      <c r="A17" s="34">
        <v>13</v>
      </c>
      <c r="B17" s="35" t="s">
        <v>540</v>
      </c>
      <c r="C17" s="14">
        <f>'Перевязочные Июнь'!L15</f>
        <v>141</v>
      </c>
      <c r="D17" s="36"/>
      <c r="E17" s="36"/>
      <c r="F17" s="37"/>
      <c r="G17" s="38"/>
      <c r="H17" s="39"/>
      <c r="I17" s="40"/>
      <c r="J17" s="36"/>
      <c r="K17" s="14">
        <f t="shared" si="0"/>
        <v>0</v>
      </c>
      <c r="L17" s="16">
        <f t="shared" si="1"/>
        <v>141</v>
      </c>
      <c r="M17" s="41">
        <v>44835</v>
      </c>
      <c r="N17" s="42" t="s">
        <v>16</v>
      </c>
      <c r="O17" s="43"/>
    </row>
    <row r="18" spans="1:15" ht="30">
      <c r="A18" s="34">
        <v>14</v>
      </c>
      <c r="B18" s="35" t="s">
        <v>541</v>
      </c>
      <c r="C18" s="14">
        <f>'Перевязочные Июнь'!L16</f>
        <v>285</v>
      </c>
      <c r="D18" s="36"/>
      <c r="E18" s="36"/>
      <c r="F18" s="37"/>
      <c r="G18" s="38"/>
      <c r="H18" s="39"/>
      <c r="I18" s="40"/>
      <c r="J18" s="36"/>
      <c r="K18" s="14">
        <f t="shared" si="0"/>
        <v>0</v>
      </c>
      <c r="L18" s="16">
        <f t="shared" si="1"/>
        <v>285</v>
      </c>
      <c r="M18" s="41">
        <v>45616</v>
      </c>
      <c r="N18" s="42" t="s">
        <v>16</v>
      </c>
      <c r="O18" s="43"/>
    </row>
    <row r="19" spans="1:15" ht="45">
      <c r="A19" s="34">
        <v>15</v>
      </c>
      <c r="B19" s="35" t="s">
        <v>542</v>
      </c>
      <c r="C19" s="14">
        <f>'Перевязочные Июнь'!L17</f>
        <v>450</v>
      </c>
      <c r="D19" s="36"/>
      <c r="E19" s="36"/>
      <c r="F19" s="37"/>
      <c r="G19" s="38"/>
      <c r="H19" s="39"/>
      <c r="I19" s="40"/>
      <c r="J19" s="36"/>
      <c r="K19" s="14">
        <f t="shared" si="0"/>
        <v>0</v>
      </c>
      <c r="L19" s="16">
        <f t="shared" si="1"/>
        <v>450</v>
      </c>
      <c r="M19" s="41">
        <v>44682</v>
      </c>
      <c r="N19" s="42" t="s">
        <v>16</v>
      </c>
      <c r="O19" s="43"/>
    </row>
    <row r="20" spans="1:15" ht="30">
      <c r="A20" s="34">
        <v>16</v>
      </c>
      <c r="B20" s="35" t="s">
        <v>543</v>
      </c>
      <c r="C20" s="14">
        <f>'Перевязочные Июнь'!L18</f>
        <v>0</v>
      </c>
      <c r="D20" s="36"/>
      <c r="E20" s="36"/>
      <c r="F20" s="37"/>
      <c r="G20" s="38"/>
      <c r="H20" s="39"/>
      <c r="I20" s="40"/>
      <c r="J20" s="36"/>
      <c r="K20" s="14">
        <f t="shared" si="0"/>
        <v>0</v>
      </c>
      <c r="L20" s="16">
        <f t="shared" si="1"/>
        <v>0</v>
      </c>
      <c r="M20" s="41">
        <v>45778</v>
      </c>
      <c r="N20" s="42" t="s">
        <v>16</v>
      </c>
      <c r="O20" s="43"/>
    </row>
    <row r="21" spans="1:15" ht="30">
      <c r="A21" s="34">
        <v>17</v>
      </c>
      <c r="B21" s="35" t="s">
        <v>565</v>
      </c>
      <c r="C21" s="14">
        <f>'Перевязочные Июнь'!L19</f>
        <v>28850</v>
      </c>
      <c r="D21" s="36"/>
      <c r="E21" s="36"/>
      <c r="F21" s="37">
        <f>1800+2000</f>
        <v>3800</v>
      </c>
      <c r="G21" s="38"/>
      <c r="H21" s="39"/>
      <c r="I21" s="40"/>
      <c r="J21" s="36"/>
      <c r="K21" s="14">
        <f t="shared" si="0"/>
        <v>3800</v>
      </c>
      <c r="L21" s="16">
        <f t="shared" si="1"/>
        <v>25050</v>
      </c>
      <c r="M21" s="41">
        <v>45992</v>
      </c>
      <c r="N21" s="42" t="s">
        <v>16</v>
      </c>
      <c r="O21" s="43"/>
    </row>
    <row r="22" spans="1:15" ht="30">
      <c r="A22" s="34">
        <v>18</v>
      </c>
      <c r="B22" s="35" t="s">
        <v>544</v>
      </c>
      <c r="C22" s="14">
        <f>'Перевязочные Июнь'!L20</f>
        <v>38</v>
      </c>
      <c r="D22" s="36"/>
      <c r="E22" s="36"/>
      <c r="F22" s="37"/>
      <c r="G22" s="38"/>
      <c r="H22" s="39"/>
      <c r="I22" s="40"/>
      <c r="J22" s="36"/>
      <c r="K22" s="14">
        <f t="shared" si="0"/>
        <v>0</v>
      </c>
      <c r="L22" s="16">
        <f t="shared" si="1"/>
        <v>38</v>
      </c>
      <c r="M22" s="41"/>
      <c r="N22" s="42" t="s">
        <v>16</v>
      </c>
      <c r="O22" s="43"/>
    </row>
    <row r="23" spans="1:15">
      <c r="A23" s="34">
        <v>19</v>
      </c>
      <c r="B23" s="35" t="s">
        <v>545</v>
      </c>
      <c r="C23" s="14">
        <f>'Перевязочные Июнь'!L21</f>
        <v>15</v>
      </c>
      <c r="D23" s="36"/>
      <c r="E23" s="36"/>
      <c r="F23" s="37"/>
      <c r="G23" s="38"/>
      <c r="H23" s="39"/>
      <c r="I23" s="40"/>
      <c r="J23" s="36"/>
      <c r="K23" s="14">
        <f t="shared" si="0"/>
        <v>0</v>
      </c>
      <c r="L23" s="16">
        <f t="shared" si="1"/>
        <v>15</v>
      </c>
      <c r="M23" s="41">
        <v>45292</v>
      </c>
      <c r="N23" s="42" t="s">
        <v>16</v>
      </c>
      <c r="O23" s="43"/>
    </row>
    <row r="24" spans="1:15">
      <c r="A24" s="34">
        <v>20</v>
      </c>
      <c r="B24" s="35" t="s">
        <v>566</v>
      </c>
      <c r="C24" s="14">
        <f>'Перевязочные Июнь'!L22</f>
        <v>28</v>
      </c>
      <c r="D24" s="36"/>
      <c r="E24" s="36"/>
      <c r="F24" s="37"/>
      <c r="G24" s="38"/>
      <c r="H24" s="39"/>
      <c r="I24" s="40"/>
      <c r="J24" s="36"/>
      <c r="K24" s="14">
        <f t="shared" si="0"/>
        <v>0</v>
      </c>
      <c r="L24" s="16">
        <f t="shared" si="1"/>
        <v>28</v>
      </c>
      <c r="M24" s="41">
        <v>45717</v>
      </c>
      <c r="N24" s="42" t="s">
        <v>16</v>
      </c>
      <c r="O24" s="43"/>
    </row>
    <row r="25" spans="1:15" ht="30">
      <c r="A25" s="34">
        <v>21</v>
      </c>
      <c r="B25" s="35" t="s">
        <v>546</v>
      </c>
      <c r="C25" s="14">
        <f>'Перевязочные Июнь'!L23</f>
        <v>14</v>
      </c>
      <c r="D25" s="36"/>
      <c r="E25" s="36"/>
      <c r="F25" s="37"/>
      <c r="G25" s="38"/>
      <c r="H25" s="39"/>
      <c r="I25" s="40"/>
      <c r="J25" s="36"/>
      <c r="K25" s="14">
        <f t="shared" si="0"/>
        <v>0</v>
      </c>
      <c r="L25" s="16">
        <f t="shared" si="1"/>
        <v>14</v>
      </c>
      <c r="M25" s="41">
        <v>44682</v>
      </c>
      <c r="N25" s="42" t="s">
        <v>16</v>
      </c>
      <c r="O25" s="43"/>
    </row>
    <row r="26" spans="1:15" ht="45">
      <c r="A26" s="34">
        <v>22</v>
      </c>
      <c r="B26" s="35" t="s">
        <v>567</v>
      </c>
      <c r="C26" s="14">
        <f>'Перевязочные Июнь'!L24</f>
        <v>20</v>
      </c>
      <c r="D26" s="36"/>
      <c r="E26" s="36"/>
      <c r="F26" s="37"/>
      <c r="G26" s="38"/>
      <c r="H26" s="39"/>
      <c r="I26" s="40"/>
      <c r="J26" s="36"/>
      <c r="K26" s="14">
        <f t="shared" si="0"/>
        <v>0</v>
      </c>
      <c r="L26" s="16">
        <f t="shared" si="1"/>
        <v>20</v>
      </c>
      <c r="M26" s="41">
        <v>45292</v>
      </c>
      <c r="N26" s="42" t="s">
        <v>16</v>
      </c>
      <c r="O26" s="43"/>
    </row>
  </sheetData>
  <autoFilter ref="A2:N4"/>
  <mergeCells count="15">
    <mergeCell ref="A1:N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2:M4"/>
    <mergeCell ref="N2:N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FFFF00"/>
  </sheetPr>
  <dimension ref="A1:Q393"/>
  <sheetViews>
    <sheetView zoomScaleNormal="100" workbookViewId="0">
      <pane ySplit="4" topLeftCell="A358" activePane="bottomLeft" state="frozen"/>
      <selection pane="bottomLeft" activeCell="P37" sqref="P37"/>
    </sheetView>
  </sheetViews>
  <sheetFormatPr defaultRowHeight="15"/>
  <cols>
    <col min="1" max="1" width="9.140625" customWidth="1"/>
    <col min="2" max="2" width="40.85546875" customWidth="1"/>
    <col min="3" max="13" width="13.28515625" customWidth="1"/>
    <col min="14" max="14" width="13.28515625" style="13" customWidth="1"/>
    <col min="15" max="15" width="13.28515625" customWidth="1"/>
    <col min="16" max="16" width="13.28515625" style="13" customWidth="1"/>
    <col min="17" max="17" width="43.5703125" customWidth="1"/>
    <col min="18" max="1025" width="9.140625" customWidth="1"/>
  </cols>
  <sheetData>
    <row r="1" spans="1:17" ht="52.5" customHeight="1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ht="13.9" customHeight="1">
      <c r="A2" s="11" t="s">
        <v>1</v>
      </c>
      <c r="B2" s="10" t="s">
        <v>2</v>
      </c>
      <c r="C2" s="9">
        <v>44409</v>
      </c>
      <c r="D2" s="11" t="s">
        <v>3</v>
      </c>
      <c r="E2" s="11" t="s">
        <v>4</v>
      </c>
      <c r="F2" s="8" t="s">
        <v>5</v>
      </c>
      <c r="G2" s="7" t="s">
        <v>6</v>
      </c>
      <c r="H2" s="6" t="s">
        <v>7</v>
      </c>
      <c r="I2" s="5" t="s">
        <v>8</v>
      </c>
      <c r="J2" s="11" t="s">
        <v>9</v>
      </c>
      <c r="K2" s="11" t="s">
        <v>10</v>
      </c>
      <c r="L2" s="9">
        <v>44439</v>
      </c>
      <c r="M2" s="4" t="s">
        <v>11</v>
      </c>
      <c r="N2" s="4" t="s">
        <v>550</v>
      </c>
      <c r="O2" s="4" t="s">
        <v>12</v>
      </c>
      <c r="P2" s="4" t="s">
        <v>13</v>
      </c>
      <c r="Q2" s="4" t="s">
        <v>14</v>
      </c>
    </row>
    <row r="3" spans="1:17">
      <c r="A3" s="11"/>
      <c r="B3" s="10"/>
      <c r="C3" s="9"/>
      <c r="D3" s="9"/>
      <c r="E3" s="9"/>
      <c r="F3" s="8"/>
      <c r="G3" s="7"/>
      <c r="H3" s="6"/>
      <c r="I3" s="5"/>
      <c r="J3" s="11"/>
      <c r="K3" s="11"/>
      <c r="L3" s="11"/>
      <c r="M3" s="4"/>
      <c r="N3" s="4"/>
      <c r="O3" s="4"/>
      <c r="P3" s="4"/>
      <c r="Q3" s="4"/>
    </row>
    <row r="4" spans="1:17" ht="34.5" customHeight="1">
      <c r="A4" s="11"/>
      <c r="B4" s="10"/>
      <c r="C4" s="9"/>
      <c r="D4" s="9"/>
      <c r="E4" s="9"/>
      <c r="F4" s="8"/>
      <c r="G4" s="7"/>
      <c r="H4" s="6"/>
      <c r="I4" s="5"/>
      <c r="J4" s="11"/>
      <c r="K4" s="11"/>
      <c r="L4" s="11"/>
      <c r="M4" s="4"/>
      <c r="N4" s="4"/>
      <c r="O4" s="4"/>
      <c r="P4" s="4"/>
      <c r="Q4" s="4"/>
    </row>
    <row r="5" spans="1:17">
      <c r="A5" s="14">
        <v>1</v>
      </c>
      <c r="B5" s="15" t="s">
        <v>15</v>
      </c>
      <c r="C5" s="16">
        <f>'Медикаменты Июль'!L5</f>
        <v>14</v>
      </c>
      <c r="D5" s="17"/>
      <c r="E5" s="14"/>
      <c r="F5" s="18"/>
      <c r="G5" s="19"/>
      <c r="H5" s="20"/>
      <c r="I5" s="21"/>
      <c r="J5" s="14"/>
      <c r="K5" s="14">
        <f t="shared" ref="K5:K68" si="0">SUM(F5:J5)</f>
        <v>0</v>
      </c>
      <c r="L5" s="16">
        <f t="shared" ref="L5:L68" si="1">(C5+E5)-K5</f>
        <v>14</v>
      </c>
      <c r="M5" s="22">
        <v>44531</v>
      </c>
      <c r="N5" s="44" t="s">
        <v>45</v>
      </c>
      <c r="O5" s="23" t="s">
        <v>16</v>
      </c>
      <c r="P5" s="24" t="s">
        <v>17</v>
      </c>
      <c r="Q5" s="28" t="s">
        <v>18</v>
      </c>
    </row>
    <row r="6" spans="1:17">
      <c r="A6" s="14">
        <v>2</v>
      </c>
      <c r="B6" s="15" t="s">
        <v>19</v>
      </c>
      <c r="C6" s="16">
        <f>'Медикаменты Июль'!L6</f>
        <v>11</v>
      </c>
      <c r="D6" s="17"/>
      <c r="E6" s="14"/>
      <c r="F6" s="18"/>
      <c r="G6" s="19"/>
      <c r="H6" s="20"/>
      <c r="I6" s="21"/>
      <c r="J6" s="14"/>
      <c r="K6" s="14">
        <f t="shared" si="0"/>
        <v>0</v>
      </c>
      <c r="L6" s="16">
        <f t="shared" si="1"/>
        <v>11</v>
      </c>
      <c r="M6" s="22">
        <v>44593</v>
      </c>
      <c r="N6" s="44" t="s">
        <v>45</v>
      </c>
      <c r="O6" s="23" t="s">
        <v>16</v>
      </c>
      <c r="P6" s="24" t="s">
        <v>17</v>
      </c>
      <c r="Q6" s="28" t="s">
        <v>20</v>
      </c>
    </row>
    <row r="7" spans="1:17">
      <c r="A7" s="14">
        <v>3</v>
      </c>
      <c r="B7" s="15" t="s">
        <v>21</v>
      </c>
      <c r="C7" s="16">
        <f>'Медикаменты Июль'!L7</f>
        <v>129</v>
      </c>
      <c r="D7" s="17"/>
      <c r="E7" s="14"/>
      <c r="F7" s="18">
        <f>10</f>
        <v>10</v>
      </c>
      <c r="G7" s="19"/>
      <c r="H7" s="20"/>
      <c r="I7" s="21"/>
      <c r="J7" s="14"/>
      <c r="K7" s="14">
        <f t="shared" si="0"/>
        <v>10</v>
      </c>
      <c r="L7" s="16">
        <f t="shared" si="1"/>
        <v>119</v>
      </c>
      <c r="M7" s="22">
        <v>45566</v>
      </c>
      <c r="N7" s="44" t="s">
        <v>45</v>
      </c>
      <c r="O7" s="23" t="s">
        <v>16</v>
      </c>
      <c r="P7" s="24" t="s">
        <v>17</v>
      </c>
      <c r="Q7" s="28" t="s">
        <v>22</v>
      </c>
    </row>
    <row r="8" spans="1:17">
      <c r="A8" s="14">
        <v>4</v>
      </c>
      <c r="B8" s="15" t="s">
        <v>590</v>
      </c>
      <c r="C8" s="16">
        <f>'Медикаменты Июль'!L8</f>
        <v>50</v>
      </c>
      <c r="D8" s="17"/>
      <c r="E8" s="14"/>
      <c r="F8" s="18"/>
      <c r="G8" s="19"/>
      <c r="H8" s="20"/>
      <c r="I8" s="21"/>
      <c r="J8" s="14"/>
      <c r="K8" s="14">
        <f t="shared" si="0"/>
        <v>0</v>
      </c>
      <c r="L8" s="16">
        <f t="shared" si="1"/>
        <v>50</v>
      </c>
      <c r="M8" s="22">
        <v>45047</v>
      </c>
      <c r="N8" s="44" t="s">
        <v>551</v>
      </c>
      <c r="O8" s="23" t="s">
        <v>16</v>
      </c>
      <c r="P8" s="24" t="s">
        <v>17</v>
      </c>
      <c r="Q8" s="28" t="s">
        <v>591</v>
      </c>
    </row>
    <row r="9" spans="1:17">
      <c r="A9" s="14">
        <v>5</v>
      </c>
      <c r="B9" s="15" t="s">
        <v>23</v>
      </c>
      <c r="C9" s="16">
        <f>'Медикаменты Июль'!L9</f>
        <v>0</v>
      </c>
      <c r="D9" s="17"/>
      <c r="E9" s="14"/>
      <c r="F9" s="18"/>
      <c r="G9" s="19"/>
      <c r="H9" s="20"/>
      <c r="I9" s="21"/>
      <c r="J9" s="14"/>
      <c r="K9" s="14">
        <f t="shared" si="0"/>
        <v>0</v>
      </c>
      <c r="L9" s="16">
        <f t="shared" si="1"/>
        <v>0</v>
      </c>
      <c r="M9" s="22"/>
      <c r="N9" s="44"/>
      <c r="O9" s="23" t="s">
        <v>16</v>
      </c>
      <c r="P9" s="24"/>
      <c r="Q9" s="28"/>
    </row>
    <row r="10" spans="1:17">
      <c r="A10" s="14">
        <v>6</v>
      </c>
      <c r="B10" s="15" t="s">
        <v>24</v>
      </c>
      <c r="C10" s="16">
        <f>'Медикаменты Июль'!L10</f>
        <v>0</v>
      </c>
      <c r="D10" s="17"/>
      <c r="E10" s="14"/>
      <c r="F10" s="18"/>
      <c r="G10" s="19"/>
      <c r="H10" s="20"/>
      <c r="I10" s="21"/>
      <c r="J10" s="14"/>
      <c r="K10" s="14">
        <f t="shared" si="0"/>
        <v>0</v>
      </c>
      <c r="L10" s="16">
        <f t="shared" si="1"/>
        <v>0</v>
      </c>
      <c r="M10" s="22">
        <v>44866</v>
      </c>
      <c r="N10" s="44"/>
      <c r="O10" s="23" t="s">
        <v>16</v>
      </c>
      <c r="P10" s="24" t="s">
        <v>17</v>
      </c>
      <c r="Q10" s="28" t="s">
        <v>25</v>
      </c>
    </row>
    <row r="11" spans="1:17">
      <c r="A11" s="14">
        <v>7</v>
      </c>
      <c r="B11" s="15" t="s">
        <v>24</v>
      </c>
      <c r="C11" s="16">
        <f>'Медикаменты Июль'!L11</f>
        <v>0</v>
      </c>
      <c r="D11" s="17"/>
      <c r="E11" s="14"/>
      <c r="F11" s="18"/>
      <c r="G11" s="19"/>
      <c r="H11" s="20"/>
      <c r="I11" s="21"/>
      <c r="J11" s="14"/>
      <c r="K11" s="14">
        <f t="shared" si="0"/>
        <v>0</v>
      </c>
      <c r="L11" s="16">
        <f t="shared" si="1"/>
        <v>0</v>
      </c>
      <c r="M11" s="22"/>
      <c r="N11" s="44"/>
      <c r="O11" s="23" t="s">
        <v>26</v>
      </c>
      <c r="P11" s="24"/>
      <c r="Q11" s="45"/>
    </row>
    <row r="12" spans="1:17">
      <c r="A12" s="14">
        <v>8</v>
      </c>
      <c r="B12" s="15" t="s">
        <v>27</v>
      </c>
      <c r="C12" s="16">
        <f>'Медикаменты Июль'!L12</f>
        <v>0</v>
      </c>
      <c r="D12" s="17"/>
      <c r="E12" s="14"/>
      <c r="F12" s="18"/>
      <c r="G12" s="19"/>
      <c r="H12" s="20"/>
      <c r="I12" s="21"/>
      <c r="J12" s="14"/>
      <c r="K12" s="14">
        <f t="shared" si="0"/>
        <v>0</v>
      </c>
      <c r="L12" s="16">
        <f t="shared" si="1"/>
        <v>0</v>
      </c>
      <c r="M12" s="22">
        <v>44805</v>
      </c>
      <c r="N12" s="44" t="s">
        <v>45</v>
      </c>
      <c r="O12" s="23" t="s">
        <v>16</v>
      </c>
      <c r="P12" s="24" t="s">
        <v>17</v>
      </c>
      <c r="Q12" s="28" t="s">
        <v>28</v>
      </c>
    </row>
    <row r="13" spans="1:17">
      <c r="A13" s="14">
        <v>9</v>
      </c>
      <c r="B13" s="15" t="s">
        <v>27</v>
      </c>
      <c r="C13" s="16">
        <f>'Медикаменты Июль'!L13</f>
        <v>0</v>
      </c>
      <c r="D13" s="17"/>
      <c r="E13" s="14"/>
      <c r="F13" s="18"/>
      <c r="G13" s="19"/>
      <c r="H13" s="20"/>
      <c r="I13" s="21"/>
      <c r="J13" s="14"/>
      <c r="K13" s="14">
        <f t="shared" si="0"/>
        <v>0</v>
      </c>
      <c r="L13" s="16">
        <f t="shared" si="1"/>
        <v>0</v>
      </c>
      <c r="M13" s="22"/>
      <c r="N13" s="44"/>
      <c r="O13" s="23" t="s">
        <v>26</v>
      </c>
      <c r="P13" s="24"/>
      <c r="Q13" s="45"/>
    </row>
    <row r="14" spans="1:17">
      <c r="A14" s="14">
        <v>10</v>
      </c>
      <c r="B14" s="15" t="s">
        <v>29</v>
      </c>
      <c r="C14" s="16">
        <f>'Медикаменты Июль'!L14</f>
        <v>17</v>
      </c>
      <c r="D14" s="17"/>
      <c r="E14" s="14"/>
      <c r="F14" s="18"/>
      <c r="G14" s="19"/>
      <c r="H14" s="20"/>
      <c r="I14" s="21"/>
      <c r="J14" s="14"/>
      <c r="K14" s="14">
        <f t="shared" si="0"/>
        <v>0</v>
      </c>
      <c r="L14" s="16">
        <f t="shared" si="1"/>
        <v>17</v>
      </c>
      <c r="M14" s="22">
        <v>44835</v>
      </c>
      <c r="N14" s="44" t="s">
        <v>45</v>
      </c>
      <c r="O14" s="23" t="s">
        <v>16</v>
      </c>
      <c r="P14" s="24" t="s">
        <v>17</v>
      </c>
      <c r="Q14" s="28" t="s">
        <v>30</v>
      </c>
    </row>
    <row r="15" spans="1:17">
      <c r="A15" s="14">
        <v>11</v>
      </c>
      <c r="B15" s="15" t="s">
        <v>31</v>
      </c>
      <c r="C15" s="16">
        <f>'Медикаменты Июль'!L15</f>
        <v>46</v>
      </c>
      <c r="D15" s="26"/>
      <c r="E15" s="14"/>
      <c r="F15" s="18"/>
      <c r="G15" s="19"/>
      <c r="H15" s="20"/>
      <c r="I15" s="21"/>
      <c r="J15" s="14"/>
      <c r="K15" s="14">
        <f t="shared" si="0"/>
        <v>0</v>
      </c>
      <c r="L15" s="16">
        <f t="shared" si="1"/>
        <v>46</v>
      </c>
      <c r="M15" s="22">
        <v>44621</v>
      </c>
      <c r="N15" s="44" t="s">
        <v>45</v>
      </c>
      <c r="O15" s="23" t="s">
        <v>16</v>
      </c>
      <c r="P15" s="24" t="s">
        <v>17</v>
      </c>
      <c r="Q15" s="28" t="s">
        <v>32</v>
      </c>
    </row>
    <row r="16" spans="1:17">
      <c r="A16" s="14">
        <v>12</v>
      </c>
      <c r="B16" s="15" t="s">
        <v>31</v>
      </c>
      <c r="C16" s="16">
        <f>'Медикаменты Июль'!L16</f>
        <v>0</v>
      </c>
      <c r="D16" s="17"/>
      <c r="E16" s="14"/>
      <c r="F16" s="18"/>
      <c r="G16" s="19"/>
      <c r="H16" s="20"/>
      <c r="I16" s="21"/>
      <c r="J16" s="14"/>
      <c r="K16" s="14">
        <f t="shared" si="0"/>
        <v>0</v>
      </c>
      <c r="L16" s="16">
        <f t="shared" si="1"/>
        <v>0</v>
      </c>
      <c r="M16" s="22"/>
      <c r="N16" s="44"/>
      <c r="O16" s="23" t="s">
        <v>26</v>
      </c>
      <c r="P16" s="24"/>
      <c r="Q16" s="45"/>
    </row>
    <row r="17" spans="1:17" ht="25.5">
      <c r="A17" s="14">
        <v>13</v>
      </c>
      <c r="B17" s="15" t="s">
        <v>33</v>
      </c>
      <c r="C17" s="16">
        <f>'Медикаменты Июль'!L17</f>
        <v>3</v>
      </c>
      <c r="D17" s="17"/>
      <c r="E17" s="14"/>
      <c r="F17" s="18"/>
      <c r="G17" s="19"/>
      <c r="H17" s="20"/>
      <c r="I17" s="21"/>
      <c r="J17" s="14"/>
      <c r="K17" s="14">
        <f t="shared" si="0"/>
        <v>0</v>
      </c>
      <c r="L17" s="16">
        <f t="shared" si="1"/>
        <v>3</v>
      </c>
      <c r="M17" s="22">
        <v>44501</v>
      </c>
      <c r="N17" s="44" t="s">
        <v>45</v>
      </c>
      <c r="O17" s="23" t="s">
        <v>16</v>
      </c>
      <c r="P17" s="24" t="s">
        <v>17</v>
      </c>
      <c r="Q17" s="28" t="s">
        <v>34</v>
      </c>
    </row>
    <row r="18" spans="1:17">
      <c r="A18" s="14">
        <v>14</v>
      </c>
      <c r="B18" s="15" t="s">
        <v>35</v>
      </c>
      <c r="C18" s="16">
        <f>'Медикаменты Июль'!L18</f>
        <v>27</v>
      </c>
      <c r="D18" s="17"/>
      <c r="E18" s="14"/>
      <c r="F18" s="18"/>
      <c r="G18" s="19"/>
      <c r="H18" s="20"/>
      <c r="I18" s="21"/>
      <c r="J18" s="14"/>
      <c r="K18" s="14">
        <f t="shared" si="0"/>
        <v>0</v>
      </c>
      <c r="L18" s="16">
        <f t="shared" si="1"/>
        <v>27</v>
      </c>
      <c r="M18" s="22">
        <v>44621</v>
      </c>
      <c r="N18" s="44" t="s">
        <v>45</v>
      </c>
      <c r="O18" s="23" t="s">
        <v>16</v>
      </c>
      <c r="P18" s="24" t="s">
        <v>17</v>
      </c>
      <c r="Q18" s="28" t="s">
        <v>36</v>
      </c>
    </row>
    <row r="19" spans="1:17">
      <c r="A19" s="14">
        <v>15</v>
      </c>
      <c r="B19" s="15" t="s">
        <v>37</v>
      </c>
      <c r="C19" s="16">
        <f>'Медикаменты Июль'!L19</f>
        <v>100</v>
      </c>
      <c r="D19" s="17"/>
      <c r="E19" s="14"/>
      <c r="F19" s="18">
        <f>5</f>
        <v>5</v>
      </c>
      <c r="G19" s="19"/>
      <c r="H19" s="20"/>
      <c r="I19" s="21"/>
      <c r="J19" s="14"/>
      <c r="K19" s="14">
        <f t="shared" si="0"/>
        <v>5</v>
      </c>
      <c r="L19" s="16">
        <f t="shared" si="1"/>
        <v>95</v>
      </c>
      <c r="M19" s="22">
        <v>44621</v>
      </c>
      <c r="N19" s="44" t="s">
        <v>45</v>
      </c>
      <c r="O19" s="23" t="s">
        <v>16</v>
      </c>
      <c r="P19" s="24" t="s">
        <v>17</v>
      </c>
      <c r="Q19" s="28" t="s">
        <v>38</v>
      </c>
    </row>
    <row r="20" spans="1:17">
      <c r="A20" s="14">
        <v>16</v>
      </c>
      <c r="B20" s="15" t="s">
        <v>39</v>
      </c>
      <c r="C20" s="16">
        <f>'Медикаменты Июль'!L20</f>
        <v>0</v>
      </c>
      <c r="D20" s="17"/>
      <c r="E20" s="14"/>
      <c r="F20" s="18"/>
      <c r="G20" s="19"/>
      <c r="H20" s="20"/>
      <c r="I20" s="21"/>
      <c r="J20" s="14"/>
      <c r="K20" s="14">
        <f t="shared" si="0"/>
        <v>0</v>
      </c>
      <c r="L20" s="16">
        <f t="shared" si="1"/>
        <v>0</v>
      </c>
      <c r="M20" s="22">
        <v>44409</v>
      </c>
      <c r="N20" s="44" t="s">
        <v>45</v>
      </c>
      <c r="O20" s="23" t="s">
        <v>16</v>
      </c>
      <c r="P20" s="24" t="s">
        <v>17</v>
      </c>
      <c r="Q20" s="28" t="s">
        <v>40</v>
      </c>
    </row>
    <row r="21" spans="1:17">
      <c r="A21" s="14">
        <v>17</v>
      </c>
      <c r="B21" s="15" t="s">
        <v>618</v>
      </c>
      <c r="C21" s="16">
        <f>'Медикаменты Июль'!L21</f>
        <v>0</v>
      </c>
      <c r="D21" s="17"/>
      <c r="E21" s="14"/>
      <c r="F21" s="18"/>
      <c r="G21" s="19"/>
      <c r="H21" s="20"/>
      <c r="I21" s="21"/>
      <c r="J21" s="14"/>
      <c r="K21" s="14">
        <f t="shared" si="0"/>
        <v>0</v>
      </c>
      <c r="L21" s="16">
        <f t="shared" si="1"/>
        <v>0</v>
      </c>
      <c r="M21" s="22">
        <v>44743</v>
      </c>
      <c r="N21" s="44" t="s">
        <v>551</v>
      </c>
      <c r="O21" s="23" t="s">
        <v>16</v>
      </c>
      <c r="P21" s="24" t="s">
        <v>17</v>
      </c>
      <c r="Q21" s="28" t="s">
        <v>42</v>
      </c>
    </row>
    <row r="22" spans="1:17">
      <c r="A22" s="14">
        <v>18</v>
      </c>
      <c r="B22" s="15" t="s">
        <v>43</v>
      </c>
      <c r="C22" s="16">
        <f>'Медикаменты Июль'!L22</f>
        <v>0</v>
      </c>
      <c r="D22" s="17"/>
      <c r="E22" s="14"/>
      <c r="F22" s="18"/>
      <c r="G22" s="19"/>
      <c r="H22" s="20"/>
      <c r="I22" s="21"/>
      <c r="J22" s="14"/>
      <c r="K22" s="14">
        <f t="shared" si="0"/>
        <v>0</v>
      </c>
      <c r="L22" s="16">
        <f t="shared" si="1"/>
        <v>0</v>
      </c>
      <c r="M22" s="22"/>
      <c r="N22" s="44"/>
      <c r="O22" s="23" t="s">
        <v>16</v>
      </c>
      <c r="P22" s="24"/>
      <c r="Q22" s="45"/>
    </row>
    <row r="23" spans="1:17">
      <c r="A23" s="14">
        <v>19</v>
      </c>
      <c r="B23" s="15" t="s">
        <v>44</v>
      </c>
      <c r="C23" s="16">
        <f>'Медикаменты Июль'!L23</f>
        <v>4</v>
      </c>
      <c r="D23" s="17"/>
      <c r="E23" s="14"/>
      <c r="F23" s="18"/>
      <c r="G23" s="19"/>
      <c r="H23" s="20"/>
      <c r="I23" s="21"/>
      <c r="J23" s="14"/>
      <c r="K23" s="14">
        <f t="shared" si="0"/>
        <v>0</v>
      </c>
      <c r="L23" s="16">
        <f t="shared" si="1"/>
        <v>4</v>
      </c>
      <c r="M23" s="22">
        <v>44621</v>
      </c>
      <c r="N23" s="44" t="s">
        <v>45</v>
      </c>
      <c r="O23" s="23" t="s">
        <v>16</v>
      </c>
      <c r="P23" s="24" t="s">
        <v>45</v>
      </c>
      <c r="Q23" s="28" t="s">
        <v>46</v>
      </c>
    </row>
    <row r="24" spans="1:17">
      <c r="A24" s="14">
        <v>20</v>
      </c>
      <c r="B24" s="15" t="s">
        <v>44</v>
      </c>
      <c r="C24" s="16">
        <f>'Медикаменты Июль'!L24</f>
        <v>0</v>
      </c>
      <c r="D24" s="17"/>
      <c r="E24" s="14"/>
      <c r="F24" s="18"/>
      <c r="G24" s="19"/>
      <c r="H24" s="20"/>
      <c r="I24" s="21"/>
      <c r="J24" s="14"/>
      <c r="K24" s="14">
        <f t="shared" si="0"/>
        <v>0</v>
      </c>
      <c r="L24" s="16">
        <f t="shared" si="1"/>
        <v>0</v>
      </c>
      <c r="M24" s="22">
        <v>44621</v>
      </c>
      <c r="N24" s="44"/>
      <c r="O24" s="23" t="s">
        <v>26</v>
      </c>
      <c r="P24" s="24"/>
      <c r="Q24" s="28" t="s">
        <v>46</v>
      </c>
    </row>
    <row r="25" spans="1:17">
      <c r="A25" s="14">
        <v>21</v>
      </c>
      <c r="B25" s="15" t="s">
        <v>47</v>
      </c>
      <c r="C25" s="16">
        <f>'Медикаменты Июль'!L25</f>
        <v>74</v>
      </c>
      <c r="D25" s="17"/>
      <c r="E25" s="14"/>
      <c r="F25" s="18"/>
      <c r="G25" s="19"/>
      <c r="H25" s="20"/>
      <c r="I25" s="21"/>
      <c r="J25" s="14"/>
      <c r="K25" s="14">
        <f t="shared" si="0"/>
        <v>0</v>
      </c>
      <c r="L25" s="16">
        <f t="shared" si="1"/>
        <v>74</v>
      </c>
      <c r="M25" s="22">
        <v>44621</v>
      </c>
      <c r="N25" s="44" t="s">
        <v>45</v>
      </c>
      <c r="O25" s="23" t="s">
        <v>16</v>
      </c>
      <c r="P25" s="24" t="s">
        <v>45</v>
      </c>
      <c r="Q25" s="28" t="s">
        <v>48</v>
      </c>
    </row>
    <row r="26" spans="1:17">
      <c r="A26" s="14">
        <v>22</v>
      </c>
      <c r="B26" s="15" t="s">
        <v>49</v>
      </c>
      <c r="C26" s="16">
        <f>'Медикаменты Июль'!L26</f>
        <v>0</v>
      </c>
      <c r="D26" s="17"/>
      <c r="E26" s="14"/>
      <c r="F26" s="18"/>
      <c r="G26" s="19"/>
      <c r="H26" s="20"/>
      <c r="I26" s="21"/>
      <c r="J26" s="14"/>
      <c r="K26" s="14">
        <f t="shared" si="0"/>
        <v>0</v>
      </c>
      <c r="L26" s="16">
        <f t="shared" si="1"/>
        <v>0</v>
      </c>
      <c r="M26" s="22">
        <v>44652</v>
      </c>
      <c r="N26" s="44"/>
      <c r="O26" s="23" t="s">
        <v>16</v>
      </c>
      <c r="P26" s="24"/>
      <c r="Q26" s="28" t="s">
        <v>50</v>
      </c>
    </row>
    <row r="27" spans="1:17">
      <c r="A27" s="14">
        <v>23</v>
      </c>
      <c r="B27" s="15" t="s">
        <v>51</v>
      </c>
      <c r="C27" s="16">
        <f>'Медикаменты Июль'!L27</f>
        <v>50</v>
      </c>
      <c r="D27" s="17"/>
      <c r="E27" s="14"/>
      <c r="F27" s="18">
        <f>5</f>
        <v>5</v>
      </c>
      <c r="G27" s="19"/>
      <c r="H27" s="20">
        <f>3</f>
        <v>3</v>
      </c>
      <c r="I27" s="21"/>
      <c r="J27" s="14"/>
      <c r="K27" s="14">
        <f t="shared" si="0"/>
        <v>8</v>
      </c>
      <c r="L27" s="16">
        <f t="shared" si="1"/>
        <v>42</v>
      </c>
      <c r="M27" s="22">
        <v>45641</v>
      </c>
      <c r="N27" s="44" t="s">
        <v>551</v>
      </c>
      <c r="O27" s="23" t="s">
        <v>16</v>
      </c>
      <c r="P27" s="24" t="s">
        <v>17</v>
      </c>
      <c r="Q27" s="28" t="s">
        <v>52</v>
      </c>
    </row>
    <row r="28" spans="1:17">
      <c r="A28" s="14">
        <v>24</v>
      </c>
      <c r="B28" s="15" t="s">
        <v>53</v>
      </c>
      <c r="C28" s="16">
        <f>'Медикаменты Июль'!L28</f>
        <v>0</v>
      </c>
      <c r="D28" s="17"/>
      <c r="E28" s="14"/>
      <c r="F28" s="18"/>
      <c r="G28" s="19"/>
      <c r="H28" s="20"/>
      <c r="I28" s="21"/>
      <c r="J28" s="14"/>
      <c r="K28" s="14">
        <f t="shared" si="0"/>
        <v>0</v>
      </c>
      <c r="L28" s="16">
        <f t="shared" si="1"/>
        <v>0</v>
      </c>
      <c r="M28" s="22"/>
      <c r="N28" s="44"/>
      <c r="O28" s="23" t="s">
        <v>16</v>
      </c>
      <c r="P28" s="24"/>
      <c r="Q28" s="45"/>
    </row>
    <row r="29" spans="1:17">
      <c r="A29" s="14">
        <v>25</v>
      </c>
      <c r="B29" s="15" t="s">
        <v>54</v>
      </c>
      <c r="C29" s="16">
        <f>'Медикаменты Июль'!L29</f>
        <v>0</v>
      </c>
      <c r="D29" s="17"/>
      <c r="E29" s="14"/>
      <c r="F29" s="18"/>
      <c r="G29" s="19"/>
      <c r="H29" s="20"/>
      <c r="I29" s="21"/>
      <c r="J29" s="14"/>
      <c r="K29" s="14">
        <f t="shared" si="0"/>
        <v>0</v>
      </c>
      <c r="L29" s="16">
        <f t="shared" si="1"/>
        <v>0</v>
      </c>
      <c r="M29" s="22"/>
      <c r="N29" s="44"/>
      <c r="O29" s="23" t="s">
        <v>16</v>
      </c>
      <c r="P29" s="24"/>
      <c r="Q29" s="45"/>
    </row>
    <row r="30" spans="1:17">
      <c r="A30" s="14">
        <v>26</v>
      </c>
      <c r="B30" s="15" t="s">
        <v>55</v>
      </c>
      <c r="C30" s="16">
        <f>'Медикаменты Июль'!L30</f>
        <v>0</v>
      </c>
      <c r="D30" s="17"/>
      <c r="E30" s="14"/>
      <c r="F30" s="18"/>
      <c r="G30" s="19"/>
      <c r="H30" s="20"/>
      <c r="I30" s="21"/>
      <c r="J30" s="14"/>
      <c r="K30" s="14">
        <f t="shared" si="0"/>
        <v>0</v>
      </c>
      <c r="L30" s="16">
        <f t="shared" si="1"/>
        <v>0</v>
      </c>
      <c r="M30" s="22"/>
      <c r="N30" s="44"/>
      <c r="O30" s="23" t="s">
        <v>16</v>
      </c>
      <c r="P30" s="24"/>
      <c r="Q30" s="45"/>
    </row>
    <row r="31" spans="1:17">
      <c r="A31" s="14">
        <v>27</v>
      </c>
      <c r="B31" s="15" t="s">
        <v>56</v>
      </c>
      <c r="C31" s="16">
        <f>'Медикаменты Июль'!L31</f>
        <v>0</v>
      </c>
      <c r="D31" s="17"/>
      <c r="E31" s="14"/>
      <c r="F31" s="18"/>
      <c r="G31" s="19"/>
      <c r="H31" s="20"/>
      <c r="I31" s="21"/>
      <c r="J31" s="14"/>
      <c r="K31" s="14">
        <f t="shared" si="0"/>
        <v>0</v>
      </c>
      <c r="L31" s="16">
        <f t="shared" si="1"/>
        <v>0</v>
      </c>
      <c r="M31" s="22">
        <v>44743</v>
      </c>
      <c r="N31" s="44"/>
      <c r="O31" s="23" t="s">
        <v>16</v>
      </c>
      <c r="P31" s="24"/>
      <c r="Q31" s="45"/>
    </row>
    <row r="32" spans="1:17">
      <c r="A32" s="14">
        <v>28</v>
      </c>
      <c r="B32" s="15" t="s">
        <v>57</v>
      </c>
      <c r="C32" s="16">
        <f>'Медикаменты Июль'!L32</f>
        <v>0</v>
      </c>
      <c r="D32" s="17"/>
      <c r="E32" s="14"/>
      <c r="F32" s="18"/>
      <c r="G32" s="19"/>
      <c r="H32" s="20"/>
      <c r="I32" s="21"/>
      <c r="J32" s="14"/>
      <c r="K32" s="14">
        <f t="shared" si="0"/>
        <v>0</v>
      </c>
      <c r="L32" s="16">
        <f t="shared" si="1"/>
        <v>0</v>
      </c>
      <c r="M32" s="22">
        <v>44958</v>
      </c>
      <c r="N32" s="44"/>
      <c r="O32" s="23" t="s">
        <v>16</v>
      </c>
      <c r="P32" s="24"/>
      <c r="Q32" s="28" t="s">
        <v>58</v>
      </c>
    </row>
    <row r="33" spans="1:17" ht="25.5">
      <c r="A33" s="14">
        <v>29</v>
      </c>
      <c r="B33" s="15" t="s">
        <v>59</v>
      </c>
      <c r="C33" s="16">
        <f>'Медикаменты Июль'!L33</f>
        <v>50</v>
      </c>
      <c r="D33" s="17"/>
      <c r="E33" s="14"/>
      <c r="F33" s="18">
        <f>30</f>
        <v>30</v>
      </c>
      <c r="G33" s="19"/>
      <c r="H33" s="20"/>
      <c r="I33" s="21"/>
      <c r="J33" s="14"/>
      <c r="K33" s="14">
        <f t="shared" si="0"/>
        <v>30</v>
      </c>
      <c r="L33" s="16">
        <f t="shared" si="1"/>
        <v>20</v>
      </c>
      <c r="M33" s="22">
        <v>44957</v>
      </c>
      <c r="N33" s="44" t="s">
        <v>551</v>
      </c>
      <c r="O33" s="23" t="s">
        <v>16</v>
      </c>
      <c r="P33" s="24" t="s">
        <v>17</v>
      </c>
      <c r="Q33" s="28" t="s">
        <v>60</v>
      </c>
    </row>
    <row r="34" spans="1:17" ht="25.5">
      <c r="A34" s="14">
        <v>30</v>
      </c>
      <c r="B34" s="15" t="s">
        <v>59</v>
      </c>
      <c r="C34" s="16">
        <f>'Медикаменты Июль'!L34</f>
        <v>50</v>
      </c>
      <c r="D34" s="17"/>
      <c r="E34" s="14"/>
      <c r="F34" s="18"/>
      <c r="G34" s="19"/>
      <c r="H34" s="20"/>
      <c r="I34" s="21"/>
      <c r="J34" s="14"/>
      <c r="K34" s="14">
        <f t="shared" si="0"/>
        <v>0</v>
      </c>
      <c r="L34" s="16">
        <f t="shared" si="1"/>
        <v>50</v>
      </c>
      <c r="M34" s="22">
        <v>44957</v>
      </c>
      <c r="N34" s="44" t="s">
        <v>551</v>
      </c>
      <c r="O34" s="23" t="s">
        <v>26</v>
      </c>
      <c r="P34" s="24" t="s">
        <v>17</v>
      </c>
      <c r="Q34" s="28" t="s">
        <v>60</v>
      </c>
    </row>
    <row r="35" spans="1:17">
      <c r="A35" s="14">
        <v>31</v>
      </c>
      <c r="B35" s="15" t="s">
        <v>61</v>
      </c>
      <c r="C35" s="16">
        <f>'Медикаменты Июль'!L35</f>
        <v>0</v>
      </c>
      <c r="D35" s="17"/>
      <c r="E35" s="14"/>
      <c r="F35" s="18"/>
      <c r="G35" s="19"/>
      <c r="H35" s="20"/>
      <c r="I35" s="21"/>
      <c r="J35" s="14"/>
      <c r="K35" s="14">
        <f t="shared" si="0"/>
        <v>0</v>
      </c>
      <c r="L35" s="16">
        <f t="shared" si="1"/>
        <v>0</v>
      </c>
      <c r="M35" s="22">
        <v>44713</v>
      </c>
      <c r="N35" s="44"/>
      <c r="O35" s="23" t="s">
        <v>16</v>
      </c>
      <c r="P35" s="24"/>
      <c r="Q35" s="28" t="s">
        <v>62</v>
      </c>
    </row>
    <row r="36" spans="1:17">
      <c r="A36" s="14">
        <v>32</v>
      </c>
      <c r="B36" s="15" t="s">
        <v>63</v>
      </c>
      <c r="C36" s="16">
        <f>'Медикаменты Июль'!L36</f>
        <v>0</v>
      </c>
      <c r="D36" s="17"/>
      <c r="E36" s="14"/>
      <c r="F36" s="18"/>
      <c r="G36" s="19"/>
      <c r="H36" s="20"/>
      <c r="I36" s="21"/>
      <c r="J36" s="14"/>
      <c r="K36" s="14">
        <f t="shared" si="0"/>
        <v>0</v>
      </c>
      <c r="L36" s="16">
        <f t="shared" si="1"/>
        <v>0</v>
      </c>
      <c r="M36" s="22"/>
      <c r="N36" s="44"/>
      <c r="O36" s="23" t="s">
        <v>16</v>
      </c>
      <c r="P36" s="24"/>
      <c r="Q36" s="45"/>
    </row>
    <row r="37" spans="1:17" ht="26.25">
      <c r="A37" s="14">
        <v>33</v>
      </c>
      <c r="B37" s="15" t="s">
        <v>592</v>
      </c>
      <c r="C37" s="16">
        <f>'Медикаменты Июль'!L37</f>
        <v>20</v>
      </c>
      <c r="D37" s="17"/>
      <c r="E37" s="14"/>
      <c r="F37" s="18"/>
      <c r="G37" s="19"/>
      <c r="H37" s="20"/>
      <c r="I37" s="21"/>
      <c r="J37" s="14"/>
      <c r="K37" s="14">
        <f t="shared" si="0"/>
        <v>0</v>
      </c>
      <c r="L37" s="16">
        <f t="shared" si="1"/>
        <v>20</v>
      </c>
      <c r="M37" s="22">
        <v>44958</v>
      </c>
      <c r="N37" s="44" t="s">
        <v>551</v>
      </c>
      <c r="O37" s="23" t="s">
        <v>16</v>
      </c>
      <c r="P37" s="24" t="s">
        <v>17</v>
      </c>
      <c r="Q37" s="28" t="s">
        <v>593</v>
      </c>
    </row>
    <row r="38" spans="1:17">
      <c r="A38" s="14">
        <v>34</v>
      </c>
      <c r="B38" s="15" t="s">
        <v>64</v>
      </c>
      <c r="C38" s="16">
        <f>'Медикаменты Июль'!L38</f>
        <v>0</v>
      </c>
      <c r="D38" s="17"/>
      <c r="E38" s="14"/>
      <c r="F38" s="18"/>
      <c r="G38" s="19"/>
      <c r="H38" s="20"/>
      <c r="I38" s="21"/>
      <c r="J38" s="14"/>
      <c r="K38" s="14">
        <f t="shared" si="0"/>
        <v>0</v>
      </c>
      <c r="L38" s="16">
        <f t="shared" si="1"/>
        <v>0</v>
      </c>
      <c r="M38" s="22"/>
      <c r="N38" s="44"/>
      <c r="O38" s="23" t="s">
        <v>16</v>
      </c>
      <c r="P38" s="24"/>
      <c r="Q38" s="45"/>
    </row>
    <row r="39" spans="1:17">
      <c r="A39" s="14">
        <v>35</v>
      </c>
      <c r="B39" s="15" t="s">
        <v>65</v>
      </c>
      <c r="C39" s="16">
        <f>'Медикаменты Июль'!L39</f>
        <v>71</v>
      </c>
      <c r="D39" s="17"/>
      <c r="E39" s="14"/>
      <c r="F39" s="18">
        <f>15</f>
        <v>15</v>
      </c>
      <c r="G39" s="19"/>
      <c r="H39" s="20"/>
      <c r="I39" s="21"/>
      <c r="J39" s="14"/>
      <c r="K39" s="14">
        <f t="shared" si="0"/>
        <v>15</v>
      </c>
      <c r="L39" s="16">
        <f t="shared" si="1"/>
        <v>56</v>
      </c>
      <c r="M39" s="22">
        <v>45261</v>
      </c>
      <c r="N39" s="44" t="s">
        <v>45</v>
      </c>
      <c r="O39" s="23" t="s">
        <v>16</v>
      </c>
      <c r="P39" s="24" t="s">
        <v>17</v>
      </c>
      <c r="Q39" s="28" t="s">
        <v>66</v>
      </c>
    </row>
    <row r="40" spans="1:17">
      <c r="A40" s="14">
        <v>36</v>
      </c>
      <c r="B40" s="15" t="s">
        <v>67</v>
      </c>
      <c r="C40" s="16">
        <f>'Медикаменты Июль'!L40</f>
        <v>50</v>
      </c>
      <c r="D40" s="17"/>
      <c r="E40" s="14"/>
      <c r="F40" s="18">
        <f>10</f>
        <v>10</v>
      </c>
      <c r="G40" s="19"/>
      <c r="H40" s="20">
        <f>3</f>
        <v>3</v>
      </c>
      <c r="I40" s="21"/>
      <c r="J40" s="14"/>
      <c r="K40" s="14">
        <f t="shared" si="0"/>
        <v>13</v>
      </c>
      <c r="L40" s="16">
        <f t="shared" si="1"/>
        <v>37</v>
      </c>
      <c r="M40" s="22">
        <v>45200</v>
      </c>
      <c r="N40" s="44" t="s">
        <v>551</v>
      </c>
      <c r="O40" s="23" t="s">
        <v>16</v>
      </c>
      <c r="P40" s="24" t="s">
        <v>17</v>
      </c>
      <c r="Q40" s="46" t="s">
        <v>68</v>
      </c>
    </row>
    <row r="41" spans="1:17">
      <c r="A41" s="14">
        <v>37</v>
      </c>
      <c r="B41" s="15" t="s">
        <v>69</v>
      </c>
      <c r="C41" s="16">
        <f>'Медикаменты Июль'!L41</f>
        <v>9</v>
      </c>
      <c r="D41" s="17"/>
      <c r="E41" s="14"/>
      <c r="F41" s="18">
        <f>5</f>
        <v>5</v>
      </c>
      <c r="G41" s="19"/>
      <c r="H41" s="20"/>
      <c r="I41" s="21"/>
      <c r="J41" s="14"/>
      <c r="K41" s="14">
        <f t="shared" si="0"/>
        <v>5</v>
      </c>
      <c r="L41" s="16">
        <f t="shared" si="1"/>
        <v>4</v>
      </c>
      <c r="M41" s="22">
        <v>45383</v>
      </c>
      <c r="N41" s="44" t="s">
        <v>45</v>
      </c>
      <c r="O41" s="23" t="s">
        <v>16</v>
      </c>
      <c r="P41" s="24" t="s">
        <v>17</v>
      </c>
      <c r="Q41" s="28" t="s">
        <v>70</v>
      </c>
    </row>
    <row r="42" spans="1:17" ht="25.5">
      <c r="A42" s="14">
        <v>38</v>
      </c>
      <c r="B42" s="15" t="s">
        <v>594</v>
      </c>
      <c r="C42" s="16">
        <f>'Медикаменты Июль'!L42</f>
        <v>150</v>
      </c>
      <c r="D42" s="17"/>
      <c r="E42" s="14"/>
      <c r="F42" s="18"/>
      <c r="G42" s="19"/>
      <c r="H42" s="20"/>
      <c r="I42" s="21"/>
      <c r="J42" s="14"/>
      <c r="K42" s="14">
        <f t="shared" si="0"/>
        <v>0</v>
      </c>
      <c r="L42" s="16">
        <f t="shared" si="1"/>
        <v>150</v>
      </c>
      <c r="M42" s="22">
        <v>44986</v>
      </c>
      <c r="N42" s="44" t="s">
        <v>551</v>
      </c>
      <c r="O42" s="23" t="s">
        <v>16</v>
      </c>
      <c r="P42" s="24" t="s">
        <v>17</v>
      </c>
      <c r="Q42" s="28" t="s">
        <v>595</v>
      </c>
    </row>
    <row r="43" spans="1:17">
      <c r="A43" s="14">
        <v>39</v>
      </c>
      <c r="B43" s="15" t="s">
        <v>71</v>
      </c>
      <c r="C43" s="16">
        <f>'Медикаменты Июль'!L43</f>
        <v>0</v>
      </c>
      <c r="D43" s="17"/>
      <c r="E43" s="14"/>
      <c r="F43" s="18"/>
      <c r="G43" s="19"/>
      <c r="H43" s="20"/>
      <c r="I43" s="21"/>
      <c r="J43" s="14"/>
      <c r="K43" s="14">
        <f t="shared" si="0"/>
        <v>0</v>
      </c>
      <c r="L43" s="16">
        <f t="shared" si="1"/>
        <v>0</v>
      </c>
      <c r="M43" s="22"/>
      <c r="N43" s="44"/>
      <c r="O43" s="23" t="s">
        <v>16</v>
      </c>
      <c r="P43" s="24"/>
      <c r="Q43" s="45"/>
    </row>
    <row r="44" spans="1:17">
      <c r="A44" s="14">
        <v>40</v>
      </c>
      <c r="B44" s="15" t="s">
        <v>72</v>
      </c>
      <c r="C44" s="16">
        <f>'Медикаменты Июль'!L44</f>
        <v>15</v>
      </c>
      <c r="D44" s="17"/>
      <c r="E44" s="14"/>
      <c r="F44" s="18"/>
      <c r="G44" s="19"/>
      <c r="H44" s="20"/>
      <c r="I44" s="21"/>
      <c r="J44" s="14"/>
      <c r="K44" s="14">
        <f t="shared" si="0"/>
        <v>0</v>
      </c>
      <c r="L44" s="16">
        <f t="shared" si="1"/>
        <v>15</v>
      </c>
      <c r="M44" s="22">
        <v>44652</v>
      </c>
      <c r="N44" s="44" t="s">
        <v>45</v>
      </c>
      <c r="O44" s="23" t="s">
        <v>16</v>
      </c>
      <c r="P44" s="24" t="s">
        <v>17</v>
      </c>
      <c r="Q44" s="28" t="s">
        <v>73</v>
      </c>
    </row>
    <row r="45" spans="1:17">
      <c r="A45" s="14">
        <v>41</v>
      </c>
      <c r="B45" s="15" t="s">
        <v>74</v>
      </c>
      <c r="C45" s="16">
        <f>'Медикаменты Июль'!L45</f>
        <v>0</v>
      </c>
      <c r="D45" s="17"/>
      <c r="E45" s="14"/>
      <c r="F45" s="18"/>
      <c r="G45" s="19"/>
      <c r="H45" s="20"/>
      <c r="I45" s="21"/>
      <c r="J45" s="14"/>
      <c r="K45" s="14">
        <f t="shared" si="0"/>
        <v>0</v>
      </c>
      <c r="L45" s="16">
        <f t="shared" si="1"/>
        <v>0</v>
      </c>
      <c r="M45" s="22">
        <v>45108</v>
      </c>
      <c r="N45" s="44" t="s">
        <v>45</v>
      </c>
      <c r="O45" s="23" t="s">
        <v>16</v>
      </c>
      <c r="P45" s="24" t="s">
        <v>17</v>
      </c>
      <c r="Q45" s="28" t="s">
        <v>75</v>
      </c>
    </row>
    <row r="46" spans="1:17">
      <c r="A46" s="14">
        <v>42</v>
      </c>
      <c r="B46" s="15" t="s">
        <v>76</v>
      </c>
      <c r="C46" s="16">
        <f>'Медикаменты Июль'!L46</f>
        <v>0</v>
      </c>
      <c r="D46" s="17"/>
      <c r="E46" s="14"/>
      <c r="F46" s="18"/>
      <c r="G46" s="19"/>
      <c r="H46" s="20"/>
      <c r="I46" s="21"/>
      <c r="J46" s="14"/>
      <c r="K46" s="14">
        <f t="shared" si="0"/>
        <v>0</v>
      </c>
      <c r="L46" s="16">
        <f t="shared" si="1"/>
        <v>0</v>
      </c>
      <c r="M46" s="22"/>
      <c r="N46" s="44"/>
      <c r="O46" s="23" t="s">
        <v>16</v>
      </c>
      <c r="P46" s="24"/>
      <c r="Q46" s="45"/>
    </row>
    <row r="47" spans="1:17">
      <c r="A47" s="14">
        <v>43</v>
      </c>
      <c r="B47" s="15" t="s">
        <v>77</v>
      </c>
      <c r="C47" s="16">
        <f>'Медикаменты Июль'!L47</f>
        <v>0</v>
      </c>
      <c r="D47" s="17"/>
      <c r="E47" s="14"/>
      <c r="F47" s="18"/>
      <c r="G47" s="19"/>
      <c r="H47" s="20"/>
      <c r="I47" s="21"/>
      <c r="J47" s="14"/>
      <c r="K47" s="14">
        <f t="shared" si="0"/>
        <v>0</v>
      </c>
      <c r="L47" s="16">
        <f t="shared" si="1"/>
        <v>0</v>
      </c>
      <c r="M47" s="22"/>
      <c r="N47" s="44"/>
      <c r="O47" s="23" t="s">
        <v>16</v>
      </c>
      <c r="P47" s="24"/>
      <c r="Q47" s="45"/>
    </row>
    <row r="48" spans="1:17">
      <c r="A48" s="14">
        <v>44</v>
      </c>
      <c r="B48" s="15" t="s">
        <v>619</v>
      </c>
      <c r="C48" s="16">
        <f>'Медикаменты Июль'!L48</f>
        <v>0</v>
      </c>
      <c r="D48" s="17"/>
      <c r="E48" s="14">
        <f>20</f>
        <v>20</v>
      </c>
      <c r="F48" s="18"/>
      <c r="G48" s="19"/>
      <c r="H48" s="20"/>
      <c r="I48" s="21"/>
      <c r="J48" s="14"/>
      <c r="K48" s="14">
        <f t="shared" si="0"/>
        <v>0</v>
      </c>
      <c r="L48" s="16">
        <f t="shared" si="1"/>
        <v>20</v>
      </c>
      <c r="M48" s="22">
        <v>45413</v>
      </c>
      <c r="N48" s="44" t="s">
        <v>551</v>
      </c>
      <c r="O48" s="23" t="s">
        <v>16</v>
      </c>
      <c r="P48" s="24" t="s">
        <v>17</v>
      </c>
      <c r="Q48" s="28" t="s">
        <v>79</v>
      </c>
    </row>
    <row r="49" spans="1:17">
      <c r="A49" s="14">
        <v>45</v>
      </c>
      <c r="B49" s="15" t="s">
        <v>80</v>
      </c>
      <c r="C49" s="16">
        <f>'Медикаменты Июль'!L49</f>
        <v>0</v>
      </c>
      <c r="D49" s="17"/>
      <c r="E49" s="14"/>
      <c r="F49" s="18"/>
      <c r="G49" s="19"/>
      <c r="H49" s="20"/>
      <c r="I49" s="21"/>
      <c r="J49" s="14"/>
      <c r="K49" s="14">
        <f t="shared" si="0"/>
        <v>0</v>
      </c>
      <c r="L49" s="16">
        <f t="shared" si="1"/>
        <v>0</v>
      </c>
      <c r="M49" s="22">
        <v>44317</v>
      </c>
      <c r="N49" s="44"/>
      <c r="O49" s="23" t="s">
        <v>16</v>
      </c>
      <c r="P49" s="24" t="s">
        <v>17</v>
      </c>
      <c r="Q49" s="28" t="s">
        <v>81</v>
      </c>
    </row>
    <row r="50" spans="1:17">
      <c r="A50" s="14">
        <v>46</v>
      </c>
      <c r="B50" s="15" t="s">
        <v>82</v>
      </c>
      <c r="C50" s="16">
        <f>'Медикаменты Июль'!L50</f>
        <v>0</v>
      </c>
      <c r="D50" s="17"/>
      <c r="E50" s="14"/>
      <c r="F50" s="18"/>
      <c r="G50" s="19"/>
      <c r="H50" s="20"/>
      <c r="I50" s="21"/>
      <c r="J50" s="14"/>
      <c r="K50" s="14">
        <f t="shared" si="0"/>
        <v>0</v>
      </c>
      <c r="L50" s="16">
        <f t="shared" si="1"/>
        <v>0</v>
      </c>
      <c r="M50" s="22"/>
      <c r="N50" s="44"/>
      <c r="O50" s="23" t="s">
        <v>16</v>
      </c>
      <c r="P50" s="24"/>
      <c r="Q50" s="45"/>
    </row>
    <row r="51" spans="1:17">
      <c r="A51" s="14">
        <v>47</v>
      </c>
      <c r="B51" s="15" t="s">
        <v>83</v>
      </c>
      <c r="C51" s="16">
        <f>'Медикаменты Июль'!L51</f>
        <v>0</v>
      </c>
      <c r="D51" s="17"/>
      <c r="E51" s="14"/>
      <c r="F51" s="18"/>
      <c r="G51" s="19"/>
      <c r="H51" s="20"/>
      <c r="I51" s="21"/>
      <c r="J51" s="14"/>
      <c r="K51" s="14">
        <f t="shared" si="0"/>
        <v>0</v>
      </c>
      <c r="L51" s="16">
        <f t="shared" si="1"/>
        <v>0</v>
      </c>
      <c r="M51" s="22">
        <v>44317</v>
      </c>
      <c r="N51" s="44" t="s">
        <v>45</v>
      </c>
      <c r="O51" s="23" t="s">
        <v>16</v>
      </c>
      <c r="P51" s="24" t="s">
        <v>17</v>
      </c>
      <c r="Q51" s="28" t="s">
        <v>84</v>
      </c>
    </row>
    <row r="52" spans="1:17">
      <c r="A52" s="14">
        <v>48</v>
      </c>
      <c r="B52" s="15" t="s">
        <v>85</v>
      </c>
      <c r="C52" s="16">
        <f>'Медикаменты Июль'!L52</f>
        <v>0</v>
      </c>
      <c r="D52" s="17"/>
      <c r="E52" s="14"/>
      <c r="F52" s="18"/>
      <c r="G52" s="19"/>
      <c r="H52" s="20"/>
      <c r="I52" s="21"/>
      <c r="J52" s="14"/>
      <c r="K52" s="14">
        <f t="shared" si="0"/>
        <v>0</v>
      </c>
      <c r="L52" s="16">
        <f t="shared" si="1"/>
        <v>0</v>
      </c>
      <c r="M52" s="22">
        <v>44409</v>
      </c>
      <c r="N52" s="44" t="s">
        <v>45</v>
      </c>
      <c r="O52" s="23" t="s">
        <v>16</v>
      </c>
      <c r="P52" s="24" t="s">
        <v>17</v>
      </c>
      <c r="Q52" s="28" t="s">
        <v>86</v>
      </c>
    </row>
    <row r="53" spans="1:17">
      <c r="A53" s="14">
        <v>49</v>
      </c>
      <c r="B53" s="15" t="s">
        <v>87</v>
      </c>
      <c r="C53" s="16">
        <f>'Медикаменты Июль'!L53</f>
        <v>0</v>
      </c>
      <c r="D53" s="17"/>
      <c r="E53" s="14"/>
      <c r="F53" s="18"/>
      <c r="G53" s="19"/>
      <c r="H53" s="20"/>
      <c r="I53" s="21"/>
      <c r="J53" s="14"/>
      <c r="K53" s="14">
        <f t="shared" si="0"/>
        <v>0</v>
      </c>
      <c r="L53" s="16">
        <f t="shared" si="1"/>
        <v>0</v>
      </c>
      <c r="M53" s="22">
        <v>44136</v>
      </c>
      <c r="N53" s="44"/>
      <c r="O53" s="23" t="s">
        <v>16</v>
      </c>
      <c r="P53" s="24"/>
      <c r="Q53" s="28" t="s">
        <v>88</v>
      </c>
    </row>
    <row r="54" spans="1:17">
      <c r="A54" s="14">
        <v>50</v>
      </c>
      <c r="B54" s="15" t="s">
        <v>620</v>
      </c>
      <c r="C54" s="16"/>
      <c r="D54" s="17"/>
      <c r="E54" s="14">
        <f>30</f>
        <v>30</v>
      </c>
      <c r="F54" s="18"/>
      <c r="G54" s="19"/>
      <c r="H54" s="20"/>
      <c r="I54" s="21"/>
      <c r="J54" s="14"/>
      <c r="K54" s="14">
        <f t="shared" si="0"/>
        <v>0</v>
      </c>
      <c r="L54" s="16">
        <f t="shared" si="1"/>
        <v>30</v>
      </c>
      <c r="M54" s="22">
        <v>44986</v>
      </c>
      <c r="N54" s="44" t="s">
        <v>551</v>
      </c>
      <c r="O54" s="23" t="s">
        <v>16</v>
      </c>
      <c r="P54" s="24" t="s">
        <v>17</v>
      </c>
      <c r="Q54" s="28" t="s">
        <v>621</v>
      </c>
    </row>
    <row r="55" spans="1:17">
      <c r="A55" s="14">
        <v>51</v>
      </c>
      <c r="B55" s="15" t="s">
        <v>622</v>
      </c>
      <c r="C55" s="16">
        <f>'Медикаменты Июль'!L54</f>
        <v>0</v>
      </c>
      <c r="D55" s="17"/>
      <c r="E55" s="14">
        <f>70</f>
        <v>70</v>
      </c>
      <c r="F55" s="18"/>
      <c r="G55" s="19"/>
      <c r="H55" s="20"/>
      <c r="I55" s="21"/>
      <c r="J55" s="14"/>
      <c r="K55" s="14">
        <f t="shared" si="0"/>
        <v>0</v>
      </c>
      <c r="L55" s="16">
        <f t="shared" si="1"/>
        <v>70</v>
      </c>
      <c r="M55" s="22">
        <v>45017</v>
      </c>
      <c r="N55" s="44" t="s">
        <v>551</v>
      </c>
      <c r="O55" s="23" t="s">
        <v>16</v>
      </c>
      <c r="P55" s="24" t="s">
        <v>17</v>
      </c>
      <c r="Q55" s="28" t="s">
        <v>623</v>
      </c>
    </row>
    <row r="56" spans="1:17">
      <c r="A56" s="14">
        <v>52</v>
      </c>
      <c r="B56" s="15" t="s">
        <v>91</v>
      </c>
      <c r="C56" s="16">
        <f>'Медикаменты Июль'!L55</f>
        <v>0</v>
      </c>
      <c r="D56" s="17"/>
      <c r="E56" s="14"/>
      <c r="F56" s="18"/>
      <c r="G56" s="19"/>
      <c r="H56" s="20"/>
      <c r="I56" s="21"/>
      <c r="J56" s="14"/>
      <c r="K56" s="14">
        <f t="shared" si="0"/>
        <v>0</v>
      </c>
      <c r="L56" s="16">
        <f t="shared" si="1"/>
        <v>0</v>
      </c>
      <c r="M56" s="22">
        <v>44317</v>
      </c>
      <c r="N56" s="44" t="s">
        <v>45</v>
      </c>
      <c r="O56" s="23" t="s">
        <v>16</v>
      </c>
      <c r="P56" s="24" t="s">
        <v>17</v>
      </c>
      <c r="Q56" s="28" t="s">
        <v>92</v>
      </c>
    </row>
    <row r="57" spans="1:17">
      <c r="A57" s="14">
        <v>53</v>
      </c>
      <c r="B57" s="15" t="s">
        <v>596</v>
      </c>
      <c r="C57" s="16">
        <f>'Медикаменты Июль'!L56</f>
        <v>50</v>
      </c>
      <c r="D57" s="17"/>
      <c r="E57" s="14"/>
      <c r="F57" s="18">
        <f>15</f>
        <v>15</v>
      </c>
      <c r="G57" s="19"/>
      <c r="H57" s="20"/>
      <c r="I57" s="21"/>
      <c r="J57" s="14"/>
      <c r="K57" s="14">
        <f t="shared" si="0"/>
        <v>15</v>
      </c>
      <c r="L57" s="16">
        <f t="shared" si="1"/>
        <v>35</v>
      </c>
      <c r="M57" s="22">
        <v>45261</v>
      </c>
      <c r="N57" s="44" t="s">
        <v>551</v>
      </c>
      <c r="O57" s="23" t="s">
        <v>16</v>
      </c>
      <c r="P57" s="24" t="s">
        <v>17</v>
      </c>
      <c r="Q57" s="28" t="s">
        <v>597</v>
      </c>
    </row>
    <row r="58" spans="1:17">
      <c r="A58" s="14">
        <v>54</v>
      </c>
      <c r="B58" s="15" t="s">
        <v>93</v>
      </c>
      <c r="C58" s="16">
        <f>'Медикаменты Июль'!L57</f>
        <v>0</v>
      </c>
      <c r="D58" s="17"/>
      <c r="E58" s="14"/>
      <c r="F58" s="18"/>
      <c r="G58" s="19"/>
      <c r="H58" s="20"/>
      <c r="I58" s="21"/>
      <c r="J58" s="14"/>
      <c r="K58" s="14">
        <f t="shared" si="0"/>
        <v>0</v>
      </c>
      <c r="L58" s="16">
        <f t="shared" si="1"/>
        <v>0</v>
      </c>
      <c r="M58" s="22">
        <v>44013</v>
      </c>
      <c r="N58" s="44"/>
      <c r="O58" s="23" t="s">
        <v>16</v>
      </c>
      <c r="P58" s="24"/>
      <c r="Q58" s="28" t="s">
        <v>94</v>
      </c>
    </row>
    <row r="59" spans="1:17">
      <c r="A59" s="14">
        <v>55</v>
      </c>
      <c r="B59" s="15" t="s">
        <v>95</v>
      </c>
      <c r="C59" s="16">
        <f>'Медикаменты Июль'!L58</f>
        <v>29</v>
      </c>
      <c r="D59" s="17"/>
      <c r="E59" s="14"/>
      <c r="F59" s="18"/>
      <c r="G59" s="19"/>
      <c r="H59" s="20"/>
      <c r="I59" s="21"/>
      <c r="J59" s="14"/>
      <c r="K59" s="14">
        <f t="shared" si="0"/>
        <v>0</v>
      </c>
      <c r="L59" s="16">
        <f t="shared" si="1"/>
        <v>29</v>
      </c>
      <c r="M59" s="22">
        <v>44986</v>
      </c>
      <c r="N59" s="44" t="s">
        <v>45</v>
      </c>
      <c r="O59" s="23" t="s">
        <v>16</v>
      </c>
      <c r="P59" s="24" t="s">
        <v>45</v>
      </c>
      <c r="Q59" s="28" t="s">
        <v>96</v>
      </c>
    </row>
    <row r="60" spans="1:17">
      <c r="A60" s="14">
        <v>56</v>
      </c>
      <c r="B60" s="15" t="s">
        <v>97</v>
      </c>
      <c r="C60" s="16">
        <f>'Медикаменты Июль'!L59</f>
        <v>0</v>
      </c>
      <c r="D60" s="17"/>
      <c r="E60" s="14"/>
      <c r="F60" s="18"/>
      <c r="G60" s="19"/>
      <c r="H60" s="20"/>
      <c r="I60" s="21"/>
      <c r="J60" s="14"/>
      <c r="K60" s="14">
        <f t="shared" si="0"/>
        <v>0</v>
      </c>
      <c r="L60" s="16">
        <f t="shared" si="1"/>
        <v>0</v>
      </c>
      <c r="M60" s="22">
        <v>44866</v>
      </c>
      <c r="N60" s="44"/>
      <c r="O60" s="23" t="s">
        <v>16</v>
      </c>
      <c r="P60" s="24"/>
      <c r="Q60" s="28" t="s">
        <v>98</v>
      </c>
    </row>
    <row r="61" spans="1:17">
      <c r="A61" s="14">
        <v>57</v>
      </c>
      <c r="B61" s="15" t="s">
        <v>99</v>
      </c>
      <c r="C61" s="16">
        <f>'Медикаменты Июль'!L60</f>
        <v>0</v>
      </c>
      <c r="D61" s="17"/>
      <c r="E61" s="14"/>
      <c r="F61" s="18"/>
      <c r="G61" s="19"/>
      <c r="H61" s="20"/>
      <c r="I61" s="21"/>
      <c r="J61" s="14"/>
      <c r="K61" s="14">
        <f t="shared" si="0"/>
        <v>0</v>
      </c>
      <c r="L61" s="16">
        <f t="shared" si="1"/>
        <v>0</v>
      </c>
      <c r="M61" s="22"/>
      <c r="N61" s="44"/>
      <c r="O61" s="23" t="s">
        <v>16</v>
      </c>
      <c r="P61" s="24"/>
      <c r="Q61" s="45"/>
    </row>
    <row r="62" spans="1:17">
      <c r="A62" s="14">
        <v>58</v>
      </c>
      <c r="B62" s="15" t="s">
        <v>100</v>
      </c>
      <c r="C62" s="16">
        <f>'Медикаменты Июль'!L61</f>
        <v>0</v>
      </c>
      <c r="D62" s="17"/>
      <c r="E62" s="14"/>
      <c r="F62" s="18"/>
      <c r="G62" s="19"/>
      <c r="H62" s="20"/>
      <c r="I62" s="21"/>
      <c r="J62" s="14"/>
      <c r="K62" s="14">
        <f t="shared" si="0"/>
        <v>0</v>
      </c>
      <c r="L62" s="16">
        <f t="shared" si="1"/>
        <v>0</v>
      </c>
      <c r="M62" s="22"/>
      <c r="N62" s="44"/>
      <c r="O62" s="23" t="s">
        <v>26</v>
      </c>
      <c r="P62" s="24" t="s">
        <v>17</v>
      </c>
      <c r="Q62" s="28" t="s">
        <v>101</v>
      </c>
    </row>
    <row r="63" spans="1:17">
      <c r="A63" s="14">
        <v>59</v>
      </c>
      <c r="B63" s="15" t="s">
        <v>102</v>
      </c>
      <c r="C63" s="16">
        <f>'Медикаменты Июль'!L62</f>
        <v>11</v>
      </c>
      <c r="D63" s="17"/>
      <c r="E63" s="14"/>
      <c r="F63" s="18"/>
      <c r="G63" s="19"/>
      <c r="H63" s="20"/>
      <c r="I63" s="21"/>
      <c r="J63" s="14"/>
      <c r="K63" s="14">
        <f t="shared" si="0"/>
        <v>0</v>
      </c>
      <c r="L63" s="16">
        <f t="shared" si="1"/>
        <v>11</v>
      </c>
      <c r="M63" s="22">
        <v>44866</v>
      </c>
      <c r="N63" s="44" t="s">
        <v>45</v>
      </c>
      <c r="O63" s="23" t="s">
        <v>16</v>
      </c>
      <c r="P63" s="24" t="s">
        <v>45</v>
      </c>
      <c r="Q63" s="28" t="s">
        <v>103</v>
      </c>
    </row>
    <row r="64" spans="1:17">
      <c r="A64" s="14">
        <v>60</v>
      </c>
      <c r="B64" s="15" t="s">
        <v>102</v>
      </c>
      <c r="C64" s="16">
        <f>'Медикаменты Июль'!L63</f>
        <v>0</v>
      </c>
      <c r="D64" s="17"/>
      <c r="E64" s="14"/>
      <c r="F64" s="18"/>
      <c r="G64" s="19"/>
      <c r="H64" s="20"/>
      <c r="I64" s="21"/>
      <c r="J64" s="14"/>
      <c r="K64" s="14">
        <f t="shared" si="0"/>
        <v>0</v>
      </c>
      <c r="L64" s="16">
        <f t="shared" si="1"/>
        <v>0</v>
      </c>
      <c r="M64" s="22">
        <v>44866</v>
      </c>
      <c r="N64" s="44"/>
      <c r="O64" s="23" t="s">
        <v>26</v>
      </c>
      <c r="P64" s="24"/>
      <c r="Q64" s="28" t="s">
        <v>103</v>
      </c>
    </row>
    <row r="65" spans="1:17">
      <c r="A65" s="14">
        <v>61</v>
      </c>
      <c r="B65" s="15" t="s">
        <v>104</v>
      </c>
      <c r="C65" s="16">
        <f>'Медикаменты Июль'!L64</f>
        <v>0</v>
      </c>
      <c r="D65" s="17"/>
      <c r="E65" s="14"/>
      <c r="F65" s="18"/>
      <c r="G65" s="19"/>
      <c r="H65" s="20"/>
      <c r="I65" s="21"/>
      <c r="J65" s="14"/>
      <c r="K65" s="14">
        <f t="shared" si="0"/>
        <v>0</v>
      </c>
      <c r="L65" s="16">
        <f t="shared" si="1"/>
        <v>0</v>
      </c>
      <c r="M65" s="22"/>
      <c r="N65" s="44"/>
      <c r="O65" s="23" t="s">
        <v>16</v>
      </c>
      <c r="P65" s="24"/>
      <c r="Q65" s="45"/>
    </row>
    <row r="66" spans="1:17">
      <c r="A66" s="14">
        <v>62</v>
      </c>
      <c r="B66" s="15" t="s">
        <v>104</v>
      </c>
      <c r="C66" s="16">
        <f>'Медикаменты Июль'!L65</f>
        <v>0</v>
      </c>
      <c r="D66" s="17"/>
      <c r="E66" s="14"/>
      <c r="F66" s="18"/>
      <c r="G66" s="19"/>
      <c r="H66" s="20"/>
      <c r="I66" s="21"/>
      <c r="J66" s="14"/>
      <c r="K66" s="14">
        <f t="shared" si="0"/>
        <v>0</v>
      </c>
      <c r="L66" s="16">
        <f t="shared" si="1"/>
        <v>0</v>
      </c>
      <c r="M66" s="22"/>
      <c r="N66" s="44"/>
      <c r="O66" s="23" t="s">
        <v>26</v>
      </c>
      <c r="P66" s="24"/>
      <c r="Q66" s="45"/>
    </row>
    <row r="67" spans="1:17">
      <c r="A67" s="14">
        <v>63</v>
      </c>
      <c r="B67" s="15" t="s">
        <v>624</v>
      </c>
      <c r="C67" s="16"/>
      <c r="D67" s="17"/>
      <c r="E67" s="14">
        <f>50</f>
        <v>50</v>
      </c>
      <c r="F67" s="18"/>
      <c r="G67" s="19"/>
      <c r="H67" s="20"/>
      <c r="I67" s="21"/>
      <c r="J67" s="14"/>
      <c r="K67" s="14">
        <f t="shared" si="0"/>
        <v>0</v>
      </c>
      <c r="L67" s="16">
        <f t="shared" si="1"/>
        <v>50</v>
      </c>
      <c r="M67" s="22">
        <v>46054</v>
      </c>
      <c r="N67" s="44" t="s">
        <v>551</v>
      </c>
      <c r="O67" s="23" t="s">
        <v>16</v>
      </c>
      <c r="P67" s="24" t="s">
        <v>17</v>
      </c>
      <c r="Q67" s="28" t="s">
        <v>625</v>
      </c>
    </row>
    <row r="68" spans="1:17">
      <c r="A68" s="14">
        <v>64</v>
      </c>
      <c r="B68" s="15" t="s">
        <v>105</v>
      </c>
      <c r="C68" s="16">
        <f>'Медикаменты Июль'!L66</f>
        <v>0</v>
      </c>
      <c r="D68" s="17"/>
      <c r="E68" s="14">
        <f>50</f>
        <v>50</v>
      </c>
      <c r="F68" s="18"/>
      <c r="G68" s="19"/>
      <c r="H68" s="20"/>
      <c r="I68" s="21"/>
      <c r="J68" s="14"/>
      <c r="K68" s="14">
        <f t="shared" si="0"/>
        <v>0</v>
      </c>
      <c r="L68" s="16">
        <f t="shared" si="1"/>
        <v>50</v>
      </c>
      <c r="M68" s="22">
        <v>45017</v>
      </c>
      <c r="N68" s="44" t="s">
        <v>551</v>
      </c>
      <c r="O68" s="23" t="s">
        <v>16</v>
      </c>
      <c r="P68" s="24" t="s">
        <v>17</v>
      </c>
      <c r="Q68" s="28" t="s">
        <v>106</v>
      </c>
    </row>
    <row r="69" spans="1:17">
      <c r="A69" s="14">
        <v>65</v>
      </c>
      <c r="B69" s="15" t="s">
        <v>105</v>
      </c>
      <c r="C69" s="16">
        <f>'Медикаменты Июль'!L67</f>
        <v>10</v>
      </c>
      <c r="D69" s="17"/>
      <c r="E69" s="14"/>
      <c r="F69" s="18">
        <f>5+5</f>
        <v>10</v>
      </c>
      <c r="G69" s="19"/>
      <c r="H69" s="20"/>
      <c r="I69" s="21"/>
      <c r="J69" s="14"/>
      <c r="K69" s="14">
        <f t="shared" ref="K69:K132" si="2">SUM(F69:J69)</f>
        <v>10</v>
      </c>
      <c r="L69" s="16">
        <f t="shared" ref="L69:L132" si="3">(C69+E69)-K69</f>
        <v>0</v>
      </c>
      <c r="M69" s="22">
        <v>44531</v>
      </c>
      <c r="N69" s="44" t="s">
        <v>45</v>
      </c>
      <c r="O69" s="23" t="s">
        <v>16</v>
      </c>
      <c r="P69" s="24" t="s">
        <v>17</v>
      </c>
      <c r="Q69" s="28" t="s">
        <v>106</v>
      </c>
    </row>
    <row r="70" spans="1:17">
      <c r="A70" s="14">
        <v>66</v>
      </c>
      <c r="B70" s="15" t="s">
        <v>107</v>
      </c>
      <c r="C70" s="16">
        <f>'Медикаменты Июль'!L68</f>
        <v>0</v>
      </c>
      <c r="D70" s="17"/>
      <c r="E70" s="14">
        <f>100</f>
        <v>100</v>
      </c>
      <c r="F70" s="18"/>
      <c r="G70" s="19"/>
      <c r="H70" s="20"/>
      <c r="I70" s="21"/>
      <c r="J70" s="14"/>
      <c r="K70" s="14">
        <f t="shared" si="2"/>
        <v>0</v>
      </c>
      <c r="L70" s="16">
        <f t="shared" si="3"/>
        <v>100</v>
      </c>
      <c r="M70" s="22">
        <v>45077</v>
      </c>
      <c r="N70" s="44" t="s">
        <v>551</v>
      </c>
      <c r="O70" s="23" t="s">
        <v>16</v>
      </c>
      <c r="P70" s="24" t="s">
        <v>17</v>
      </c>
      <c r="Q70" s="28" t="s">
        <v>108</v>
      </c>
    </row>
    <row r="71" spans="1:17">
      <c r="A71" s="14">
        <v>67</v>
      </c>
      <c r="B71" s="15" t="s">
        <v>109</v>
      </c>
      <c r="C71" s="16">
        <f>'Медикаменты Июль'!L69</f>
        <v>0</v>
      </c>
      <c r="D71" s="17"/>
      <c r="E71" s="14"/>
      <c r="F71" s="18"/>
      <c r="G71" s="19"/>
      <c r="H71" s="20"/>
      <c r="I71" s="21"/>
      <c r="J71" s="14"/>
      <c r="K71" s="14">
        <f t="shared" si="2"/>
        <v>0</v>
      </c>
      <c r="L71" s="16">
        <f t="shared" si="3"/>
        <v>0</v>
      </c>
      <c r="M71" s="22"/>
      <c r="N71" s="44"/>
      <c r="O71" s="23" t="s">
        <v>16</v>
      </c>
      <c r="P71" s="24"/>
      <c r="Q71" s="45"/>
    </row>
    <row r="72" spans="1:17">
      <c r="A72" s="14">
        <v>68</v>
      </c>
      <c r="B72" s="15" t="s">
        <v>110</v>
      </c>
      <c r="C72" s="16">
        <f>'Медикаменты Июль'!L70</f>
        <v>0</v>
      </c>
      <c r="D72" s="17"/>
      <c r="E72" s="14"/>
      <c r="F72" s="18"/>
      <c r="G72" s="19"/>
      <c r="H72" s="20"/>
      <c r="I72" s="21"/>
      <c r="J72" s="14"/>
      <c r="K72" s="14">
        <f t="shared" si="2"/>
        <v>0</v>
      </c>
      <c r="L72" s="16">
        <f t="shared" si="3"/>
        <v>0</v>
      </c>
      <c r="M72" s="22">
        <v>44682</v>
      </c>
      <c r="N72" s="44"/>
      <c r="O72" s="23" t="s">
        <v>16</v>
      </c>
      <c r="P72" s="24"/>
      <c r="Q72" s="45"/>
    </row>
    <row r="73" spans="1:17">
      <c r="A73" s="14">
        <v>69</v>
      </c>
      <c r="B73" s="15" t="s">
        <v>111</v>
      </c>
      <c r="C73" s="16">
        <f>'Медикаменты Июль'!L71</f>
        <v>72</v>
      </c>
      <c r="D73" s="17"/>
      <c r="E73" s="14"/>
      <c r="F73" s="18">
        <f>10</f>
        <v>10</v>
      </c>
      <c r="G73" s="19"/>
      <c r="H73" s="20">
        <f>10</f>
        <v>10</v>
      </c>
      <c r="I73" s="21"/>
      <c r="J73" s="14"/>
      <c r="K73" s="14">
        <f t="shared" si="2"/>
        <v>20</v>
      </c>
      <c r="L73" s="16">
        <f t="shared" si="3"/>
        <v>52</v>
      </c>
      <c r="M73" s="22">
        <v>44958</v>
      </c>
      <c r="N73" s="44" t="s">
        <v>45</v>
      </c>
      <c r="O73" s="23" t="s">
        <v>16</v>
      </c>
      <c r="P73" s="24" t="s">
        <v>17</v>
      </c>
      <c r="Q73" s="28" t="s">
        <v>112</v>
      </c>
    </row>
    <row r="74" spans="1:17">
      <c r="A74" s="14">
        <v>70</v>
      </c>
      <c r="B74" s="15" t="s">
        <v>111</v>
      </c>
      <c r="C74" s="16">
        <f>'Медикаменты Июль'!L72</f>
        <v>0</v>
      </c>
      <c r="D74" s="17"/>
      <c r="E74" s="14">
        <f>300</f>
        <v>300</v>
      </c>
      <c r="F74" s="18"/>
      <c r="G74" s="19"/>
      <c r="H74" s="20"/>
      <c r="I74" s="21"/>
      <c r="J74" s="14"/>
      <c r="K74" s="14">
        <f t="shared" si="2"/>
        <v>0</v>
      </c>
      <c r="L74" s="16">
        <f t="shared" si="3"/>
        <v>300</v>
      </c>
      <c r="M74" s="22">
        <v>45323</v>
      </c>
      <c r="N74" s="44" t="s">
        <v>551</v>
      </c>
      <c r="O74" s="23" t="s">
        <v>16</v>
      </c>
      <c r="P74" s="24" t="s">
        <v>17</v>
      </c>
      <c r="Q74" s="28" t="s">
        <v>112</v>
      </c>
    </row>
    <row r="75" spans="1:17">
      <c r="A75" s="14">
        <v>71</v>
      </c>
      <c r="B75" s="15" t="s">
        <v>113</v>
      </c>
      <c r="C75" s="16">
        <f>'Медикаменты Июль'!L73</f>
        <v>85</v>
      </c>
      <c r="D75" s="17"/>
      <c r="E75" s="14"/>
      <c r="F75" s="18"/>
      <c r="G75" s="19"/>
      <c r="H75" s="20"/>
      <c r="I75" s="21"/>
      <c r="J75" s="14"/>
      <c r="K75" s="14">
        <f t="shared" si="2"/>
        <v>0</v>
      </c>
      <c r="L75" s="16">
        <f t="shared" si="3"/>
        <v>85</v>
      </c>
      <c r="M75" s="22">
        <v>44986</v>
      </c>
      <c r="N75" s="44" t="s">
        <v>45</v>
      </c>
      <c r="O75" s="23" t="s">
        <v>16</v>
      </c>
      <c r="P75" s="24" t="s">
        <v>17</v>
      </c>
      <c r="Q75" s="28" t="s">
        <v>114</v>
      </c>
    </row>
    <row r="76" spans="1:17">
      <c r="A76" s="14">
        <v>72</v>
      </c>
      <c r="B76" s="15" t="s">
        <v>113</v>
      </c>
      <c r="C76" s="16">
        <f>'Медикаменты Июль'!L74</f>
        <v>0</v>
      </c>
      <c r="D76" s="17"/>
      <c r="E76" s="14"/>
      <c r="F76" s="18"/>
      <c r="G76" s="19"/>
      <c r="H76" s="20"/>
      <c r="I76" s="21"/>
      <c r="J76" s="14"/>
      <c r="K76" s="14">
        <f t="shared" si="2"/>
        <v>0</v>
      </c>
      <c r="L76" s="16">
        <f t="shared" si="3"/>
        <v>0</v>
      </c>
      <c r="M76" s="22">
        <v>44986</v>
      </c>
      <c r="N76" s="44"/>
      <c r="O76" s="23" t="s">
        <v>26</v>
      </c>
      <c r="P76" s="24"/>
      <c r="Q76" s="28" t="s">
        <v>114</v>
      </c>
    </row>
    <row r="77" spans="1:17" ht="26.25">
      <c r="A77" s="14">
        <v>73</v>
      </c>
      <c r="B77" s="15" t="s">
        <v>115</v>
      </c>
      <c r="C77" s="16">
        <f>'Медикаменты Июль'!L75</f>
        <v>0</v>
      </c>
      <c r="D77" s="17"/>
      <c r="E77" s="14">
        <f>50</f>
        <v>50</v>
      </c>
      <c r="F77" s="18"/>
      <c r="G77" s="19"/>
      <c r="H77" s="20"/>
      <c r="I77" s="21"/>
      <c r="J77" s="14"/>
      <c r="K77" s="14">
        <f t="shared" si="2"/>
        <v>0</v>
      </c>
      <c r="L77" s="16">
        <f t="shared" si="3"/>
        <v>50</v>
      </c>
      <c r="M77" s="22">
        <v>46082</v>
      </c>
      <c r="N77" s="44" t="s">
        <v>551</v>
      </c>
      <c r="O77" s="23" t="s">
        <v>16</v>
      </c>
      <c r="P77" s="24" t="s">
        <v>17</v>
      </c>
      <c r="Q77" s="28" t="s">
        <v>116</v>
      </c>
    </row>
    <row r="78" spans="1:17" ht="26.25">
      <c r="A78" s="14">
        <v>74</v>
      </c>
      <c r="B78" s="15" t="s">
        <v>115</v>
      </c>
      <c r="C78" s="16">
        <f>'Медикаменты Июль'!L76</f>
        <v>0</v>
      </c>
      <c r="D78" s="17"/>
      <c r="E78" s="14"/>
      <c r="F78" s="18"/>
      <c r="G78" s="19"/>
      <c r="H78" s="20"/>
      <c r="I78" s="21"/>
      <c r="J78" s="14"/>
      <c r="K78" s="14">
        <f t="shared" si="2"/>
        <v>0</v>
      </c>
      <c r="L78" s="16">
        <f t="shared" si="3"/>
        <v>0</v>
      </c>
      <c r="M78" s="22">
        <v>45901</v>
      </c>
      <c r="N78" s="44" t="s">
        <v>551</v>
      </c>
      <c r="O78" s="23" t="s">
        <v>26</v>
      </c>
      <c r="P78" s="24" t="s">
        <v>17</v>
      </c>
      <c r="Q78" s="28" t="s">
        <v>116</v>
      </c>
    </row>
    <row r="79" spans="1:17">
      <c r="A79" s="14">
        <v>75</v>
      </c>
      <c r="B79" s="15" t="s">
        <v>117</v>
      </c>
      <c r="C79" s="16">
        <f>'Медикаменты Июль'!L77</f>
        <v>0</v>
      </c>
      <c r="D79" s="17"/>
      <c r="E79" s="14"/>
      <c r="F79" s="18"/>
      <c r="G79" s="19"/>
      <c r="H79" s="20"/>
      <c r="I79" s="21"/>
      <c r="J79" s="14"/>
      <c r="K79" s="14">
        <f t="shared" si="2"/>
        <v>0</v>
      </c>
      <c r="L79" s="16">
        <f t="shared" si="3"/>
        <v>0</v>
      </c>
      <c r="M79" s="22">
        <v>44440</v>
      </c>
      <c r="N79" s="44"/>
      <c r="O79" s="23" t="s">
        <v>16</v>
      </c>
      <c r="P79" s="24"/>
      <c r="Q79" s="28" t="s">
        <v>118</v>
      </c>
    </row>
    <row r="80" spans="1:17">
      <c r="A80" s="14">
        <v>76</v>
      </c>
      <c r="B80" s="15" t="s">
        <v>117</v>
      </c>
      <c r="C80" s="16">
        <f>'Медикаменты Июль'!L78</f>
        <v>40</v>
      </c>
      <c r="D80" s="17"/>
      <c r="E80" s="14">
        <f>150</f>
        <v>150</v>
      </c>
      <c r="F80" s="18"/>
      <c r="G80" s="19"/>
      <c r="H80" s="20"/>
      <c r="I80" s="21"/>
      <c r="J80" s="14"/>
      <c r="K80" s="14">
        <f t="shared" si="2"/>
        <v>0</v>
      </c>
      <c r="L80" s="16">
        <f t="shared" si="3"/>
        <v>190</v>
      </c>
      <c r="M80" s="22">
        <v>44682</v>
      </c>
      <c r="N80" s="44" t="s">
        <v>45</v>
      </c>
      <c r="O80" s="23" t="s">
        <v>16</v>
      </c>
      <c r="P80" s="24" t="s">
        <v>17</v>
      </c>
      <c r="Q80" s="28" t="s">
        <v>118</v>
      </c>
    </row>
    <row r="81" spans="1:17">
      <c r="A81" s="14">
        <v>77</v>
      </c>
      <c r="B81" s="15" t="s">
        <v>117</v>
      </c>
      <c r="C81" s="16">
        <f>'Медикаменты Июль'!L79</f>
        <v>0</v>
      </c>
      <c r="D81" s="17"/>
      <c r="E81" s="14"/>
      <c r="F81" s="18"/>
      <c r="G81" s="19"/>
      <c r="H81" s="20"/>
      <c r="I81" s="21"/>
      <c r="J81" s="14"/>
      <c r="K81" s="14">
        <f t="shared" si="2"/>
        <v>0</v>
      </c>
      <c r="L81" s="16">
        <f t="shared" si="3"/>
        <v>0</v>
      </c>
      <c r="M81" s="22">
        <v>44682</v>
      </c>
      <c r="N81" s="44"/>
      <c r="O81" s="23" t="s">
        <v>26</v>
      </c>
      <c r="P81" s="24"/>
      <c r="Q81" s="28" t="s">
        <v>118</v>
      </c>
    </row>
    <row r="82" spans="1:17">
      <c r="A82" s="14">
        <v>78</v>
      </c>
      <c r="B82" s="15" t="s">
        <v>119</v>
      </c>
      <c r="C82" s="16">
        <f>'Медикаменты Июль'!L80</f>
        <v>0</v>
      </c>
      <c r="D82" s="17"/>
      <c r="E82" s="14"/>
      <c r="F82" s="18"/>
      <c r="G82" s="19"/>
      <c r="H82" s="20"/>
      <c r="I82" s="21"/>
      <c r="J82" s="14"/>
      <c r="K82" s="14">
        <f t="shared" si="2"/>
        <v>0</v>
      </c>
      <c r="L82" s="16">
        <f t="shared" si="3"/>
        <v>0</v>
      </c>
      <c r="M82" s="22"/>
      <c r="N82" s="44"/>
      <c r="O82" s="23" t="s">
        <v>16</v>
      </c>
      <c r="P82" s="24"/>
      <c r="Q82" s="45"/>
    </row>
    <row r="83" spans="1:17">
      <c r="A83" s="14">
        <v>79</v>
      </c>
      <c r="B83" s="15" t="s">
        <v>120</v>
      </c>
      <c r="C83" s="16">
        <f>'Медикаменты Июль'!L81</f>
        <v>0</v>
      </c>
      <c r="D83" s="17"/>
      <c r="E83" s="14"/>
      <c r="F83" s="18"/>
      <c r="G83" s="19"/>
      <c r="H83" s="20"/>
      <c r="I83" s="21"/>
      <c r="J83" s="14"/>
      <c r="K83" s="14">
        <f t="shared" si="2"/>
        <v>0</v>
      </c>
      <c r="L83" s="16">
        <f t="shared" si="3"/>
        <v>0</v>
      </c>
      <c r="M83" s="22">
        <v>45444</v>
      </c>
      <c r="N83" s="44"/>
      <c r="O83" s="23" t="s">
        <v>26</v>
      </c>
      <c r="P83" s="24"/>
      <c r="Q83" s="28" t="s">
        <v>121</v>
      </c>
    </row>
    <row r="84" spans="1:17">
      <c r="A84" s="14">
        <v>80</v>
      </c>
      <c r="B84" s="29" t="s">
        <v>122</v>
      </c>
      <c r="C84" s="16">
        <f>'Медикаменты Июль'!L82</f>
        <v>32</v>
      </c>
      <c r="D84" s="17"/>
      <c r="E84" s="14"/>
      <c r="F84" s="18">
        <f>5+2</f>
        <v>7</v>
      </c>
      <c r="G84" s="19"/>
      <c r="H84" s="20"/>
      <c r="I84" s="21"/>
      <c r="J84" s="14"/>
      <c r="K84" s="14">
        <f t="shared" si="2"/>
        <v>7</v>
      </c>
      <c r="L84" s="16">
        <f t="shared" si="3"/>
        <v>25</v>
      </c>
      <c r="M84" s="22">
        <v>44986</v>
      </c>
      <c r="N84" s="44" t="s">
        <v>45</v>
      </c>
      <c r="O84" s="23" t="s">
        <v>16</v>
      </c>
      <c r="P84" s="24" t="s">
        <v>17</v>
      </c>
      <c r="Q84" s="28" t="s">
        <v>123</v>
      </c>
    </row>
    <row r="85" spans="1:17">
      <c r="A85" s="14">
        <v>81</v>
      </c>
      <c r="B85" s="15" t="s">
        <v>124</v>
      </c>
      <c r="C85" s="16">
        <f>'Медикаменты Июль'!L83</f>
        <v>0</v>
      </c>
      <c r="D85" s="17"/>
      <c r="E85" s="14"/>
      <c r="F85" s="18"/>
      <c r="G85" s="19"/>
      <c r="H85" s="20"/>
      <c r="I85" s="21"/>
      <c r="J85" s="14"/>
      <c r="K85" s="14">
        <f t="shared" si="2"/>
        <v>0</v>
      </c>
      <c r="L85" s="16">
        <f t="shared" si="3"/>
        <v>0</v>
      </c>
      <c r="M85" s="22"/>
      <c r="N85" s="44"/>
      <c r="O85" s="23" t="s">
        <v>16</v>
      </c>
      <c r="P85" s="24"/>
      <c r="Q85" s="45"/>
    </row>
    <row r="86" spans="1:17">
      <c r="A86" s="14">
        <v>82</v>
      </c>
      <c r="B86" s="15" t="s">
        <v>125</v>
      </c>
      <c r="C86" s="16">
        <f>'Медикаменты Июль'!L84</f>
        <v>5</v>
      </c>
      <c r="D86" s="17"/>
      <c r="E86" s="14"/>
      <c r="F86" s="18"/>
      <c r="G86" s="19"/>
      <c r="H86" s="20"/>
      <c r="I86" s="21"/>
      <c r="J86" s="14"/>
      <c r="K86" s="14">
        <f t="shared" si="2"/>
        <v>0</v>
      </c>
      <c r="L86" s="16">
        <f t="shared" si="3"/>
        <v>5</v>
      </c>
      <c r="M86" s="22">
        <v>44531</v>
      </c>
      <c r="N86" s="44" t="s">
        <v>45</v>
      </c>
      <c r="O86" s="23" t="s">
        <v>16</v>
      </c>
      <c r="P86" s="24" t="s">
        <v>17</v>
      </c>
      <c r="Q86" s="28" t="s">
        <v>126</v>
      </c>
    </row>
    <row r="87" spans="1:17">
      <c r="A87" s="14">
        <v>83</v>
      </c>
      <c r="B87" s="15" t="s">
        <v>127</v>
      </c>
      <c r="C87" s="16">
        <f>'Медикаменты Июль'!L85</f>
        <v>7</v>
      </c>
      <c r="D87" s="17"/>
      <c r="E87" s="14"/>
      <c r="F87" s="18"/>
      <c r="G87" s="19"/>
      <c r="H87" s="20"/>
      <c r="I87" s="21"/>
      <c r="J87" s="14"/>
      <c r="K87" s="14">
        <f t="shared" si="2"/>
        <v>0</v>
      </c>
      <c r="L87" s="16">
        <f t="shared" si="3"/>
        <v>7</v>
      </c>
      <c r="M87" s="22">
        <v>44501</v>
      </c>
      <c r="N87" s="44" t="s">
        <v>45</v>
      </c>
      <c r="O87" s="23" t="s">
        <v>16</v>
      </c>
      <c r="P87" s="24" t="s">
        <v>45</v>
      </c>
      <c r="Q87" s="28" t="s">
        <v>128</v>
      </c>
    </row>
    <row r="88" spans="1:17" ht="25.5">
      <c r="A88" s="14">
        <v>84</v>
      </c>
      <c r="B88" s="15" t="s">
        <v>129</v>
      </c>
      <c r="C88" s="16">
        <f>'Медикаменты Июль'!L86</f>
        <v>12</v>
      </c>
      <c r="D88" s="17"/>
      <c r="E88" s="14"/>
      <c r="F88" s="18">
        <f>12</f>
        <v>12</v>
      </c>
      <c r="G88" s="19"/>
      <c r="H88" s="20"/>
      <c r="I88" s="21"/>
      <c r="J88" s="14"/>
      <c r="K88" s="14">
        <f t="shared" si="2"/>
        <v>12</v>
      </c>
      <c r="L88" s="16">
        <f t="shared" si="3"/>
        <v>0</v>
      </c>
      <c r="M88" s="22">
        <v>44713</v>
      </c>
      <c r="N88" s="44" t="s">
        <v>45</v>
      </c>
      <c r="O88" s="23" t="s">
        <v>16</v>
      </c>
      <c r="P88" s="24" t="s">
        <v>17</v>
      </c>
      <c r="Q88" s="28" t="s">
        <v>130</v>
      </c>
    </row>
    <row r="89" spans="1:17" ht="25.5">
      <c r="A89" s="14">
        <v>85</v>
      </c>
      <c r="B89" s="15" t="s">
        <v>129</v>
      </c>
      <c r="C89" s="16">
        <f>'Медикаменты Июль'!L87</f>
        <v>0</v>
      </c>
      <c r="D89" s="17"/>
      <c r="E89" s="14"/>
      <c r="F89" s="18"/>
      <c r="G89" s="19"/>
      <c r="H89" s="20"/>
      <c r="I89" s="21"/>
      <c r="J89" s="14"/>
      <c r="K89" s="14">
        <f t="shared" si="2"/>
        <v>0</v>
      </c>
      <c r="L89" s="16">
        <f t="shared" si="3"/>
        <v>0</v>
      </c>
      <c r="M89" s="22">
        <v>44713</v>
      </c>
      <c r="N89" s="44"/>
      <c r="O89" s="23" t="s">
        <v>26</v>
      </c>
      <c r="P89" s="24"/>
      <c r="Q89" s="28" t="s">
        <v>130</v>
      </c>
    </row>
    <row r="90" spans="1:17" ht="25.5">
      <c r="A90" s="14">
        <v>86</v>
      </c>
      <c r="B90" s="15" t="s">
        <v>131</v>
      </c>
      <c r="C90" s="16">
        <f>'Медикаменты Июль'!L88</f>
        <v>0</v>
      </c>
      <c r="D90" s="17"/>
      <c r="E90" s="14"/>
      <c r="F90" s="18"/>
      <c r="G90" s="19"/>
      <c r="H90" s="20"/>
      <c r="I90" s="21"/>
      <c r="J90" s="14"/>
      <c r="K90" s="14">
        <f t="shared" si="2"/>
        <v>0</v>
      </c>
      <c r="L90" s="16">
        <f t="shared" si="3"/>
        <v>0</v>
      </c>
      <c r="M90" s="22"/>
      <c r="N90" s="44"/>
      <c r="O90" s="23" t="s">
        <v>16</v>
      </c>
      <c r="P90" s="24"/>
      <c r="Q90" s="45"/>
    </row>
    <row r="91" spans="1:17">
      <c r="A91" s="14">
        <v>87</v>
      </c>
      <c r="B91" s="15" t="s">
        <v>626</v>
      </c>
      <c r="C91" s="16">
        <f>'Медикаменты Июль'!L89</f>
        <v>0</v>
      </c>
      <c r="D91" s="17"/>
      <c r="E91" s="14">
        <f>100</f>
        <v>100</v>
      </c>
      <c r="F91" s="18">
        <f>15</f>
        <v>15</v>
      </c>
      <c r="G91" s="19"/>
      <c r="H91" s="20"/>
      <c r="I91" s="21"/>
      <c r="J91" s="14"/>
      <c r="K91" s="14">
        <f t="shared" si="2"/>
        <v>15</v>
      </c>
      <c r="L91" s="16">
        <f t="shared" si="3"/>
        <v>85</v>
      </c>
      <c r="M91" s="22">
        <v>45017</v>
      </c>
      <c r="N91" s="44" t="s">
        <v>551</v>
      </c>
      <c r="O91" s="23" t="s">
        <v>16</v>
      </c>
      <c r="P91" s="24" t="s">
        <v>17</v>
      </c>
      <c r="Q91" s="28" t="s">
        <v>133</v>
      </c>
    </row>
    <row r="92" spans="1:17">
      <c r="A92" s="14">
        <v>88</v>
      </c>
      <c r="B92" s="15" t="s">
        <v>626</v>
      </c>
      <c r="C92" s="16">
        <f>'Медикаменты Июль'!L90</f>
        <v>0</v>
      </c>
      <c r="D92" s="17"/>
      <c r="E92" s="14">
        <f>100</f>
        <v>100</v>
      </c>
      <c r="F92" s="18"/>
      <c r="G92" s="19"/>
      <c r="H92" s="20"/>
      <c r="I92" s="21"/>
      <c r="J92" s="14"/>
      <c r="K92" s="14">
        <f t="shared" si="2"/>
        <v>0</v>
      </c>
      <c r="L92" s="16">
        <f t="shared" si="3"/>
        <v>100</v>
      </c>
      <c r="M92" s="22">
        <v>45017</v>
      </c>
      <c r="N92" s="44" t="s">
        <v>551</v>
      </c>
      <c r="O92" s="23" t="s">
        <v>26</v>
      </c>
      <c r="P92" s="24" t="s">
        <v>17</v>
      </c>
      <c r="Q92" s="28" t="s">
        <v>133</v>
      </c>
    </row>
    <row r="93" spans="1:17">
      <c r="A93" s="14">
        <v>89</v>
      </c>
      <c r="B93" s="15" t="s">
        <v>134</v>
      </c>
      <c r="C93" s="16">
        <f>'Медикаменты Июль'!L91</f>
        <v>0</v>
      </c>
      <c r="D93" s="17"/>
      <c r="E93" s="14"/>
      <c r="F93" s="18"/>
      <c r="G93" s="19"/>
      <c r="H93" s="20"/>
      <c r="I93" s="21"/>
      <c r="J93" s="14"/>
      <c r="K93" s="14">
        <f t="shared" si="2"/>
        <v>0</v>
      </c>
      <c r="L93" s="16">
        <f t="shared" si="3"/>
        <v>0</v>
      </c>
      <c r="M93" s="22">
        <v>44228</v>
      </c>
      <c r="N93" s="44"/>
      <c r="O93" s="23" t="s">
        <v>16</v>
      </c>
      <c r="P93" s="24" t="s">
        <v>17</v>
      </c>
      <c r="Q93" s="28" t="s">
        <v>135</v>
      </c>
    </row>
    <row r="94" spans="1:17">
      <c r="A94" s="14">
        <v>90</v>
      </c>
      <c r="B94" s="15" t="s">
        <v>136</v>
      </c>
      <c r="C94" s="16">
        <f>'Медикаменты Июль'!L92</f>
        <v>4</v>
      </c>
      <c r="D94" s="17"/>
      <c r="E94" s="14"/>
      <c r="F94" s="18">
        <f>4</f>
        <v>4</v>
      </c>
      <c r="G94" s="19"/>
      <c r="H94" s="20"/>
      <c r="I94" s="21"/>
      <c r="J94" s="14"/>
      <c r="K94" s="14">
        <f t="shared" si="2"/>
        <v>4</v>
      </c>
      <c r="L94" s="16">
        <f t="shared" si="3"/>
        <v>0</v>
      </c>
      <c r="M94" s="22">
        <v>45778</v>
      </c>
      <c r="N94" s="44" t="s">
        <v>45</v>
      </c>
      <c r="O94" s="23" t="s">
        <v>16</v>
      </c>
      <c r="P94" s="24" t="s">
        <v>17</v>
      </c>
      <c r="Q94" s="28" t="s">
        <v>137</v>
      </c>
    </row>
    <row r="95" spans="1:17">
      <c r="A95" s="14">
        <v>91</v>
      </c>
      <c r="B95" s="15" t="s">
        <v>138</v>
      </c>
      <c r="C95" s="16">
        <f>'Медикаменты Июль'!L93</f>
        <v>75</v>
      </c>
      <c r="D95" s="30"/>
      <c r="E95" s="14"/>
      <c r="F95" s="18"/>
      <c r="G95" s="19"/>
      <c r="H95" s="20"/>
      <c r="I95" s="21"/>
      <c r="J95" s="14"/>
      <c r="K95" s="14">
        <f t="shared" si="2"/>
        <v>0</v>
      </c>
      <c r="L95" s="16">
        <f t="shared" si="3"/>
        <v>75</v>
      </c>
      <c r="M95" s="22">
        <v>44927</v>
      </c>
      <c r="N95" s="44" t="s">
        <v>551</v>
      </c>
      <c r="O95" s="23" t="s">
        <v>16</v>
      </c>
      <c r="P95" s="24" t="s">
        <v>17</v>
      </c>
      <c r="Q95" s="28" t="s">
        <v>568</v>
      </c>
    </row>
    <row r="96" spans="1:17">
      <c r="A96" s="14">
        <v>92</v>
      </c>
      <c r="B96" s="15" t="s">
        <v>138</v>
      </c>
      <c r="C96" s="16">
        <f>'Медикаменты Июль'!L94</f>
        <v>0</v>
      </c>
      <c r="D96" s="30"/>
      <c r="E96" s="14"/>
      <c r="F96" s="18"/>
      <c r="G96" s="19"/>
      <c r="H96" s="20"/>
      <c r="I96" s="21"/>
      <c r="J96" s="14"/>
      <c r="K96" s="14">
        <f t="shared" si="2"/>
        <v>0</v>
      </c>
      <c r="L96" s="16">
        <f t="shared" si="3"/>
        <v>0</v>
      </c>
      <c r="M96" s="22">
        <v>44927</v>
      </c>
      <c r="N96" s="44" t="s">
        <v>551</v>
      </c>
      <c r="O96" s="23" t="s">
        <v>26</v>
      </c>
      <c r="P96" s="24" t="s">
        <v>17</v>
      </c>
      <c r="Q96" s="28" t="s">
        <v>568</v>
      </c>
    </row>
    <row r="97" spans="1:17">
      <c r="A97" s="14">
        <v>93</v>
      </c>
      <c r="B97" s="15" t="s">
        <v>569</v>
      </c>
      <c r="C97" s="16">
        <f>'Медикаменты Июль'!L95</f>
        <v>3</v>
      </c>
      <c r="D97" s="17"/>
      <c r="E97" s="14"/>
      <c r="F97" s="18"/>
      <c r="G97" s="19"/>
      <c r="H97" s="20"/>
      <c r="I97" s="21"/>
      <c r="J97" s="14"/>
      <c r="K97" s="14">
        <f t="shared" si="2"/>
        <v>0</v>
      </c>
      <c r="L97" s="16">
        <f t="shared" si="3"/>
        <v>3</v>
      </c>
      <c r="M97" s="22">
        <v>45108</v>
      </c>
      <c r="N97" s="44" t="s">
        <v>551</v>
      </c>
      <c r="O97" s="23" t="s">
        <v>16</v>
      </c>
      <c r="P97" s="24" t="s">
        <v>17</v>
      </c>
      <c r="Q97" s="28" t="s">
        <v>585</v>
      </c>
    </row>
    <row r="98" spans="1:17">
      <c r="A98" s="14">
        <v>94</v>
      </c>
      <c r="B98" s="15" t="s">
        <v>569</v>
      </c>
      <c r="C98" s="16">
        <f>'Медикаменты Июль'!L96</f>
        <v>0</v>
      </c>
      <c r="D98" s="17"/>
      <c r="E98" s="14"/>
      <c r="F98" s="18"/>
      <c r="G98" s="19"/>
      <c r="H98" s="20"/>
      <c r="I98" s="21"/>
      <c r="J98" s="14"/>
      <c r="K98" s="14">
        <f t="shared" si="2"/>
        <v>0</v>
      </c>
      <c r="L98" s="16">
        <f t="shared" si="3"/>
        <v>0</v>
      </c>
      <c r="M98" s="22">
        <v>45108</v>
      </c>
      <c r="N98" s="44" t="s">
        <v>551</v>
      </c>
      <c r="O98" s="23" t="s">
        <v>26</v>
      </c>
      <c r="P98" s="24" t="s">
        <v>17</v>
      </c>
      <c r="Q98" s="28" t="s">
        <v>585</v>
      </c>
    </row>
    <row r="99" spans="1:17">
      <c r="A99" s="14">
        <v>95</v>
      </c>
      <c r="B99" s="15" t="s">
        <v>140</v>
      </c>
      <c r="C99" s="16">
        <f>'Медикаменты Июль'!L97</f>
        <v>0</v>
      </c>
      <c r="D99" s="17"/>
      <c r="E99" s="14"/>
      <c r="F99" s="18"/>
      <c r="G99" s="19"/>
      <c r="H99" s="20"/>
      <c r="I99" s="21"/>
      <c r="J99" s="14"/>
      <c r="K99" s="14">
        <f t="shared" si="2"/>
        <v>0</v>
      </c>
      <c r="L99" s="16">
        <f t="shared" si="3"/>
        <v>0</v>
      </c>
      <c r="M99" s="22">
        <v>44682</v>
      </c>
      <c r="N99" s="44" t="s">
        <v>45</v>
      </c>
      <c r="O99" s="23" t="s">
        <v>16</v>
      </c>
      <c r="P99" s="24" t="s">
        <v>45</v>
      </c>
      <c r="Q99" s="28" t="s">
        <v>141</v>
      </c>
    </row>
    <row r="100" spans="1:17">
      <c r="A100" s="14">
        <v>96</v>
      </c>
      <c r="B100" s="15" t="s">
        <v>142</v>
      </c>
      <c r="C100" s="16">
        <f>'Медикаменты Июль'!L98</f>
        <v>0</v>
      </c>
      <c r="D100" s="17"/>
      <c r="E100" s="14"/>
      <c r="F100" s="18"/>
      <c r="G100" s="19"/>
      <c r="H100" s="20"/>
      <c r="I100" s="21"/>
      <c r="J100" s="14"/>
      <c r="K100" s="14">
        <f t="shared" si="2"/>
        <v>0</v>
      </c>
      <c r="L100" s="16">
        <f t="shared" si="3"/>
        <v>0</v>
      </c>
      <c r="M100" s="22">
        <v>45352</v>
      </c>
      <c r="N100" s="44"/>
      <c r="O100" s="23" t="s">
        <v>16</v>
      </c>
      <c r="P100" s="24"/>
      <c r="Q100" s="28" t="s">
        <v>143</v>
      </c>
    </row>
    <row r="101" spans="1:17">
      <c r="A101" s="14">
        <v>97</v>
      </c>
      <c r="B101" s="15" t="s">
        <v>144</v>
      </c>
      <c r="C101" s="16">
        <f>'Медикаменты Июль'!L99</f>
        <v>0</v>
      </c>
      <c r="D101" s="17"/>
      <c r="E101" s="14"/>
      <c r="F101" s="18"/>
      <c r="G101" s="19"/>
      <c r="H101" s="20"/>
      <c r="I101" s="21"/>
      <c r="J101" s="14"/>
      <c r="K101" s="14">
        <f t="shared" si="2"/>
        <v>0</v>
      </c>
      <c r="L101" s="16">
        <f t="shared" si="3"/>
        <v>0</v>
      </c>
      <c r="M101" s="22">
        <v>44228</v>
      </c>
      <c r="N101" s="44"/>
      <c r="O101" s="23" t="s">
        <v>16</v>
      </c>
      <c r="P101" s="24"/>
      <c r="Q101" s="28" t="s">
        <v>145</v>
      </c>
    </row>
    <row r="102" spans="1:17">
      <c r="A102" s="14">
        <v>98</v>
      </c>
      <c r="B102" s="15" t="s">
        <v>146</v>
      </c>
      <c r="C102" s="16">
        <f>'Медикаменты Июль'!L100</f>
        <v>0</v>
      </c>
      <c r="D102" s="17"/>
      <c r="E102" s="14"/>
      <c r="F102" s="18"/>
      <c r="G102" s="19"/>
      <c r="H102" s="20"/>
      <c r="I102" s="21"/>
      <c r="J102" s="14"/>
      <c r="K102" s="14">
        <f t="shared" si="2"/>
        <v>0</v>
      </c>
      <c r="L102" s="16">
        <f t="shared" si="3"/>
        <v>0</v>
      </c>
      <c r="M102" s="22">
        <v>45474</v>
      </c>
      <c r="N102" s="44"/>
      <c r="O102" s="23" t="s">
        <v>16</v>
      </c>
      <c r="P102" s="24" t="s">
        <v>45</v>
      </c>
      <c r="Q102" s="28" t="s">
        <v>147</v>
      </c>
    </row>
    <row r="103" spans="1:17">
      <c r="A103" s="14">
        <v>99</v>
      </c>
      <c r="B103" s="15" t="s">
        <v>148</v>
      </c>
      <c r="C103" s="16">
        <f>'Медикаменты Июль'!L101</f>
        <v>0</v>
      </c>
      <c r="D103" s="17"/>
      <c r="E103" s="14"/>
      <c r="F103" s="18"/>
      <c r="G103" s="19"/>
      <c r="H103" s="20"/>
      <c r="I103" s="21"/>
      <c r="J103" s="14"/>
      <c r="K103" s="14">
        <f t="shared" si="2"/>
        <v>0</v>
      </c>
      <c r="L103" s="16">
        <f t="shared" si="3"/>
        <v>0</v>
      </c>
      <c r="M103" s="22"/>
      <c r="N103" s="44"/>
      <c r="O103" s="23" t="s">
        <v>16</v>
      </c>
      <c r="P103" s="24"/>
      <c r="Q103" s="45"/>
    </row>
    <row r="104" spans="1:17">
      <c r="A104" s="14">
        <v>100</v>
      </c>
      <c r="B104" s="15" t="s">
        <v>149</v>
      </c>
      <c r="C104" s="16">
        <f>'Медикаменты Июль'!L102</f>
        <v>0</v>
      </c>
      <c r="D104" s="17"/>
      <c r="E104" s="14"/>
      <c r="F104" s="18"/>
      <c r="G104" s="19"/>
      <c r="H104" s="20"/>
      <c r="I104" s="21"/>
      <c r="J104" s="14"/>
      <c r="K104" s="14">
        <f t="shared" si="2"/>
        <v>0</v>
      </c>
      <c r="L104" s="16">
        <f t="shared" si="3"/>
        <v>0</v>
      </c>
      <c r="M104" s="22">
        <v>44348</v>
      </c>
      <c r="N104" s="44"/>
      <c r="O104" s="23" t="s">
        <v>16</v>
      </c>
      <c r="P104" s="24"/>
      <c r="Q104" s="28" t="s">
        <v>150</v>
      </c>
    </row>
    <row r="105" spans="1:17">
      <c r="A105" s="14">
        <v>101</v>
      </c>
      <c r="B105" s="15" t="s">
        <v>151</v>
      </c>
      <c r="C105" s="16">
        <f>'Медикаменты Июль'!L103</f>
        <v>0</v>
      </c>
      <c r="D105" s="17"/>
      <c r="E105" s="14"/>
      <c r="F105" s="18"/>
      <c r="G105" s="19"/>
      <c r="H105" s="20"/>
      <c r="I105" s="21"/>
      <c r="J105" s="14"/>
      <c r="K105" s="14">
        <f t="shared" si="2"/>
        <v>0</v>
      </c>
      <c r="L105" s="16">
        <f t="shared" si="3"/>
        <v>0</v>
      </c>
      <c r="M105" s="22">
        <v>44743</v>
      </c>
      <c r="N105" s="44" t="s">
        <v>45</v>
      </c>
      <c r="O105" s="23" t="s">
        <v>16</v>
      </c>
      <c r="P105" s="24" t="s">
        <v>45</v>
      </c>
      <c r="Q105" s="28" t="s">
        <v>152</v>
      </c>
    </row>
    <row r="106" spans="1:17">
      <c r="A106" s="14">
        <v>102</v>
      </c>
      <c r="B106" s="15" t="s">
        <v>153</v>
      </c>
      <c r="C106" s="16">
        <f>'Медикаменты Июль'!L104</f>
        <v>0</v>
      </c>
      <c r="D106" s="17"/>
      <c r="E106" s="14"/>
      <c r="F106" s="18"/>
      <c r="G106" s="19"/>
      <c r="H106" s="20"/>
      <c r="I106" s="21"/>
      <c r="J106" s="14"/>
      <c r="K106" s="14">
        <f t="shared" si="2"/>
        <v>0</v>
      </c>
      <c r="L106" s="16">
        <f t="shared" si="3"/>
        <v>0</v>
      </c>
      <c r="M106" s="22">
        <v>44256</v>
      </c>
      <c r="N106" s="44"/>
      <c r="O106" s="23" t="s">
        <v>16</v>
      </c>
      <c r="P106" s="24"/>
      <c r="Q106" s="28" t="s">
        <v>154</v>
      </c>
    </row>
    <row r="107" spans="1:17">
      <c r="A107" s="14">
        <v>103</v>
      </c>
      <c r="B107" s="15" t="s">
        <v>155</v>
      </c>
      <c r="C107" s="16">
        <f>'Медикаменты Июль'!L105</f>
        <v>0</v>
      </c>
      <c r="D107" s="17"/>
      <c r="E107" s="14"/>
      <c r="F107" s="18"/>
      <c r="G107" s="19"/>
      <c r="H107" s="20"/>
      <c r="I107" s="21"/>
      <c r="J107" s="14"/>
      <c r="K107" s="14">
        <f t="shared" si="2"/>
        <v>0</v>
      </c>
      <c r="L107" s="16">
        <f t="shared" si="3"/>
        <v>0</v>
      </c>
      <c r="M107" s="22"/>
      <c r="N107" s="44"/>
      <c r="O107" s="23" t="s">
        <v>16</v>
      </c>
      <c r="P107" s="24"/>
      <c r="Q107" s="45"/>
    </row>
    <row r="108" spans="1:17">
      <c r="A108" s="14">
        <v>104</v>
      </c>
      <c r="B108" s="15" t="s">
        <v>156</v>
      </c>
      <c r="C108" s="16">
        <f>'Медикаменты Июль'!L106</f>
        <v>0</v>
      </c>
      <c r="D108" s="17"/>
      <c r="E108" s="14"/>
      <c r="F108" s="18"/>
      <c r="G108" s="19"/>
      <c r="H108" s="20"/>
      <c r="I108" s="21"/>
      <c r="J108" s="14"/>
      <c r="K108" s="14">
        <f t="shared" si="2"/>
        <v>0</v>
      </c>
      <c r="L108" s="16">
        <f t="shared" si="3"/>
        <v>0</v>
      </c>
      <c r="M108" s="22">
        <v>44197</v>
      </c>
      <c r="N108" s="44"/>
      <c r="O108" s="23" t="s">
        <v>16</v>
      </c>
      <c r="P108" s="24"/>
      <c r="Q108" s="28" t="s">
        <v>157</v>
      </c>
    </row>
    <row r="109" spans="1:17">
      <c r="A109" s="14">
        <v>105</v>
      </c>
      <c r="B109" s="15" t="s">
        <v>158</v>
      </c>
      <c r="C109" s="16">
        <f>'Медикаменты Июль'!L107</f>
        <v>5</v>
      </c>
      <c r="D109" s="17"/>
      <c r="E109" s="14"/>
      <c r="F109" s="18"/>
      <c r="G109" s="19"/>
      <c r="H109" s="20"/>
      <c r="I109" s="21"/>
      <c r="J109" s="14"/>
      <c r="K109" s="14">
        <f t="shared" si="2"/>
        <v>0</v>
      </c>
      <c r="L109" s="16">
        <f t="shared" si="3"/>
        <v>5</v>
      </c>
      <c r="M109" s="22">
        <v>44774</v>
      </c>
      <c r="N109" s="44" t="s">
        <v>45</v>
      </c>
      <c r="O109" s="23" t="s">
        <v>16</v>
      </c>
      <c r="P109" s="24" t="s">
        <v>17</v>
      </c>
      <c r="Q109" s="28" t="s">
        <v>159</v>
      </c>
    </row>
    <row r="110" spans="1:17">
      <c r="A110" s="14">
        <v>106</v>
      </c>
      <c r="B110" s="15" t="s">
        <v>160</v>
      </c>
      <c r="C110" s="16">
        <f>'Медикаменты Июль'!L108</f>
        <v>83</v>
      </c>
      <c r="D110" s="17"/>
      <c r="E110" s="14"/>
      <c r="F110" s="18"/>
      <c r="G110" s="19"/>
      <c r="H110" s="20"/>
      <c r="I110" s="21"/>
      <c r="J110" s="14"/>
      <c r="K110" s="14">
        <f t="shared" si="2"/>
        <v>0</v>
      </c>
      <c r="L110" s="16">
        <f t="shared" si="3"/>
        <v>83</v>
      </c>
      <c r="M110" s="22">
        <v>44805</v>
      </c>
      <c r="N110" s="44" t="s">
        <v>45</v>
      </c>
      <c r="O110" s="23" t="s">
        <v>16</v>
      </c>
      <c r="P110" s="24" t="s">
        <v>17</v>
      </c>
      <c r="Q110" s="28" t="s">
        <v>161</v>
      </c>
    </row>
    <row r="111" spans="1:17">
      <c r="A111" s="14">
        <v>107</v>
      </c>
      <c r="B111" s="15" t="s">
        <v>162</v>
      </c>
      <c r="C111" s="16">
        <f>'Медикаменты Июль'!L109</f>
        <v>91</v>
      </c>
      <c r="D111" s="17"/>
      <c r="E111" s="14"/>
      <c r="F111" s="18"/>
      <c r="G111" s="19"/>
      <c r="H111" s="20"/>
      <c r="I111" s="21"/>
      <c r="J111" s="14"/>
      <c r="K111" s="14">
        <f t="shared" si="2"/>
        <v>0</v>
      </c>
      <c r="L111" s="16">
        <f t="shared" si="3"/>
        <v>91</v>
      </c>
      <c r="M111" s="22">
        <v>44742</v>
      </c>
      <c r="N111" s="44" t="s">
        <v>45</v>
      </c>
      <c r="O111" s="23" t="s">
        <v>16</v>
      </c>
      <c r="P111" s="24" t="s">
        <v>17</v>
      </c>
      <c r="Q111" s="28" t="s">
        <v>163</v>
      </c>
    </row>
    <row r="112" spans="1:17">
      <c r="A112" s="14">
        <v>108</v>
      </c>
      <c r="B112" s="15" t="s">
        <v>164</v>
      </c>
      <c r="C112" s="16">
        <f>'Медикаменты Июль'!L110</f>
        <v>0</v>
      </c>
      <c r="D112" s="17"/>
      <c r="E112" s="14"/>
      <c r="F112" s="18"/>
      <c r="G112" s="19"/>
      <c r="H112" s="20"/>
      <c r="I112" s="21"/>
      <c r="J112" s="14"/>
      <c r="K112" s="14">
        <f t="shared" si="2"/>
        <v>0</v>
      </c>
      <c r="L112" s="16">
        <f t="shared" si="3"/>
        <v>0</v>
      </c>
      <c r="M112" s="22">
        <v>44927</v>
      </c>
      <c r="N112" s="44"/>
      <c r="O112" s="23" t="s">
        <v>26</v>
      </c>
      <c r="P112" s="24" t="s">
        <v>17</v>
      </c>
      <c r="Q112" s="28" t="s">
        <v>165</v>
      </c>
    </row>
    <row r="113" spans="1:17">
      <c r="A113" s="14">
        <v>109</v>
      </c>
      <c r="B113" s="15" t="s">
        <v>166</v>
      </c>
      <c r="C113" s="16">
        <f>'Медикаменты Июль'!L111</f>
        <v>0</v>
      </c>
      <c r="D113" s="17"/>
      <c r="E113" s="14"/>
      <c r="F113" s="18"/>
      <c r="G113" s="19"/>
      <c r="H113" s="20"/>
      <c r="I113" s="21"/>
      <c r="J113" s="14"/>
      <c r="K113" s="14">
        <f t="shared" si="2"/>
        <v>0</v>
      </c>
      <c r="L113" s="16">
        <f t="shared" si="3"/>
        <v>0</v>
      </c>
      <c r="M113" s="22">
        <v>44440</v>
      </c>
      <c r="N113" s="44"/>
      <c r="O113" s="23" t="s">
        <v>16</v>
      </c>
      <c r="P113" s="24"/>
      <c r="Q113" s="28" t="s">
        <v>165</v>
      </c>
    </row>
    <row r="114" spans="1:17">
      <c r="A114" s="14">
        <v>110</v>
      </c>
      <c r="B114" s="15" t="s">
        <v>167</v>
      </c>
      <c r="C114" s="16">
        <f>'Медикаменты Июль'!L112</f>
        <v>0</v>
      </c>
      <c r="D114" s="17"/>
      <c r="E114" s="14"/>
      <c r="F114" s="18"/>
      <c r="G114" s="19"/>
      <c r="H114" s="20"/>
      <c r="I114" s="21"/>
      <c r="J114" s="14"/>
      <c r="K114" s="14">
        <f t="shared" si="2"/>
        <v>0</v>
      </c>
      <c r="L114" s="16">
        <f t="shared" si="3"/>
        <v>0</v>
      </c>
      <c r="M114" s="22">
        <v>44256</v>
      </c>
      <c r="N114" s="44"/>
      <c r="O114" s="23" t="s">
        <v>16</v>
      </c>
      <c r="P114" s="24" t="s">
        <v>17</v>
      </c>
      <c r="Q114" s="28" t="s">
        <v>168</v>
      </c>
    </row>
    <row r="115" spans="1:17">
      <c r="A115" s="14">
        <v>111</v>
      </c>
      <c r="B115" s="15" t="s">
        <v>169</v>
      </c>
      <c r="C115" s="16">
        <f>'Медикаменты Июль'!L113</f>
        <v>0</v>
      </c>
      <c r="D115" s="17"/>
      <c r="E115" s="14"/>
      <c r="F115" s="18"/>
      <c r="G115" s="19"/>
      <c r="H115" s="20"/>
      <c r="I115" s="21"/>
      <c r="J115" s="14"/>
      <c r="K115" s="14">
        <f t="shared" si="2"/>
        <v>0</v>
      </c>
      <c r="L115" s="16">
        <f t="shared" si="3"/>
        <v>0</v>
      </c>
      <c r="M115" s="22">
        <v>44197</v>
      </c>
      <c r="N115" s="44"/>
      <c r="O115" s="23" t="s">
        <v>16</v>
      </c>
      <c r="P115" s="24"/>
      <c r="Q115" s="28" t="s">
        <v>170</v>
      </c>
    </row>
    <row r="116" spans="1:17">
      <c r="A116" s="14">
        <v>112</v>
      </c>
      <c r="B116" s="15" t="s">
        <v>171</v>
      </c>
      <c r="C116" s="16">
        <f>'Медикаменты Июль'!L114</f>
        <v>0</v>
      </c>
      <c r="D116" s="17"/>
      <c r="E116" s="14"/>
      <c r="F116" s="18"/>
      <c r="G116" s="19"/>
      <c r="H116" s="20"/>
      <c r="I116" s="21"/>
      <c r="J116" s="14"/>
      <c r="K116" s="14">
        <f t="shared" si="2"/>
        <v>0</v>
      </c>
      <c r="L116" s="16">
        <f t="shared" si="3"/>
        <v>0</v>
      </c>
      <c r="M116" s="22"/>
      <c r="N116" s="44"/>
      <c r="O116" s="23" t="s">
        <v>16</v>
      </c>
      <c r="P116" s="24"/>
      <c r="Q116" s="45"/>
    </row>
    <row r="117" spans="1:17">
      <c r="A117" s="14">
        <v>113</v>
      </c>
      <c r="B117" s="15" t="s">
        <v>172</v>
      </c>
      <c r="C117" s="16">
        <f>'Медикаменты Июль'!L115</f>
        <v>0</v>
      </c>
      <c r="D117" s="17"/>
      <c r="E117" s="14"/>
      <c r="F117" s="18"/>
      <c r="G117" s="19"/>
      <c r="H117" s="20"/>
      <c r="I117" s="21"/>
      <c r="J117" s="14"/>
      <c r="K117" s="14">
        <f t="shared" si="2"/>
        <v>0</v>
      </c>
      <c r="L117" s="16">
        <f t="shared" si="3"/>
        <v>0</v>
      </c>
      <c r="M117" s="22">
        <v>44287</v>
      </c>
      <c r="N117" s="44"/>
      <c r="O117" s="23" t="s">
        <v>26</v>
      </c>
      <c r="P117" s="24" t="s">
        <v>17</v>
      </c>
      <c r="Q117" s="28" t="s">
        <v>173</v>
      </c>
    </row>
    <row r="118" spans="1:17">
      <c r="A118" s="14">
        <v>114</v>
      </c>
      <c r="B118" s="15" t="s">
        <v>172</v>
      </c>
      <c r="C118" s="16">
        <f>'Медикаменты Июль'!L116</f>
        <v>42</v>
      </c>
      <c r="D118" s="17"/>
      <c r="E118" s="14"/>
      <c r="F118" s="18"/>
      <c r="G118" s="19"/>
      <c r="H118" s="20"/>
      <c r="I118" s="21"/>
      <c r="J118" s="14"/>
      <c r="K118" s="14">
        <f t="shared" si="2"/>
        <v>0</v>
      </c>
      <c r="L118" s="16">
        <f t="shared" si="3"/>
        <v>42</v>
      </c>
      <c r="M118" s="22">
        <v>44805</v>
      </c>
      <c r="N118" s="44" t="s">
        <v>45</v>
      </c>
      <c r="O118" s="23" t="s">
        <v>26</v>
      </c>
      <c r="P118" s="24" t="s">
        <v>17</v>
      </c>
      <c r="Q118" s="28" t="s">
        <v>173</v>
      </c>
    </row>
    <row r="119" spans="1:17">
      <c r="A119" s="14">
        <v>115</v>
      </c>
      <c r="B119" s="15" t="s">
        <v>174</v>
      </c>
      <c r="C119" s="16">
        <f>'Медикаменты Июль'!L117</f>
        <v>54</v>
      </c>
      <c r="D119" s="17"/>
      <c r="E119" s="14"/>
      <c r="F119" s="18"/>
      <c r="G119" s="19"/>
      <c r="H119" s="20"/>
      <c r="I119" s="21"/>
      <c r="J119" s="14"/>
      <c r="K119" s="14">
        <f t="shared" si="2"/>
        <v>0</v>
      </c>
      <c r="L119" s="16">
        <f t="shared" si="3"/>
        <v>54</v>
      </c>
      <c r="M119" s="22">
        <v>46054</v>
      </c>
      <c r="N119" s="44" t="s">
        <v>551</v>
      </c>
      <c r="O119" s="23" t="s">
        <v>26</v>
      </c>
      <c r="P119" s="24" t="s">
        <v>17</v>
      </c>
      <c r="Q119" s="28" t="s">
        <v>571</v>
      </c>
    </row>
    <row r="120" spans="1:17">
      <c r="A120" s="14">
        <v>116</v>
      </c>
      <c r="B120" s="15" t="s">
        <v>547</v>
      </c>
      <c r="C120" s="16">
        <f>'Медикаменты Июль'!L118</f>
        <v>0</v>
      </c>
      <c r="D120" s="17"/>
      <c r="E120" s="14"/>
      <c r="F120" s="18"/>
      <c r="G120" s="19"/>
      <c r="H120" s="20"/>
      <c r="I120" s="21"/>
      <c r="J120" s="14"/>
      <c r="K120" s="14">
        <f t="shared" si="2"/>
        <v>0</v>
      </c>
      <c r="L120" s="16">
        <f t="shared" si="3"/>
        <v>0</v>
      </c>
      <c r="M120" s="22">
        <v>44317</v>
      </c>
      <c r="N120" s="44" t="s">
        <v>45</v>
      </c>
      <c r="O120" s="23" t="s">
        <v>16</v>
      </c>
      <c r="P120" s="24" t="s">
        <v>17</v>
      </c>
      <c r="Q120" s="28" t="s">
        <v>176</v>
      </c>
    </row>
    <row r="121" spans="1:17">
      <c r="A121" s="14">
        <v>117</v>
      </c>
      <c r="B121" s="15" t="s">
        <v>177</v>
      </c>
      <c r="C121" s="16">
        <f>'Медикаменты Июль'!L119</f>
        <v>0</v>
      </c>
      <c r="D121" s="17"/>
      <c r="E121" s="14"/>
      <c r="F121" s="18"/>
      <c r="G121" s="19"/>
      <c r="H121" s="20"/>
      <c r="I121" s="21"/>
      <c r="J121" s="14"/>
      <c r="K121" s="14">
        <f t="shared" si="2"/>
        <v>0</v>
      </c>
      <c r="L121" s="16">
        <f t="shared" si="3"/>
        <v>0</v>
      </c>
      <c r="M121" s="22"/>
      <c r="N121" s="44"/>
      <c r="O121" s="23" t="s">
        <v>16</v>
      </c>
      <c r="P121" s="24"/>
      <c r="Q121" s="45"/>
    </row>
    <row r="122" spans="1:17">
      <c r="A122" s="14">
        <v>118</v>
      </c>
      <c r="B122" s="15" t="s">
        <v>627</v>
      </c>
      <c r="C122" s="16">
        <f>'Медикаменты Июль'!L120</f>
        <v>0</v>
      </c>
      <c r="D122" s="17"/>
      <c r="E122" s="14">
        <f>100</f>
        <v>100</v>
      </c>
      <c r="F122" s="18"/>
      <c r="G122" s="19"/>
      <c r="H122" s="20"/>
      <c r="I122" s="21"/>
      <c r="J122" s="14"/>
      <c r="K122" s="14">
        <f t="shared" si="2"/>
        <v>0</v>
      </c>
      <c r="L122" s="16">
        <f t="shared" si="3"/>
        <v>100</v>
      </c>
      <c r="M122" s="22">
        <v>45474</v>
      </c>
      <c r="N122" s="44" t="s">
        <v>551</v>
      </c>
      <c r="O122" s="23" t="s">
        <v>16</v>
      </c>
      <c r="P122" s="24" t="s">
        <v>17</v>
      </c>
      <c r="Q122" s="28" t="s">
        <v>628</v>
      </c>
    </row>
    <row r="123" spans="1:17">
      <c r="A123" s="14">
        <v>119</v>
      </c>
      <c r="B123" s="15" t="s">
        <v>572</v>
      </c>
      <c r="C123" s="16">
        <f>'Медикаменты Июль'!L121</f>
        <v>21</v>
      </c>
      <c r="D123" s="17"/>
      <c r="E123" s="14"/>
      <c r="F123" s="18">
        <f>3</f>
        <v>3</v>
      </c>
      <c r="G123" s="19"/>
      <c r="H123" s="20"/>
      <c r="I123" s="21"/>
      <c r="J123" s="14"/>
      <c r="K123" s="14">
        <f t="shared" si="2"/>
        <v>3</v>
      </c>
      <c r="L123" s="16">
        <f t="shared" si="3"/>
        <v>18</v>
      </c>
      <c r="M123" s="22">
        <v>45200</v>
      </c>
      <c r="N123" s="44" t="s">
        <v>551</v>
      </c>
      <c r="O123" s="23" t="s">
        <v>16</v>
      </c>
      <c r="P123" s="24" t="s">
        <v>17</v>
      </c>
      <c r="Q123" s="28" t="s">
        <v>181</v>
      </c>
    </row>
    <row r="124" spans="1:17">
      <c r="A124" s="14">
        <v>120</v>
      </c>
      <c r="B124" s="15" t="s">
        <v>182</v>
      </c>
      <c r="C124" s="16">
        <f>'Медикаменты Июль'!L122</f>
        <v>0</v>
      </c>
      <c r="D124" s="17"/>
      <c r="E124" s="14"/>
      <c r="F124" s="18"/>
      <c r="G124" s="19"/>
      <c r="H124" s="20"/>
      <c r="I124" s="21"/>
      <c r="J124" s="14"/>
      <c r="K124" s="14">
        <f t="shared" si="2"/>
        <v>0</v>
      </c>
      <c r="L124" s="16">
        <f t="shared" si="3"/>
        <v>0</v>
      </c>
      <c r="M124" s="22">
        <v>44409</v>
      </c>
      <c r="N124" s="44"/>
      <c r="O124" s="23" t="s">
        <v>16</v>
      </c>
      <c r="P124" s="24"/>
      <c r="Q124" s="28" t="s">
        <v>183</v>
      </c>
    </row>
    <row r="125" spans="1:17">
      <c r="A125" s="14">
        <v>121</v>
      </c>
      <c r="B125" s="15" t="s">
        <v>184</v>
      </c>
      <c r="C125" s="16">
        <f>'Медикаменты Июль'!L123</f>
        <v>50</v>
      </c>
      <c r="D125" s="17"/>
      <c r="E125" s="14"/>
      <c r="F125" s="18">
        <f>10</f>
        <v>10</v>
      </c>
      <c r="G125" s="19"/>
      <c r="H125" s="20">
        <f>5</f>
        <v>5</v>
      </c>
      <c r="I125" s="21"/>
      <c r="J125" s="14"/>
      <c r="K125" s="14">
        <f t="shared" si="2"/>
        <v>15</v>
      </c>
      <c r="L125" s="16">
        <f t="shared" si="3"/>
        <v>35</v>
      </c>
      <c r="M125" s="22">
        <v>45323</v>
      </c>
      <c r="N125" s="44" t="s">
        <v>551</v>
      </c>
      <c r="O125" s="23" t="s">
        <v>16</v>
      </c>
      <c r="P125" s="24" t="s">
        <v>17</v>
      </c>
      <c r="Q125" s="28" t="s">
        <v>598</v>
      </c>
    </row>
    <row r="126" spans="1:17">
      <c r="A126" s="14">
        <v>122</v>
      </c>
      <c r="B126" s="15" t="s">
        <v>186</v>
      </c>
      <c r="C126" s="16">
        <f>'Медикаменты Июль'!L124</f>
        <v>0</v>
      </c>
      <c r="D126" s="17"/>
      <c r="E126" s="14"/>
      <c r="F126" s="18"/>
      <c r="G126" s="19"/>
      <c r="H126" s="20"/>
      <c r="I126" s="21"/>
      <c r="J126" s="14"/>
      <c r="K126" s="14">
        <f t="shared" si="2"/>
        <v>0</v>
      </c>
      <c r="L126" s="16">
        <f t="shared" si="3"/>
        <v>0</v>
      </c>
      <c r="M126" s="22">
        <v>44743</v>
      </c>
      <c r="N126" s="44" t="s">
        <v>45</v>
      </c>
      <c r="O126" s="23" t="s">
        <v>16</v>
      </c>
      <c r="P126" s="24" t="s">
        <v>17</v>
      </c>
      <c r="Q126" s="28" t="s">
        <v>187</v>
      </c>
    </row>
    <row r="127" spans="1:17">
      <c r="A127" s="14">
        <v>123</v>
      </c>
      <c r="B127" s="15" t="s">
        <v>188</v>
      </c>
      <c r="C127" s="16">
        <f>'Медикаменты Июль'!L125</f>
        <v>0</v>
      </c>
      <c r="D127" s="17"/>
      <c r="E127" s="14"/>
      <c r="F127" s="18"/>
      <c r="G127" s="19"/>
      <c r="H127" s="20"/>
      <c r="I127" s="21"/>
      <c r="J127" s="14"/>
      <c r="K127" s="14">
        <f t="shared" si="2"/>
        <v>0</v>
      </c>
      <c r="L127" s="16">
        <f t="shared" si="3"/>
        <v>0</v>
      </c>
      <c r="M127" s="22"/>
      <c r="N127" s="44"/>
      <c r="O127" s="23" t="s">
        <v>16</v>
      </c>
      <c r="P127" s="24"/>
      <c r="Q127" s="45"/>
    </row>
    <row r="128" spans="1:17">
      <c r="A128" s="14">
        <v>124</v>
      </c>
      <c r="B128" s="15" t="s">
        <v>189</v>
      </c>
      <c r="C128" s="16">
        <f>'Медикаменты Июль'!L126</f>
        <v>0</v>
      </c>
      <c r="D128" s="17"/>
      <c r="E128" s="14"/>
      <c r="F128" s="18"/>
      <c r="G128" s="19"/>
      <c r="H128" s="20"/>
      <c r="I128" s="21"/>
      <c r="J128" s="14"/>
      <c r="K128" s="14">
        <f t="shared" si="2"/>
        <v>0</v>
      </c>
      <c r="L128" s="16">
        <f t="shared" si="3"/>
        <v>0</v>
      </c>
      <c r="M128" s="22">
        <v>44348</v>
      </c>
      <c r="N128" s="44"/>
      <c r="O128" s="23" t="s">
        <v>16</v>
      </c>
      <c r="P128" s="24" t="s">
        <v>45</v>
      </c>
      <c r="Q128" s="28" t="s">
        <v>190</v>
      </c>
    </row>
    <row r="129" spans="1:17">
      <c r="A129" s="14">
        <v>125</v>
      </c>
      <c r="B129" s="15" t="s">
        <v>191</v>
      </c>
      <c r="C129" s="16">
        <f>'Медикаменты Июль'!L127</f>
        <v>0</v>
      </c>
      <c r="D129" s="17"/>
      <c r="E129" s="14"/>
      <c r="F129" s="18"/>
      <c r="G129" s="19"/>
      <c r="H129" s="20"/>
      <c r="I129" s="21"/>
      <c r="J129" s="14"/>
      <c r="K129" s="14">
        <f t="shared" si="2"/>
        <v>0</v>
      </c>
      <c r="L129" s="16">
        <f t="shared" si="3"/>
        <v>0</v>
      </c>
      <c r="M129" s="22"/>
      <c r="N129" s="44"/>
      <c r="O129" s="23" t="s">
        <v>16</v>
      </c>
      <c r="P129" s="24"/>
      <c r="Q129" s="45"/>
    </row>
    <row r="130" spans="1:17">
      <c r="A130" s="14">
        <v>126</v>
      </c>
      <c r="B130" s="15" t="s">
        <v>192</v>
      </c>
      <c r="C130" s="16">
        <f>'Медикаменты Июль'!L128</f>
        <v>110</v>
      </c>
      <c r="D130" s="17"/>
      <c r="E130" s="14"/>
      <c r="F130" s="18"/>
      <c r="G130" s="19"/>
      <c r="H130" s="20"/>
      <c r="I130" s="21"/>
      <c r="J130" s="14"/>
      <c r="K130" s="14">
        <f t="shared" si="2"/>
        <v>0</v>
      </c>
      <c r="L130" s="16">
        <f t="shared" si="3"/>
        <v>110</v>
      </c>
      <c r="M130" s="22">
        <v>45047</v>
      </c>
      <c r="N130" s="44" t="s">
        <v>45</v>
      </c>
      <c r="O130" s="23" t="s">
        <v>16</v>
      </c>
      <c r="P130" s="24" t="s">
        <v>17</v>
      </c>
      <c r="Q130" s="28" t="s">
        <v>193</v>
      </c>
    </row>
    <row r="131" spans="1:17">
      <c r="A131" s="14">
        <v>127</v>
      </c>
      <c r="B131" s="15" t="s">
        <v>192</v>
      </c>
      <c r="C131" s="16">
        <f>'Медикаменты Июль'!L129</f>
        <v>0</v>
      </c>
      <c r="D131" s="17"/>
      <c r="E131" s="14"/>
      <c r="F131" s="18"/>
      <c r="G131" s="19"/>
      <c r="H131" s="20"/>
      <c r="I131" s="21"/>
      <c r="J131" s="14"/>
      <c r="K131" s="14">
        <f t="shared" si="2"/>
        <v>0</v>
      </c>
      <c r="L131" s="16">
        <f t="shared" si="3"/>
        <v>0</v>
      </c>
      <c r="M131" s="22">
        <v>45047</v>
      </c>
      <c r="N131" s="44"/>
      <c r="O131" s="23" t="s">
        <v>26</v>
      </c>
      <c r="P131" s="24"/>
      <c r="Q131" s="28" t="s">
        <v>193</v>
      </c>
    </row>
    <row r="132" spans="1:17">
      <c r="A132" s="14">
        <v>128</v>
      </c>
      <c r="B132" s="15" t="s">
        <v>194</v>
      </c>
      <c r="C132" s="16">
        <f>'Медикаменты Июль'!L130</f>
        <v>10</v>
      </c>
      <c r="D132" s="17"/>
      <c r="E132" s="14"/>
      <c r="F132" s="18"/>
      <c r="G132" s="19"/>
      <c r="H132" s="20"/>
      <c r="I132" s="21"/>
      <c r="J132" s="14"/>
      <c r="K132" s="14">
        <f t="shared" si="2"/>
        <v>0</v>
      </c>
      <c r="L132" s="16">
        <f t="shared" si="3"/>
        <v>10</v>
      </c>
      <c r="M132" s="22">
        <v>45658</v>
      </c>
      <c r="N132" s="44" t="s">
        <v>45</v>
      </c>
      <c r="O132" s="23" t="s">
        <v>16</v>
      </c>
      <c r="P132" s="24" t="s">
        <v>45</v>
      </c>
      <c r="Q132" s="28" t="s">
        <v>195</v>
      </c>
    </row>
    <row r="133" spans="1:17">
      <c r="A133" s="14">
        <v>129</v>
      </c>
      <c r="B133" s="15" t="s">
        <v>196</v>
      </c>
      <c r="C133" s="16">
        <f>'Медикаменты Июль'!L131</f>
        <v>46</v>
      </c>
      <c r="D133" s="17"/>
      <c r="E133" s="14"/>
      <c r="F133" s="18"/>
      <c r="G133" s="19"/>
      <c r="H133" s="20"/>
      <c r="I133" s="21"/>
      <c r="J133" s="14"/>
      <c r="K133" s="14">
        <f t="shared" ref="K133:K196" si="4">SUM(F133:J133)</f>
        <v>0</v>
      </c>
      <c r="L133" s="16">
        <f t="shared" ref="L133:L196" si="5">(C133+E133)-K133</f>
        <v>46</v>
      </c>
      <c r="M133" s="22">
        <v>44593</v>
      </c>
      <c r="N133" s="44" t="s">
        <v>45</v>
      </c>
      <c r="O133" s="23" t="s">
        <v>16</v>
      </c>
      <c r="P133" s="24" t="s">
        <v>17</v>
      </c>
      <c r="Q133" s="28" t="s">
        <v>197</v>
      </c>
    </row>
    <row r="134" spans="1:17">
      <c r="A134" s="14">
        <v>130</v>
      </c>
      <c r="B134" s="15" t="s">
        <v>198</v>
      </c>
      <c r="C134" s="16">
        <f>'Медикаменты Июль'!L132</f>
        <v>0</v>
      </c>
      <c r="D134" s="17"/>
      <c r="E134" s="14"/>
      <c r="F134" s="18"/>
      <c r="G134" s="19"/>
      <c r="H134" s="20"/>
      <c r="I134" s="21"/>
      <c r="J134" s="14"/>
      <c r="K134" s="14">
        <f t="shared" si="4"/>
        <v>0</v>
      </c>
      <c r="L134" s="16">
        <f t="shared" si="5"/>
        <v>0</v>
      </c>
      <c r="M134" s="22"/>
      <c r="N134" s="44"/>
      <c r="O134" s="23" t="s">
        <v>16</v>
      </c>
      <c r="P134" s="24"/>
      <c r="Q134" s="45"/>
    </row>
    <row r="135" spans="1:17">
      <c r="A135" s="14">
        <v>131</v>
      </c>
      <c r="B135" s="15" t="s">
        <v>599</v>
      </c>
      <c r="C135" s="16">
        <f>'Медикаменты Июль'!L133</f>
        <v>100</v>
      </c>
      <c r="D135" s="17"/>
      <c r="E135" s="14"/>
      <c r="F135" s="18">
        <f>10</f>
        <v>10</v>
      </c>
      <c r="G135" s="19"/>
      <c r="H135" s="20">
        <f>10</f>
        <v>10</v>
      </c>
      <c r="I135" s="21"/>
      <c r="J135" s="14"/>
      <c r="K135" s="14">
        <f t="shared" si="4"/>
        <v>20</v>
      </c>
      <c r="L135" s="16">
        <f t="shared" si="5"/>
        <v>80</v>
      </c>
      <c r="M135" s="22">
        <v>45383</v>
      </c>
      <c r="N135" s="44" t="s">
        <v>551</v>
      </c>
      <c r="O135" s="23" t="s">
        <v>16</v>
      </c>
      <c r="P135" s="24" t="s">
        <v>17</v>
      </c>
      <c r="Q135" s="28" t="s">
        <v>600</v>
      </c>
    </row>
    <row r="136" spans="1:17">
      <c r="A136" s="14">
        <v>132</v>
      </c>
      <c r="B136" s="15" t="s">
        <v>548</v>
      </c>
      <c r="C136" s="16">
        <f>'Медикаменты Июль'!L134</f>
        <v>58</v>
      </c>
      <c r="D136" s="17"/>
      <c r="E136" s="14"/>
      <c r="F136" s="18">
        <f>15+5</f>
        <v>20</v>
      </c>
      <c r="G136" s="19"/>
      <c r="H136" s="20">
        <f>10</f>
        <v>10</v>
      </c>
      <c r="I136" s="21"/>
      <c r="J136" s="14"/>
      <c r="K136" s="14">
        <f t="shared" si="4"/>
        <v>30</v>
      </c>
      <c r="L136" s="16">
        <f t="shared" si="5"/>
        <v>28</v>
      </c>
      <c r="M136" s="22">
        <v>45658</v>
      </c>
      <c r="N136" s="44" t="s">
        <v>45</v>
      </c>
      <c r="O136" s="23" t="s">
        <v>26</v>
      </c>
      <c r="P136" s="24" t="s">
        <v>17</v>
      </c>
      <c r="Q136" s="28" t="s">
        <v>201</v>
      </c>
    </row>
    <row r="137" spans="1:17">
      <c r="A137" s="14">
        <v>133</v>
      </c>
      <c r="B137" s="15" t="s">
        <v>202</v>
      </c>
      <c r="C137" s="16">
        <f>'Медикаменты Июль'!L135</f>
        <v>0</v>
      </c>
      <c r="D137" s="17"/>
      <c r="E137" s="14"/>
      <c r="F137" s="18"/>
      <c r="G137" s="19"/>
      <c r="H137" s="20"/>
      <c r="I137" s="21"/>
      <c r="J137" s="14"/>
      <c r="K137" s="14">
        <f t="shared" si="4"/>
        <v>0</v>
      </c>
      <c r="L137" s="16">
        <f t="shared" si="5"/>
        <v>0</v>
      </c>
      <c r="M137" s="22"/>
      <c r="N137" s="44"/>
      <c r="O137" s="23" t="s">
        <v>16</v>
      </c>
      <c r="P137" s="24"/>
      <c r="Q137" s="45"/>
    </row>
    <row r="138" spans="1:17">
      <c r="A138" s="14">
        <v>134</v>
      </c>
      <c r="B138" s="15" t="s">
        <v>203</v>
      </c>
      <c r="C138" s="16">
        <f>'Медикаменты Июль'!L136</f>
        <v>0</v>
      </c>
      <c r="D138" s="17"/>
      <c r="E138" s="14"/>
      <c r="F138" s="18"/>
      <c r="G138" s="19"/>
      <c r="H138" s="20"/>
      <c r="I138" s="21"/>
      <c r="J138" s="14"/>
      <c r="K138" s="14">
        <f t="shared" si="4"/>
        <v>0</v>
      </c>
      <c r="L138" s="16">
        <f t="shared" si="5"/>
        <v>0</v>
      </c>
      <c r="M138" s="22">
        <v>44287</v>
      </c>
      <c r="N138" s="44"/>
      <c r="O138" s="23" t="s">
        <v>16</v>
      </c>
      <c r="P138" s="24"/>
      <c r="Q138" s="28" t="s">
        <v>204</v>
      </c>
    </row>
    <row r="139" spans="1:17">
      <c r="A139" s="14">
        <v>135</v>
      </c>
      <c r="B139" s="15" t="s">
        <v>205</v>
      </c>
      <c r="C139" s="16">
        <f>'Медикаменты Июль'!L137</f>
        <v>0</v>
      </c>
      <c r="D139" s="17"/>
      <c r="E139" s="14"/>
      <c r="F139" s="18"/>
      <c r="G139" s="19"/>
      <c r="H139" s="20"/>
      <c r="I139" s="21"/>
      <c r="J139" s="14"/>
      <c r="K139" s="14">
        <f t="shared" si="4"/>
        <v>0</v>
      </c>
      <c r="L139" s="16">
        <f t="shared" si="5"/>
        <v>0</v>
      </c>
      <c r="M139" s="22"/>
      <c r="N139" s="44"/>
      <c r="O139" s="23" t="s">
        <v>16</v>
      </c>
      <c r="P139" s="24"/>
      <c r="Q139" s="45"/>
    </row>
    <row r="140" spans="1:17">
      <c r="A140" s="14">
        <v>136</v>
      </c>
      <c r="B140" s="15" t="s">
        <v>206</v>
      </c>
      <c r="C140" s="16">
        <f>'Медикаменты Июль'!L138</f>
        <v>0</v>
      </c>
      <c r="D140" s="17"/>
      <c r="E140" s="14"/>
      <c r="F140" s="18"/>
      <c r="G140" s="19"/>
      <c r="H140" s="20"/>
      <c r="I140" s="21"/>
      <c r="J140" s="14"/>
      <c r="K140" s="14">
        <f t="shared" si="4"/>
        <v>0</v>
      </c>
      <c r="L140" s="16">
        <f t="shared" si="5"/>
        <v>0</v>
      </c>
      <c r="M140" s="22"/>
      <c r="N140" s="44"/>
      <c r="O140" s="23" t="s">
        <v>16</v>
      </c>
      <c r="P140" s="24"/>
      <c r="Q140" s="45"/>
    </row>
    <row r="141" spans="1:17">
      <c r="A141" s="14">
        <v>137</v>
      </c>
      <c r="B141" s="15" t="s">
        <v>207</v>
      </c>
      <c r="C141" s="16">
        <f>'Медикаменты Июль'!L139</f>
        <v>0</v>
      </c>
      <c r="D141" s="17"/>
      <c r="E141" s="14"/>
      <c r="F141" s="18"/>
      <c r="G141" s="19"/>
      <c r="H141" s="20"/>
      <c r="I141" s="21"/>
      <c r="J141" s="14"/>
      <c r="K141" s="14">
        <f t="shared" si="4"/>
        <v>0</v>
      </c>
      <c r="L141" s="16">
        <f t="shared" si="5"/>
        <v>0</v>
      </c>
      <c r="M141" s="22"/>
      <c r="N141" s="44"/>
      <c r="O141" s="23" t="s">
        <v>16</v>
      </c>
      <c r="P141" s="24"/>
      <c r="Q141" s="45"/>
    </row>
    <row r="142" spans="1:17">
      <c r="A142" s="14">
        <v>138</v>
      </c>
      <c r="B142" s="15" t="s">
        <v>208</v>
      </c>
      <c r="C142" s="16">
        <f>'Медикаменты Июль'!L140</f>
        <v>45</v>
      </c>
      <c r="D142" s="17"/>
      <c r="E142" s="14"/>
      <c r="F142" s="18"/>
      <c r="G142" s="19"/>
      <c r="H142" s="20"/>
      <c r="I142" s="21"/>
      <c r="J142" s="14"/>
      <c r="K142" s="14">
        <f t="shared" si="4"/>
        <v>0</v>
      </c>
      <c r="L142" s="16">
        <f t="shared" si="5"/>
        <v>45</v>
      </c>
      <c r="M142" s="22">
        <v>44986</v>
      </c>
      <c r="N142" s="44" t="s">
        <v>552</v>
      </c>
      <c r="O142" s="23" t="s">
        <v>16</v>
      </c>
      <c r="P142" s="24" t="s">
        <v>17</v>
      </c>
      <c r="Q142" s="28" t="s">
        <v>209</v>
      </c>
    </row>
    <row r="143" spans="1:17">
      <c r="A143" s="14">
        <v>139</v>
      </c>
      <c r="B143" s="15" t="s">
        <v>210</v>
      </c>
      <c r="C143" s="16">
        <f>'Медикаменты Июль'!L141</f>
        <v>0</v>
      </c>
      <c r="D143" s="17"/>
      <c r="E143" s="14"/>
      <c r="F143" s="18"/>
      <c r="G143" s="19"/>
      <c r="H143" s="20"/>
      <c r="I143" s="21"/>
      <c r="J143" s="14"/>
      <c r="K143" s="14">
        <f t="shared" si="4"/>
        <v>0</v>
      </c>
      <c r="L143" s="16">
        <f t="shared" si="5"/>
        <v>0</v>
      </c>
      <c r="M143" s="22">
        <v>45413</v>
      </c>
      <c r="N143" s="44" t="s">
        <v>45</v>
      </c>
      <c r="O143" s="23" t="s">
        <v>16</v>
      </c>
      <c r="P143" s="24" t="s">
        <v>17</v>
      </c>
      <c r="Q143" s="28" t="s">
        <v>211</v>
      </c>
    </row>
    <row r="144" spans="1:17">
      <c r="A144" s="14">
        <v>140</v>
      </c>
      <c r="B144" s="15" t="s">
        <v>210</v>
      </c>
      <c r="C144" s="16">
        <f>'Медикаменты Июль'!L142</f>
        <v>0</v>
      </c>
      <c r="D144" s="17"/>
      <c r="E144" s="14"/>
      <c r="F144" s="18"/>
      <c r="G144" s="19"/>
      <c r="H144" s="20"/>
      <c r="I144" s="21"/>
      <c r="J144" s="14"/>
      <c r="K144" s="14">
        <f t="shared" si="4"/>
        <v>0</v>
      </c>
      <c r="L144" s="16">
        <f t="shared" si="5"/>
        <v>0</v>
      </c>
      <c r="M144" s="22">
        <v>45413</v>
      </c>
      <c r="N144" s="44" t="s">
        <v>45</v>
      </c>
      <c r="O144" s="23" t="s">
        <v>26</v>
      </c>
      <c r="P144" s="24" t="s">
        <v>17</v>
      </c>
      <c r="Q144" s="28" t="s">
        <v>211</v>
      </c>
    </row>
    <row r="145" spans="1:17">
      <c r="A145" s="14">
        <v>141</v>
      </c>
      <c r="B145" s="15" t="s">
        <v>212</v>
      </c>
      <c r="C145" s="16">
        <f>'Медикаменты Июль'!L143</f>
        <v>0</v>
      </c>
      <c r="D145" s="17"/>
      <c r="E145" s="14"/>
      <c r="F145" s="18"/>
      <c r="G145" s="19"/>
      <c r="H145" s="20"/>
      <c r="I145" s="21"/>
      <c r="J145" s="14"/>
      <c r="K145" s="14">
        <f t="shared" si="4"/>
        <v>0</v>
      </c>
      <c r="L145" s="16">
        <f t="shared" si="5"/>
        <v>0</v>
      </c>
      <c r="M145" s="22"/>
      <c r="N145" s="44"/>
      <c r="O145" s="23" t="s">
        <v>16</v>
      </c>
      <c r="P145" s="24"/>
      <c r="Q145" s="45"/>
    </row>
    <row r="146" spans="1:17" ht="26.25">
      <c r="A146" s="14">
        <v>142</v>
      </c>
      <c r="B146" s="15" t="s">
        <v>215</v>
      </c>
      <c r="C146" s="16">
        <f>'Медикаменты Июль'!L144</f>
        <v>0</v>
      </c>
      <c r="D146" s="17"/>
      <c r="E146" s="14">
        <f>70</f>
        <v>70</v>
      </c>
      <c r="F146" s="18"/>
      <c r="G146" s="19"/>
      <c r="H146" s="20"/>
      <c r="I146" s="21"/>
      <c r="J146" s="14"/>
      <c r="K146" s="14">
        <f t="shared" si="4"/>
        <v>0</v>
      </c>
      <c r="L146" s="16">
        <f t="shared" si="5"/>
        <v>70</v>
      </c>
      <c r="M146" s="22">
        <v>44986</v>
      </c>
      <c r="N146" s="44" t="s">
        <v>551</v>
      </c>
      <c r="O146" s="23" t="s">
        <v>16</v>
      </c>
      <c r="P146" s="24" t="s">
        <v>17</v>
      </c>
      <c r="Q146" s="28" t="s">
        <v>214</v>
      </c>
    </row>
    <row r="147" spans="1:17" ht="26.25">
      <c r="A147" s="14">
        <v>143</v>
      </c>
      <c r="B147" s="15" t="s">
        <v>215</v>
      </c>
      <c r="C147" s="16">
        <f>'Медикаменты Июль'!L145</f>
        <v>0</v>
      </c>
      <c r="D147" s="17"/>
      <c r="E147" s="14">
        <f>5</f>
        <v>5</v>
      </c>
      <c r="F147" s="18"/>
      <c r="G147" s="19"/>
      <c r="H147" s="20"/>
      <c r="I147" s="21"/>
      <c r="J147" s="14"/>
      <c r="K147" s="14">
        <f t="shared" si="4"/>
        <v>0</v>
      </c>
      <c r="L147" s="16">
        <f t="shared" si="5"/>
        <v>5</v>
      </c>
      <c r="M147" s="22">
        <v>44986</v>
      </c>
      <c r="N147" s="44" t="s">
        <v>551</v>
      </c>
      <c r="O147" s="23" t="s">
        <v>26</v>
      </c>
      <c r="P147" s="24" t="s">
        <v>17</v>
      </c>
      <c r="Q147" s="28" t="s">
        <v>214</v>
      </c>
    </row>
    <row r="148" spans="1:17" ht="26.25">
      <c r="A148" s="14">
        <v>144</v>
      </c>
      <c r="B148" s="15" t="s">
        <v>216</v>
      </c>
      <c r="C148" s="16">
        <f>'Медикаменты Июль'!L146</f>
        <v>0</v>
      </c>
      <c r="D148" s="17"/>
      <c r="E148" s="14"/>
      <c r="F148" s="18"/>
      <c r="G148" s="19"/>
      <c r="H148" s="20"/>
      <c r="I148" s="21"/>
      <c r="J148" s="14"/>
      <c r="K148" s="14">
        <f t="shared" si="4"/>
        <v>0</v>
      </c>
      <c r="L148" s="16">
        <f t="shared" si="5"/>
        <v>0</v>
      </c>
      <c r="M148" s="22">
        <v>44805</v>
      </c>
      <c r="N148" s="44" t="s">
        <v>45</v>
      </c>
      <c r="O148" s="23" t="s">
        <v>16</v>
      </c>
      <c r="P148" s="24" t="s">
        <v>17</v>
      </c>
      <c r="Q148" s="28" t="s">
        <v>217</v>
      </c>
    </row>
    <row r="149" spans="1:17" ht="26.25">
      <c r="A149" s="14">
        <v>145</v>
      </c>
      <c r="B149" s="15" t="s">
        <v>216</v>
      </c>
      <c r="C149" s="16">
        <f>'Медикаменты Июль'!L147</f>
        <v>21</v>
      </c>
      <c r="D149" s="17"/>
      <c r="E149" s="14"/>
      <c r="F149" s="18"/>
      <c r="G149" s="19"/>
      <c r="H149" s="20">
        <f>5</f>
        <v>5</v>
      </c>
      <c r="I149" s="21"/>
      <c r="J149" s="14"/>
      <c r="K149" s="14">
        <f t="shared" si="4"/>
        <v>5</v>
      </c>
      <c r="L149" s="16">
        <f t="shared" si="5"/>
        <v>16</v>
      </c>
      <c r="M149" s="22">
        <v>45292</v>
      </c>
      <c r="N149" s="44" t="s">
        <v>551</v>
      </c>
      <c r="O149" s="23" t="s">
        <v>16</v>
      </c>
      <c r="P149" s="24" t="s">
        <v>17</v>
      </c>
      <c r="Q149" s="28" t="s">
        <v>217</v>
      </c>
    </row>
    <row r="150" spans="1:17">
      <c r="A150" s="14">
        <v>146</v>
      </c>
      <c r="B150" s="15" t="s">
        <v>218</v>
      </c>
      <c r="C150" s="16">
        <f>'Медикаменты Июль'!L148</f>
        <v>0</v>
      </c>
      <c r="D150" s="17"/>
      <c r="E150" s="14"/>
      <c r="F150" s="18"/>
      <c r="G150" s="19"/>
      <c r="H150" s="20"/>
      <c r="I150" s="21"/>
      <c r="J150" s="14"/>
      <c r="K150" s="14">
        <f t="shared" si="4"/>
        <v>0</v>
      </c>
      <c r="L150" s="16">
        <f t="shared" si="5"/>
        <v>0</v>
      </c>
      <c r="M150" s="22"/>
      <c r="N150" s="44"/>
      <c r="O150" s="23" t="s">
        <v>16</v>
      </c>
      <c r="P150" s="24"/>
      <c r="Q150" s="45"/>
    </row>
    <row r="151" spans="1:17">
      <c r="A151" s="14">
        <v>147</v>
      </c>
      <c r="B151" s="15" t="s">
        <v>219</v>
      </c>
      <c r="C151" s="16">
        <f>'Медикаменты Июль'!L149</f>
        <v>0</v>
      </c>
      <c r="D151" s="17"/>
      <c r="E151" s="14"/>
      <c r="F151" s="18"/>
      <c r="G151" s="19"/>
      <c r="H151" s="20"/>
      <c r="I151" s="21"/>
      <c r="J151" s="14"/>
      <c r="K151" s="14">
        <f t="shared" si="4"/>
        <v>0</v>
      </c>
      <c r="L151" s="16">
        <f t="shared" si="5"/>
        <v>0</v>
      </c>
      <c r="M151" s="22"/>
      <c r="N151" s="44"/>
      <c r="O151" s="23" t="s">
        <v>16</v>
      </c>
      <c r="P151" s="24"/>
      <c r="Q151" s="45"/>
    </row>
    <row r="152" spans="1:17">
      <c r="A152" s="14">
        <v>148</v>
      </c>
      <c r="B152" s="15" t="s">
        <v>220</v>
      </c>
      <c r="C152" s="16">
        <f>'Медикаменты Июль'!L150</f>
        <v>80</v>
      </c>
      <c r="D152" s="17"/>
      <c r="E152" s="14"/>
      <c r="F152" s="18"/>
      <c r="G152" s="19"/>
      <c r="H152" s="20"/>
      <c r="I152" s="21"/>
      <c r="J152" s="14"/>
      <c r="K152" s="14">
        <f t="shared" si="4"/>
        <v>0</v>
      </c>
      <c r="L152" s="16">
        <f t="shared" si="5"/>
        <v>80</v>
      </c>
      <c r="M152" s="22">
        <v>44927</v>
      </c>
      <c r="N152" s="44" t="s">
        <v>551</v>
      </c>
      <c r="O152" s="23" t="s">
        <v>16</v>
      </c>
      <c r="P152" s="24" t="s">
        <v>17</v>
      </c>
      <c r="Q152" s="28" t="s">
        <v>221</v>
      </c>
    </row>
    <row r="153" spans="1:17">
      <c r="A153" s="14">
        <v>149</v>
      </c>
      <c r="B153" s="15" t="s">
        <v>222</v>
      </c>
      <c r="C153" s="16">
        <f>'Медикаменты Июль'!L151</f>
        <v>30</v>
      </c>
      <c r="D153" s="17"/>
      <c r="E153" s="14"/>
      <c r="F153" s="18"/>
      <c r="G153" s="19"/>
      <c r="H153" s="20"/>
      <c r="I153" s="21"/>
      <c r="J153" s="14"/>
      <c r="K153" s="14">
        <f t="shared" si="4"/>
        <v>0</v>
      </c>
      <c r="L153" s="16">
        <f t="shared" si="5"/>
        <v>30</v>
      </c>
      <c r="M153" s="22">
        <v>44866</v>
      </c>
      <c r="N153" s="44" t="s">
        <v>551</v>
      </c>
      <c r="O153" s="23" t="s">
        <v>16</v>
      </c>
      <c r="P153" s="24" t="s">
        <v>17</v>
      </c>
      <c r="Q153" s="28" t="s">
        <v>223</v>
      </c>
    </row>
    <row r="154" spans="1:17">
      <c r="A154" s="14">
        <v>150</v>
      </c>
      <c r="B154" s="15" t="s">
        <v>224</v>
      </c>
      <c r="C154" s="16">
        <f>'Медикаменты Июль'!L152</f>
        <v>0</v>
      </c>
      <c r="D154" s="17"/>
      <c r="E154" s="14">
        <f>50</f>
        <v>50</v>
      </c>
      <c r="F154" s="18">
        <f>10</f>
        <v>10</v>
      </c>
      <c r="G154" s="19"/>
      <c r="H154" s="20"/>
      <c r="I154" s="21"/>
      <c r="J154" s="14"/>
      <c r="K154" s="14">
        <f t="shared" si="4"/>
        <v>10</v>
      </c>
      <c r="L154" s="16">
        <f t="shared" si="5"/>
        <v>40</v>
      </c>
      <c r="M154" s="22">
        <v>46023</v>
      </c>
      <c r="N154" s="44" t="s">
        <v>551</v>
      </c>
      <c r="O154" s="23" t="s">
        <v>16</v>
      </c>
      <c r="P154" s="24" t="s">
        <v>17</v>
      </c>
      <c r="Q154" s="28" t="s">
        <v>225</v>
      </c>
    </row>
    <row r="155" spans="1:17">
      <c r="A155" s="14">
        <v>151</v>
      </c>
      <c r="B155" s="15" t="s">
        <v>226</v>
      </c>
      <c r="C155" s="16">
        <f>'Медикаменты Июль'!L153</f>
        <v>0</v>
      </c>
      <c r="D155" s="17"/>
      <c r="E155" s="14"/>
      <c r="F155" s="18"/>
      <c r="G155" s="19"/>
      <c r="H155" s="20"/>
      <c r="I155" s="21"/>
      <c r="J155" s="14"/>
      <c r="K155" s="14">
        <f t="shared" si="4"/>
        <v>0</v>
      </c>
      <c r="L155" s="16">
        <f t="shared" si="5"/>
        <v>0</v>
      </c>
      <c r="M155" s="22"/>
      <c r="N155" s="44"/>
      <c r="O155" s="23" t="s">
        <v>16</v>
      </c>
      <c r="P155" s="24"/>
      <c r="Q155" s="45"/>
    </row>
    <row r="156" spans="1:17">
      <c r="A156" s="14">
        <v>152</v>
      </c>
      <c r="B156" s="15" t="s">
        <v>227</v>
      </c>
      <c r="C156" s="16">
        <f>'Медикаменты Июль'!L154</f>
        <v>0</v>
      </c>
      <c r="D156" s="17"/>
      <c r="E156" s="14"/>
      <c r="F156" s="18"/>
      <c r="G156" s="19"/>
      <c r="H156" s="20"/>
      <c r="I156" s="21"/>
      <c r="J156" s="14"/>
      <c r="K156" s="14">
        <f t="shared" si="4"/>
        <v>0</v>
      </c>
      <c r="L156" s="16">
        <f t="shared" si="5"/>
        <v>0</v>
      </c>
      <c r="M156" s="22">
        <v>44562</v>
      </c>
      <c r="N156" s="44"/>
      <c r="O156" s="23" t="s">
        <v>16</v>
      </c>
      <c r="P156" s="24"/>
      <c r="Q156" s="28" t="s">
        <v>228</v>
      </c>
    </row>
    <row r="157" spans="1:17">
      <c r="A157" s="14">
        <v>153</v>
      </c>
      <c r="B157" s="15" t="s">
        <v>229</v>
      </c>
      <c r="C157" s="16">
        <f>'Медикаменты Июль'!L155</f>
        <v>20</v>
      </c>
      <c r="D157" s="17"/>
      <c r="E157" s="14"/>
      <c r="F157" s="18">
        <f>5</f>
        <v>5</v>
      </c>
      <c r="G157" s="19"/>
      <c r="H157" s="20"/>
      <c r="I157" s="21"/>
      <c r="J157" s="14"/>
      <c r="K157" s="14">
        <f t="shared" si="4"/>
        <v>5</v>
      </c>
      <c r="L157" s="16">
        <f t="shared" si="5"/>
        <v>15</v>
      </c>
      <c r="M157" s="22">
        <v>44986</v>
      </c>
      <c r="N157" s="44" t="s">
        <v>45</v>
      </c>
      <c r="O157" s="23" t="s">
        <v>16</v>
      </c>
      <c r="P157" s="24" t="s">
        <v>17</v>
      </c>
      <c r="Q157" s="28" t="s">
        <v>230</v>
      </c>
    </row>
    <row r="158" spans="1:17">
      <c r="A158" s="14">
        <v>154</v>
      </c>
      <c r="B158" s="15" t="s">
        <v>231</v>
      </c>
      <c r="C158" s="16">
        <f>'Медикаменты Июль'!L156</f>
        <v>0</v>
      </c>
      <c r="D158" s="17"/>
      <c r="E158" s="14"/>
      <c r="F158" s="18"/>
      <c r="G158" s="19"/>
      <c r="H158" s="20"/>
      <c r="I158" s="21"/>
      <c r="J158" s="14"/>
      <c r="K158" s="14">
        <f t="shared" si="4"/>
        <v>0</v>
      </c>
      <c r="L158" s="16">
        <f t="shared" si="5"/>
        <v>0</v>
      </c>
      <c r="M158" s="22"/>
      <c r="N158" s="44"/>
      <c r="O158" s="23" t="s">
        <v>16</v>
      </c>
      <c r="P158" s="24"/>
      <c r="Q158" s="45"/>
    </row>
    <row r="159" spans="1:17">
      <c r="A159" s="14">
        <v>155</v>
      </c>
      <c r="B159" s="15" t="s">
        <v>232</v>
      </c>
      <c r="C159" s="16">
        <f>'Медикаменты Июль'!L157</f>
        <v>0</v>
      </c>
      <c r="D159" s="17"/>
      <c r="E159" s="14"/>
      <c r="F159" s="18"/>
      <c r="G159" s="19"/>
      <c r="H159" s="20"/>
      <c r="I159" s="21"/>
      <c r="J159" s="14"/>
      <c r="K159" s="14">
        <f t="shared" si="4"/>
        <v>0</v>
      </c>
      <c r="L159" s="16">
        <f t="shared" si="5"/>
        <v>0</v>
      </c>
      <c r="M159" s="22"/>
      <c r="N159" s="44"/>
      <c r="O159" s="23" t="s">
        <v>16</v>
      </c>
      <c r="P159" s="24"/>
      <c r="Q159" s="45"/>
    </row>
    <row r="160" spans="1:17">
      <c r="A160" s="14">
        <v>156</v>
      </c>
      <c r="B160" s="15" t="s">
        <v>233</v>
      </c>
      <c r="C160" s="16">
        <f>'Медикаменты Июль'!L158</f>
        <v>0</v>
      </c>
      <c r="D160" s="17"/>
      <c r="E160" s="14"/>
      <c r="F160" s="18"/>
      <c r="G160" s="19"/>
      <c r="H160" s="20"/>
      <c r="I160" s="21"/>
      <c r="J160" s="14"/>
      <c r="K160" s="14">
        <f t="shared" si="4"/>
        <v>0</v>
      </c>
      <c r="L160" s="16">
        <f t="shared" si="5"/>
        <v>0</v>
      </c>
      <c r="M160" s="22">
        <v>44287</v>
      </c>
      <c r="N160" s="44"/>
      <c r="O160" s="23" t="s">
        <v>16</v>
      </c>
      <c r="P160" s="24" t="s">
        <v>45</v>
      </c>
      <c r="Q160" s="28" t="s">
        <v>234</v>
      </c>
    </row>
    <row r="161" spans="1:17">
      <c r="A161" s="14">
        <v>157</v>
      </c>
      <c r="B161" s="15" t="s">
        <v>235</v>
      </c>
      <c r="C161" s="16">
        <f>'Медикаменты Июль'!L159</f>
        <v>0</v>
      </c>
      <c r="D161" s="17"/>
      <c r="E161" s="14"/>
      <c r="F161" s="18"/>
      <c r="G161" s="19"/>
      <c r="H161" s="20"/>
      <c r="I161" s="21"/>
      <c r="J161" s="14"/>
      <c r="K161" s="14">
        <f t="shared" si="4"/>
        <v>0</v>
      </c>
      <c r="L161" s="16">
        <f t="shared" si="5"/>
        <v>0</v>
      </c>
      <c r="M161" s="22"/>
      <c r="N161" s="44"/>
      <c r="O161" s="23" t="s">
        <v>16</v>
      </c>
      <c r="P161" s="24"/>
      <c r="Q161" s="45"/>
    </row>
    <row r="162" spans="1:17">
      <c r="A162" s="14">
        <v>158</v>
      </c>
      <c r="B162" s="15" t="s">
        <v>236</v>
      </c>
      <c r="C162" s="16">
        <f>'Медикаменты Июль'!L160</f>
        <v>67</v>
      </c>
      <c r="D162" s="17"/>
      <c r="E162" s="14"/>
      <c r="F162" s="18"/>
      <c r="G162" s="19"/>
      <c r="H162" s="20"/>
      <c r="I162" s="21"/>
      <c r="J162" s="14"/>
      <c r="K162" s="14">
        <f t="shared" si="4"/>
        <v>0</v>
      </c>
      <c r="L162" s="16">
        <f t="shared" si="5"/>
        <v>67</v>
      </c>
      <c r="M162" s="22">
        <v>44593</v>
      </c>
      <c r="N162" s="44" t="s">
        <v>45</v>
      </c>
      <c r="O162" s="23" t="s">
        <v>16</v>
      </c>
      <c r="P162" s="24" t="s">
        <v>45</v>
      </c>
      <c r="Q162" s="28" t="s">
        <v>237</v>
      </c>
    </row>
    <row r="163" spans="1:17">
      <c r="A163" s="14">
        <v>159</v>
      </c>
      <c r="B163" s="15" t="s">
        <v>238</v>
      </c>
      <c r="C163" s="16">
        <f>'Медикаменты Июль'!L161</f>
        <v>0</v>
      </c>
      <c r="D163" s="17"/>
      <c r="E163" s="14"/>
      <c r="F163" s="18"/>
      <c r="G163" s="19"/>
      <c r="H163" s="20"/>
      <c r="I163" s="21"/>
      <c r="J163" s="14"/>
      <c r="K163" s="14">
        <f t="shared" si="4"/>
        <v>0</v>
      </c>
      <c r="L163" s="16">
        <f t="shared" si="5"/>
        <v>0</v>
      </c>
      <c r="M163" s="22"/>
      <c r="N163" s="44"/>
      <c r="O163" s="23" t="s">
        <v>16</v>
      </c>
      <c r="P163" s="24"/>
      <c r="Q163" s="45"/>
    </row>
    <row r="164" spans="1:17">
      <c r="A164" s="14">
        <v>160</v>
      </c>
      <c r="B164" s="15" t="s">
        <v>239</v>
      </c>
      <c r="C164" s="16">
        <f>'Медикаменты Июль'!L162</f>
        <v>0</v>
      </c>
      <c r="D164" s="17"/>
      <c r="E164" s="14">
        <f>21</f>
        <v>21</v>
      </c>
      <c r="F164" s="18"/>
      <c r="G164" s="19"/>
      <c r="H164" s="20"/>
      <c r="I164" s="21"/>
      <c r="J164" s="14"/>
      <c r="K164" s="14">
        <f t="shared" si="4"/>
        <v>0</v>
      </c>
      <c r="L164" s="16">
        <f t="shared" si="5"/>
        <v>21</v>
      </c>
      <c r="M164" s="22">
        <v>45413</v>
      </c>
      <c r="N164" s="44" t="s">
        <v>551</v>
      </c>
      <c r="O164" s="23" t="s">
        <v>16</v>
      </c>
      <c r="P164" s="24" t="s">
        <v>17</v>
      </c>
      <c r="Q164" s="28" t="s">
        <v>629</v>
      </c>
    </row>
    <row r="165" spans="1:17">
      <c r="A165" s="14">
        <v>161</v>
      </c>
      <c r="B165" s="15" t="s">
        <v>239</v>
      </c>
      <c r="C165" s="16"/>
      <c r="D165" s="17"/>
      <c r="E165" s="14">
        <f>42</f>
        <v>42</v>
      </c>
      <c r="F165" s="18"/>
      <c r="G165" s="19"/>
      <c r="H165" s="20"/>
      <c r="I165" s="21"/>
      <c r="J165" s="14"/>
      <c r="K165" s="14">
        <f t="shared" si="4"/>
        <v>0</v>
      </c>
      <c r="L165" s="16">
        <f t="shared" si="5"/>
        <v>42</v>
      </c>
      <c r="M165" s="22">
        <v>45413</v>
      </c>
      <c r="N165" s="44" t="s">
        <v>551</v>
      </c>
      <c r="O165" s="23" t="s">
        <v>26</v>
      </c>
      <c r="P165" s="24" t="s">
        <v>17</v>
      </c>
      <c r="Q165" s="28" t="s">
        <v>629</v>
      </c>
    </row>
    <row r="166" spans="1:17">
      <c r="A166" s="14">
        <v>162</v>
      </c>
      <c r="B166" s="15" t="s">
        <v>240</v>
      </c>
      <c r="C166" s="16">
        <f>'Медикаменты Июль'!L163</f>
        <v>95</v>
      </c>
      <c r="D166" s="17"/>
      <c r="E166" s="14"/>
      <c r="F166" s="18"/>
      <c r="G166" s="19"/>
      <c r="H166" s="20"/>
      <c r="I166" s="21"/>
      <c r="J166" s="14"/>
      <c r="K166" s="14">
        <f t="shared" si="4"/>
        <v>0</v>
      </c>
      <c r="L166" s="16">
        <f t="shared" si="5"/>
        <v>95</v>
      </c>
      <c r="M166" s="22">
        <v>44652</v>
      </c>
      <c r="N166" s="44" t="s">
        <v>45</v>
      </c>
      <c r="O166" s="23" t="s">
        <v>16</v>
      </c>
      <c r="P166" s="24" t="s">
        <v>17</v>
      </c>
      <c r="Q166" s="28" t="s">
        <v>241</v>
      </c>
    </row>
    <row r="167" spans="1:17">
      <c r="A167" s="14">
        <v>163</v>
      </c>
      <c r="B167" s="15" t="s">
        <v>242</v>
      </c>
      <c r="C167" s="16">
        <f>'Медикаменты Июль'!L164</f>
        <v>0</v>
      </c>
      <c r="D167" s="17"/>
      <c r="E167" s="14"/>
      <c r="F167" s="18"/>
      <c r="G167" s="19"/>
      <c r="H167" s="20"/>
      <c r="I167" s="21"/>
      <c r="J167" s="14"/>
      <c r="K167" s="14">
        <f t="shared" si="4"/>
        <v>0</v>
      </c>
      <c r="L167" s="16">
        <f t="shared" si="5"/>
        <v>0</v>
      </c>
      <c r="M167" s="22"/>
      <c r="N167" s="44"/>
      <c r="O167" s="23" t="s">
        <v>16</v>
      </c>
      <c r="P167" s="24"/>
      <c r="Q167" s="45"/>
    </row>
    <row r="168" spans="1:17" ht="26.25">
      <c r="A168" s="14">
        <v>164</v>
      </c>
      <c r="B168" s="15" t="s">
        <v>243</v>
      </c>
      <c r="C168" s="16">
        <f>'Медикаменты Июль'!L165</f>
        <v>146</v>
      </c>
      <c r="D168" s="17"/>
      <c r="E168" s="14"/>
      <c r="F168" s="18"/>
      <c r="G168" s="19"/>
      <c r="H168" s="20"/>
      <c r="I168" s="21"/>
      <c r="J168" s="14"/>
      <c r="K168" s="14">
        <f t="shared" si="4"/>
        <v>0</v>
      </c>
      <c r="L168" s="16">
        <f t="shared" si="5"/>
        <v>146</v>
      </c>
      <c r="M168" s="22">
        <v>44621</v>
      </c>
      <c r="N168" s="44" t="s">
        <v>45</v>
      </c>
      <c r="O168" s="23" t="s">
        <v>16</v>
      </c>
      <c r="P168" s="24" t="s">
        <v>17</v>
      </c>
      <c r="Q168" s="28" t="s">
        <v>244</v>
      </c>
    </row>
    <row r="169" spans="1:17">
      <c r="A169" s="14">
        <v>165</v>
      </c>
      <c r="B169" s="15" t="s">
        <v>245</v>
      </c>
      <c r="C169" s="16">
        <f>'Медикаменты Июль'!L166</f>
        <v>0</v>
      </c>
      <c r="D169" s="17"/>
      <c r="E169" s="14"/>
      <c r="F169" s="18"/>
      <c r="G169" s="19"/>
      <c r="H169" s="20"/>
      <c r="I169" s="21"/>
      <c r="J169" s="14"/>
      <c r="K169" s="14">
        <f t="shared" si="4"/>
        <v>0</v>
      </c>
      <c r="L169" s="16">
        <f t="shared" si="5"/>
        <v>0</v>
      </c>
      <c r="M169" s="22"/>
      <c r="N169" s="44"/>
      <c r="O169" s="23" t="s">
        <v>16</v>
      </c>
      <c r="P169" s="24"/>
      <c r="Q169" s="45"/>
    </row>
    <row r="170" spans="1:17">
      <c r="A170" s="14">
        <v>166</v>
      </c>
      <c r="B170" s="15" t="s">
        <v>246</v>
      </c>
      <c r="C170" s="16">
        <f>'Медикаменты Июль'!L167</f>
        <v>0</v>
      </c>
      <c r="D170" s="17"/>
      <c r="E170" s="14"/>
      <c r="F170" s="18"/>
      <c r="G170" s="19"/>
      <c r="H170" s="20"/>
      <c r="I170" s="21"/>
      <c r="J170" s="14"/>
      <c r="K170" s="14">
        <f t="shared" si="4"/>
        <v>0</v>
      </c>
      <c r="L170" s="16">
        <f t="shared" si="5"/>
        <v>0</v>
      </c>
      <c r="M170" s="22"/>
      <c r="N170" s="44"/>
      <c r="O170" s="23" t="s">
        <v>16</v>
      </c>
      <c r="P170" s="24"/>
      <c r="Q170" s="45"/>
    </row>
    <row r="171" spans="1:17">
      <c r="A171" s="14">
        <v>167</v>
      </c>
      <c r="B171" s="15" t="s">
        <v>247</v>
      </c>
      <c r="C171" s="16">
        <f>'Медикаменты Июль'!L168</f>
        <v>0</v>
      </c>
      <c r="D171" s="17"/>
      <c r="E171" s="14"/>
      <c r="F171" s="18"/>
      <c r="G171" s="19"/>
      <c r="H171" s="20"/>
      <c r="I171" s="21"/>
      <c r="J171" s="14"/>
      <c r="K171" s="14">
        <f t="shared" si="4"/>
        <v>0</v>
      </c>
      <c r="L171" s="16">
        <f t="shared" si="5"/>
        <v>0</v>
      </c>
      <c r="M171" s="22"/>
      <c r="N171" s="44"/>
      <c r="O171" s="23" t="s">
        <v>16</v>
      </c>
      <c r="P171" s="24"/>
      <c r="Q171" s="45"/>
    </row>
    <row r="172" spans="1:17">
      <c r="A172" s="14">
        <v>168</v>
      </c>
      <c r="B172" s="15" t="s">
        <v>248</v>
      </c>
      <c r="C172" s="16">
        <f>'Медикаменты Июль'!L169</f>
        <v>0</v>
      </c>
      <c r="D172" s="17"/>
      <c r="E172" s="14"/>
      <c r="F172" s="18"/>
      <c r="G172" s="19"/>
      <c r="H172" s="20"/>
      <c r="I172" s="21"/>
      <c r="J172" s="14"/>
      <c r="K172" s="14">
        <f t="shared" si="4"/>
        <v>0</v>
      </c>
      <c r="L172" s="16">
        <f t="shared" si="5"/>
        <v>0</v>
      </c>
      <c r="M172" s="22"/>
      <c r="N172" s="44"/>
      <c r="O172" s="23" t="s">
        <v>16</v>
      </c>
      <c r="P172" s="24"/>
      <c r="Q172" s="45"/>
    </row>
    <row r="173" spans="1:17">
      <c r="A173" s="14">
        <v>169</v>
      </c>
      <c r="B173" s="15" t="s">
        <v>249</v>
      </c>
      <c r="C173" s="16">
        <f>'Медикаменты Июль'!L170</f>
        <v>0</v>
      </c>
      <c r="D173" s="17"/>
      <c r="E173" s="14"/>
      <c r="F173" s="18"/>
      <c r="G173" s="19"/>
      <c r="H173" s="20"/>
      <c r="I173" s="21"/>
      <c r="J173" s="14"/>
      <c r="K173" s="14">
        <f t="shared" si="4"/>
        <v>0</v>
      </c>
      <c r="L173" s="16">
        <f t="shared" si="5"/>
        <v>0</v>
      </c>
      <c r="M173" s="22"/>
      <c r="N173" s="44"/>
      <c r="O173" s="23" t="s">
        <v>16</v>
      </c>
      <c r="P173" s="24"/>
      <c r="Q173" s="45"/>
    </row>
    <row r="174" spans="1:17">
      <c r="A174" s="14">
        <v>170</v>
      </c>
      <c r="B174" s="15" t="s">
        <v>250</v>
      </c>
      <c r="C174" s="16">
        <f>'Медикаменты Июль'!L171</f>
        <v>0</v>
      </c>
      <c r="D174" s="17"/>
      <c r="E174" s="14"/>
      <c r="F174" s="18"/>
      <c r="G174" s="19"/>
      <c r="H174" s="20"/>
      <c r="I174" s="21"/>
      <c r="J174" s="14"/>
      <c r="K174" s="14">
        <f t="shared" si="4"/>
        <v>0</v>
      </c>
      <c r="L174" s="16">
        <f t="shared" si="5"/>
        <v>0</v>
      </c>
      <c r="M174" s="22"/>
      <c r="N174" s="44"/>
      <c r="O174" s="23" t="s">
        <v>16</v>
      </c>
      <c r="P174" s="24"/>
      <c r="Q174" s="45"/>
    </row>
    <row r="175" spans="1:17">
      <c r="A175" s="14">
        <v>171</v>
      </c>
      <c r="B175" s="15" t="s">
        <v>251</v>
      </c>
      <c r="C175" s="16">
        <f>'Медикаменты Июль'!L172</f>
        <v>0</v>
      </c>
      <c r="D175" s="17"/>
      <c r="E175" s="14"/>
      <c r="F175" s="18"/>
      <c r="G175" s="19"/>
      <c r="H175" s="20"/>
      <c r="I175" s="21"/>
      <c r="J175" s="14"/>
      <c r="K175" s="14">
        <f t="shared" si="4"/>
        <v>0</v>
      </c>
      <c r="L175" s="16">
        <f t="shared" si="5"/>
        <v>0</v>
      </c>
      <c r="M175" s="22">
        <v>44682</v>
      </c>
      <c r="N175" s="44" t="s">
        <v>45</v>
      </c>
      <c r="O175" s="23" t="s">
        <v>16</v>
      </c>
      <c r="P175" s="24" t="s">
        <v>45</v>
      </c>
      <c r="Q175" s="28" t="s">
        <v>252</v>
      </c>
    </row>
    <row r="176" spans="1:17">
      <c r="A176" s="14">
        <v>172</v>
      </c>
      <c r="B176" s="15" t="s">
        <v>253</v>
      </c>
      <c r="C176" s="16">
        <f>'Медикаменты Июль'!L173</f>
        <v>100</v>
      </c>
      <c r="D176" s="17"/>
      <c r="E176" s="14"/>
      <c r="F176" s="18"/>
      <c r="G176" s="19"/>
      <c r="H176" s="20"/>
      <c r="I176" s="21"/>
      <c r="J176" s="14"/>
      <c r="K176" s="14">
        <f t="shared" si="4"/>
        <v>0</v>
      </c>
      <c r="L176" s="16">
        <f t="shared" si="5"/>
        <v>100</v>
      </c>
      <c r="M176" s="22">
        <v>45047</v>
      </c>
      <c r="N176" s="44" t="s">
        <v>45</v>
      </c>
      <c r="O176" s="23" t="s">
        <v>16</v>
      </c>
      <c r="P176" s="24" t="s">
        <v>17</v>
      </c>
      <c r="Q176" s="28" t="s">
        <v>254</v>
      </c>
    </row>
    <row r="177" spans="1:17">
      <c r="A177" s="14">
        <v>173</v>
      </c>
      <c r="B177" s="15" t="s">
        <v>255</v>
      </c>
      <c r="C177" s="16">
        <f>'Медикаменты Июль'!L174</f>
        <v>0</v>
      </c>
      <c r="D177" s="17"/>
      <c r="E177" s="14"/>
      <c r="F177" s="18"/>
      <c r="G177" s="19"/>
      <c r="H177" s="20"/>
      <c r="I177" s="21"/>
      <c r="J177" s="14"/>
      <c r="K177" s="14">
        <f t="shared" si="4"/>
        <v>0</v>
      </c>
      <c r="L177" s="16">
        <f t="shared" si="5"/>
        <v>0</v>
      </c>
      <c r="M177" s="22">
        <v>44562</v>
      </c>
      <c r="N177" s="44"/>
      <c r="O177" s="23" t="s">
        <v>26</v>
      </c>
      <c r="P177" s="24"/>
      <c r="Q177" s="28"/>
    </row>
    <row r="178" spans="1:17">
      <c r="A178" s="14">
        <v>174</v>
      </c>
      <c r="B178" s="15" t="s">
        <v>256</v>
      </c>
      <c r="C178" s="16">
        <f>'Медикаменты Июль'!L175</f>
        <v>0</v>
      </c>
      <c r="D178" s="17"/>
      <c r="E178" s="14"/>
      <c r="F178" s="18"/>
      <c r="G178" s="19"/>
      <c r="H178" s="20"/>
      <c r="I178" s="21"/>
      <c r="J178" s="14"/>
      <c r="K178" s="14">
        <f t="shared" si="4"/>
        <v>0</v>
      </c>
      <c r="L178" s="16">
        <f t="shared" si="5"/>
        <v>0</v>
      </c>
      <c r="M178" s="22">
        <v>44044</v>
      </c>
      <c r="N178" s="44"/>
      <c r="O178" s="23" t="s">
        <v>16</v>
      </c>
      <c r="P178" s="24"/>
      <c r="Q178" s="45"/>
    </row>
    <row r="179" spans="1:17">
      <c r="A179" s="14">
        <v>175</v>
      </c>
      <c r="B179" s="15" t="s">
        <v>257</v>
      </c>
      <c r="C179" s="16">
        <f>'Медикаменты Июль'!L176</f>
        <v>0</v>
      </c>
      <c r="D179" s="17"/>
      <c r="E179" s="14">
        <f>50</f>
        <v>50</v>
      </c>
      <c r="F179" s="18"/>
      <c r="G179" s="19"/>
      <c r="H179" s="20"/>
      <c r="I179" s="21"/>
      <c r="J179" s="14"/>
      <c r="K179" s="14">
        <f t="shared" si="4"/>
        <v>0</v>
      </c>
      <c r="L179" s="16">
        <f t="shared" si="5"/>
        <v>50</v>
      </c>
      <c r="M179" s="22">
        <v>45108</v>
      </c>
      <c r="N179" s="44" t="s">
        <v>551</v>
      </c>
      <c r="O179" s="23" t="s">
        <v>16</v>
      </c>
      <c r="P179" s="24" t="s">
        <v>17</v>
      </c>
      <c r="Q179" s="28" t="s">
        <v>258</v>
      </c>
    </row>
    <row r="180" spans="1:17">
      <c r="A180" s="14">
        <v>176</v>
      </c>
      <c r="B180" s="15" t="s">
        <v>259</v>
      </c>
      <c r="C180" s="16">
        <f>'Медикаменты Июль'!L177</f>
        <v>13</v>
      </c>
      <c r="D180" s="17"/>
      <c r="E180" s="14"/>
      <c r="F180" s="18"/>
      <c r="G180" s="19"/>
      <c r="H180" s="20"/>
      <c r="I180" s="21"/>
      <c r="J180" s="14"/>
      <c r="K180" s="14">
        <f t="shared" si="4"/>
        <v>0</v>
      </c>
      <c r="L180" s="16">
        <f t="shared" si="5"/>
        <v>13</v>
      </c>
      <c r="M180" s="22">
        <v>44531</v>
      </c>
      <c r="N180" s="44" t="s">
        <v>45</v>
      </c>
      <c r="O180" s="23" t="s">
        <v>16</v>
      </c>
      <c r="P180" s="24" t="s">
        <v>17</v>
      </c>
      <c r="Q180" s="28" t="s">
        <v>260</v>
      </c>
    </row>
    <row r="181" spans="1:17">
      <c r="A181" s="14">
        <v>177</v>
      </c>
      <c r="B181" s="15" t="s">
        <v>261</v>
      </c>
      <c r="C181" s="16">
        <f>'Медикаменты Июль'!L178</f>
        <v>0</v>
      </c>
      <c r="D181" s="17"/>
      <c r="E181" s="14">
        <f>150</f>
        <v>150</v>
      </c>
      <c r="F181" s="18"/>
      <c r="G181" s="19"/>
      <c r="H181" s="20"/>
      <c r="I181" s="21"/>
      <c r="J181" s="14"/>
      <c r="K181" s="14">
        <f t="shared" si="4"/>
        <v>0</v>
      </c>
      <c r="L181" s="16">
        <f t="shared" si="5"/>
        <v>150</v>
      </c>
      <c r="M181" s="22">
        <v>45078</v>
      </c>
      <c r="N181" s="44" t="s">
        <v>551</v>
      </c>
      <c r="O181" s="23" t="s">
        <v>16</v>
      </c>
      <c r="P181" s="24" t="s">
        <v>17</v>
      </c>
      <c r="Q181" s="28" t="s">
        <v>262</v>
      </c>
    </row>
    <row r="182" spans="1:17">
      <c r="A182" s="14">
        <v>178</v>
      </c>
      <c r="B182" s="15" t="s">
        <v>261</v>
      </c>
      <c r="C182" s="16">
        <f>'Медикаменты Июль'!L179</f>
        <v>10</v>
      </c>
      <c r="D182" s="17"/>
      <c r="E182" s="14">
        <f>50</f>
        <v>50</v>
      </c>
      <c r="F182" s="18">
        <f>5+5</f>
        <v>10</v>
      </c>
      <c r="G182" s="19"/>
      <c r="H182" s="20"/>
      <c r="I182" s="21"/>
      <c r="J182" s="14"/>
      <c r="K182" s="14">
        <f t="shared" si="4"/>
        <v>10</v>
      </c>
      <c r="L182" s="16">
        <f t="shared" si="5"/>
        <v>50</v>
      </c>
      <c r="M182" s="22">
        <v>45078</v>
      </c>
      <c r="N182" s="44" t="s">
        <v>551</v>
      </c>
      <c r="O182" s="23" t="s">
        <v>26</v>
      </c>
      <c r="P182" s="24" t="s">
        <v>17</v>
      </c>
      <c r="Q182" s="28" t="s">
        <v>262</v>
      </c>
    </row>
    <row r="183" spans="1:17">
      <c r="A183" s="14">
        <v>179</v>
      </c>
      <c r="B183" s="15" t="s">
        <v>263</v>
      </c>
      <c r="C183" s="16">
        <f>'Медикаменты Июль'!L180</f>
        <v>0</v>
      </c>
      <c r="D183" s="17"/>
      <c r="E183" s="14"/>
      <c r="F183" s="18"/>
      <c r="G183" s="19"/>
      <c r="H183" s="20"/>
      <c r="I183" s="21"/>
      <c r="J183" s="14"/>
      <c r="K183" s="14">
        <f t="shared" si="4"/>
        <v>0</v>
      </c>
      <c r="L183" s="16">
        <f t="shared" si="5"/>
        <v>0</v>
      </c>
      <c r="M183" s="22"/>
      <c r="N183" s="44"/>
      <c r="O183" s="23" t="s">
        <v>16</v>
      </c>
      <c r="P183" s="24"/>
      <c r="Q183" s="45"/>
    </row>
    <row r="184" spans="1:17">
      <c r="A184" s="14">
        <v>180</v>
      </c>
      <c r="B184" s="15" t="s">
        <v>264</v>
      </c>
      <c r="C184" s="16">
        <f>'Медикаменты Июль'!L181</f>
        <v>0</v>
      </c>
      <c r="D184" s="17"/>
      <c r="E184" s="14"/>
      <c r="F184" s="18"/>
      <c r="G184" s="19"/>
      <c r="H184" s="20"/>
      <c r="I184" s="21"/>
      <c r="J184" s="14"/>
      <c r="K184" s="14">
        <f t="shared" si="4"/>
        <v>0</v>
      </c>
      <c r="L184" s="16">
        <f t="shared" si="5"/>
        <v>0</v>
      </c>
      <c r="M184" s="22"/>
      <c r="N184" s="44"/>
      <c r="O184" s="23" t="s">
        <v>16</v>
      </c>
      <c r="P184" s="24"/>
      <c r="Q184" s="45"/>
    </row>
    <row r="185" spans="1:17">
      <c r="A185" s="14">
        <v>181</v>
      </c>
      <c r="B185" s="15" t="s">
        <v>265</v>
      </c>
      <c r="C185" s="16">
        <f>'Медикаменты Июль'!L182</f>
        <v>0</v>
      </c>
      <c r="D185" s="17"/>
      <c r="E185" s="14"/>
      <c r="F185" s="18"/>
      <c r="G185" s="19"/>
      <c r="H185" s="20"/>
      <c r="I185" s="21"/>
      <c r="J185" s="14"/>
      <c r="K185" s="14">
        <f t="shared" si="4"/>
        <v>0</v>
      </c>
      <c r="L185" s="16">
        <f t="shared" si="5"/>
        <v>0</v>
      </c>
      <c r="M185" s="22"/>
      <c r="N185" s="44"/>
      <c r="O185" s="23" t="s">
        <v>16</v>
      </c>
      <c r="P185" s="24"/>
      <c r="Q185" s="45"/>
    </row>
    <row r="186" spans="1:17">
      <c r="A186" s="14">
        <v>182</v>
      </c>
      <c r="B186" s="15" t="s">
        <v>266</v>
      </c>
      <c r="C186" s="16">
        <f>'Медикаменты Июль'!L183</f>
        <v>0</v>
      </c>
      <c r="D186" s="17"/>
      <c r="E186" s="14"/>
      <c r="F186" s="18"/>
      <c r="G186" s="19"/>
      <c r="H186" s="20"/>
      <c r="I186" s="21"/>
      <c r="J186" s="14"/>
      <c r="K186" s="14">
        <f t="shared" si="4"/>
        <v>0</v>
      </c>
      <c r="L186" s="16">
        <f t="shared" si="5"/>
        <v>0</v>
      </c>
      <c r="M186" s="22"/>
      <c r="N186" s="44"/>
      <c r="O186" s="23" t="s">
        <v>16</v>
      </c>
      <c r="P186" s="24"/>
      <c r="Q186" s="45"/>
    </row>
    <row r="187" spans="1:17">
      <c r="A187" s="14">
        <v>183</v>
      </c>
      <c r="B187" s="15" t="s">
        <v>267</v>
      </c>
      <c r="C187" s="16">
        <f>'Медикаменты Июль'!L184</f>
        <v>0</v>
      </c>
      <c r="D187" s="17"/>
      <c r="E187" s="14"/>
      <c r="F187" s="18"/>
      <c r="G187" s="19"/>
      <c r="H187" s="20"/>
      <c r="I187" s="21"/>
      <c r="J187" s="14"/>
      <c r="K187" s="14">
        <f t="shared" si="4"/>
        <v>0</v>
      </c>
      <c r="L187" s="16">
        <f t="shared" si="5"/>
        <v>0</v>
      </c>
      <c r="M187" s="22"/>
      <c r="N187" s="44"/>
      <c r="O187" s="23" t="s">
        <v>16</v>
      </c>
      <c r="P187" s="24"/>
      <c r="Q187" s="45"/>
    </row>
    <row r="188" spans="1:17">
      <c r="A188" s="14">
        <v>184</v>
      </c>
      <c r="B188" s="15" t="s">
        <v>268</v>
      </c>
      <c r="C188" s="16">
        <f>'Медикаменты Июль'!L185</f>
        <v>80</v>
      </c>
      <c r="D188" s="17"/>
      <c r="E188" s="14"/>
      <c r="F188" s="18">
        <f>20</f>
        <v>20</v>
      </c>
      <c r="G188" s="19"/>
      <c r="H188" s="20"/>
      <c r="I188" s="21"/>
      <c r="J188" s="14"/>
      <c r="K188" s="14">
        <f t="shared" si="4"/>
        <v>20</v>
      </c>
      <c r="L188" s="16">
        <f t="shared" si="5"/>
        <v>60</v>
      </c>
      <c r="M188" s="22">
        <v>45748</v>
      </c>
      <c r="N188" s="44" t="s">
        <v>551</v>
      </c>
      <c r="O188" s="23" t="s">
        <v>16</v>
      </c>
      <c r="P188" s="24" t="s">
        <v>17</v>
      </c>
      <c r="Q188" s="28" t="s">
        <v>269</v>
      </c>
    </row>
    <row r="189" spans="1:17">
      <c r="A189" s="14">
        <v>185</v>
      </c>
      <c r="B189" s="15" t="s">
        <v>268</v>
      </c>
      <c r="C189" s="16">
        <f>'Медикаменты Июль'!L186</f>
        <v>20</v>
      </c>
      <c r="D189" s="17"/>
      <c r="E189" s="14"/>
      <c r="F189" s="18"/>
      <c r="G189" s="19"/>
      <c r="H189" s="20"/>
      <c r="I189" s="21"/>
      <c r="J189" s="14"/>
      <c r="K189" s="14">
        <f t="shared" si="4"/>
        <v>0</v>
      </c>
      <c r="L189" s="16">
        <f t="shared" si="5"/>
        <v>20</v>
      </c>
      <c r="M189" s="22">
        <v>45748</v>
      </c>
      <c r="N189" s="44" t="s">
        <v>551</v>
      </c>
      <c r="O189" s="23" t="s">
        <v>26</v>
      </c>
      <c r="P189" s="24" t="s">
        <v>17</v>
      </c>
      <c r="Q189" s="28" t="s">
        <v>269</v>
      </c>
    </row>
    <row r="190" spans="1:17">
      <c r="A190" s="14">
        <v>186</v>
      </c>
      <c r="B190" s="15" t="s">
        <v>601</v>
      </c>
      <c r="C190" s="16">
        <f>'Медикаменты Июль'!L187</f>
        <v>100</v>
      </c>
      <c r="D190" s="17"/>
      <c r="E190" s="14"/>
      <c r="F190" s="18">
        <f>10+5</f>
        <v>15</v>
      </c>
      <c r="G190" s="19"/>
      <c r="H190" s="20"/>
      <c r="I190" s="21"/>
      <c r="J190" s="14"/>
      <c r="K190" s="14">
        <f t="shared" si="4"/>
        <v>15</v>
      </c>
      <c r="L190" s="16">
        <f t="shared" si="5"/>
        <v>85</v>
      </c>
      <c r="M190" s="22">
        <v>45383</v>
      </c>
      <c r="N190" s="44" t="s">
        <v>551</v>
      </c>
      <c r="O190" s="23" t="s">
        <v>16</v>
      </c>
      <c r="P190" s="24" t="s">
        <v>17</v>
      </c>
      <c r="Q190" s="28" t="s">
        <v>602</v>
      </c>
    </row>
    <row r="191" spans="1:17">
      <c r="A191" s="14">
        <v>187</v>
      </c>
      <c r="B191" s="15" t="s">
        <v>270</v>
      </c>
      <c r="C191" s="16">
        <f>'Медикаменты Июль'!L188</f>
        <v>0</v>
      </c>
      <c r="D191" s="17"/>
      <c r="E191" s="14"/>
      <c r="F191" s="18"/>
      <c r="G191" s="19"/>
      <c r="H191" s="20"/>
      <c r="I191" s="21"/>
      <c r="J191" s="14"/>
      <c r="K191" s="14">
        <f t="shared" si="4"/>
        <v>0</v>
      </c>
      <c r="L191" s="16">
        <f t="shared" si="5"/>
        <v>0</v>
      </c>
      <c r="M191" s="22">
        <v>44075</v>
      </c>
      <c r="N191" s="44"/>
      <c r="O191" s="23" t="s">
        <v>16</v>
      </c>
      <c r="P191" s="24"/>
      <c r="Q191" s="28" t="s">
        <v>271</v>
      </c>
    </row>
    <row r="192" spans="1:17">
      <c r="A192" s="14">
        <v>188</v>
      </c>
      <c r="B192" s="15" t="s">
        <v>630</v>
      </c>
      <c r="C192" s="16">
        <f>'Медикаменты Июль'!L189</f>
        <v>9</v>
      </c>
      <c r="D192" s="17"/>
      <c r="E192" s="14"/>
      <c r="F192" s="18">
        <f>3</f>
        <v>3</v>
      </c>
      <c r="G192" s="19"/>
      <c r="H192" s="20"/>
      <c r="I192" s="21"/>
      <c r="J192" s="14"/>
      <c r="K192" s="14">
        <f t="shared" si="4"/>
        <v>3</v>
      </c>
      <c r="L192" s="16">
        <f t="shared" si="5"/>
        <v>6</v>
      </c>
      <c r="M192" s="22">
        <v>45352</v>
      </c>
      <c r="N192" s="44" t="s">
        <v>551</v>
      </c>
      <c r="O192" s="23" t="s">
        <v>16</v>
      </c>
      <c r="P192" s="24" t="s">
        <v>17</v>
      </c>
      <c r="Q192" s="28" t="s">
        <v>273</v>
      </c>
    </row>
    <row r="193" spans="1:17">
      <c r="A193" s="14">
        <v>189</v>
      </c>
      <c r="B193" s="15" t="s">
        <v>274</v>
      </c>
      <c r="C193" s="16">
        <f>'Медикаменты Июль'!L190</f>
        <v>0</v>
      </c>
      <c r="D193" s="17"/>
      <c r="E193" s="14"/>
      <c r="F193" s="18"/>
      <c r="G193" s="19"/>
      <c r="H193" s="20"/>
      <c r="I193" s="21"/>
      <c r="J193" s="14"/>
      <c r="K193" s="14">
        <f t="shared" si="4"/>
        <v>0</v>
      </c>
      <c r="L193" s="16">
        <f t="shared" si="5"/>
        <v>0</v>
      </c>
      <c r="M193" s="22">
        <v>44593</v>
      </c>
      <c r="N193" s="44"/>
      <c r="O193" s="23" t="s">
        <v>16</v>
      </c>
      <c r="P193" s="24"/>
      <c r="Q193" s="28" t="s">
        <v>275</v>
      </c>
    </row>
    <row r="194" spans="1:17">
      <c r="A194" s="14">
        <v>190</v>
      </c>
      <c r="B194" s="15" t="s">
        <v>276</v>
      </c>
      <c r="C194" s="16">
        <f>'Медикаменты Июль'!L191</f>
        <v>0</v>
      </c>
      <c r="D194" s="17"/>
      <c r="E194" s="14"/>
      <c r="F194" s="18"/>
      <c r="G194" s="19"/>
      <c r="H194" s="20"/>
      <c r="I194" s="21"/>
      <c r="J194" s="14"/>
      <c r="K194" s="14">
        <f t="shared" si="4"/>
        <v>0</v>
      </c>
      <c r="L194" s="16">
        <f t="shared" si="5"/>
        <v>0</v>
      </c>
      <c r="M194" s="22"/>
      <c r="N194" s="44"/>
      <c r="O194" s="23" t="s">
        <v>16</v>
      </c>
      <c r="P194" s="24"/>
      <c r="Q194" s="45"/>
    </row>
    <row r="195" spans="1:17">
      <c r="A195" s="14">
        <v>191</v>
      </c>
      <c r="B195" s="15" t="s">
        <v>277</v>
      </c>
      <c r="C195" s="16">
        <f>'Медикаменты Июль'!L192</f>
        <v>12</v>
      </c>
      <c r="D195" s="17"/>
      <c r="E195" s="14"/>
      <c r="F195" s="18"/>
      <c r="G195" s="19"/>
      <c r="H195" s="20"/>
      <c r="I195" s="21"/>
      <c r="J195" s="14"/>
      <c r="K195" s="14">
        <f t="shared" si="4"/>
        <v>0</v>
      </c>
      <c r="L195" s="16">
        <f t="shared" si="5"/>
        <v>12</v>
      </c>
      <c r="M195" s="22">
        <v>44621</v>
      </c>
      <c r="N195" s="44" t="s">
        <v>45</v>
      </c>
      <c r="O195" s="23" t="s">
        <v>16</v>
      </c>
      <c r="P195" s="24" t="s">
        <v>17</v>
      </c>
      <c r="Q195" s="28" t="s">
        <v>278</v>
      </c>
    </row>
    <row r="196" spans="1:17">
      <c r="A196" s="14">
        <v>192</v>
      </c>
      <c r="B196" s="15" t="s">
        <v>279</v>
      </c>
      <c r="C196" s="16">
        <f>'Медикаменты Июль'!L193</f>
        <v>0</v>
      </c>
      <c r="D196" s="17"/>
      <c r="E196" s="14"/>
      <c r="F196" s="18"/>
      <c r="G196" s="19"/>
      <c r="H196" s="20"/>
      <c r="I196" s="21"/>
      <c r="J196" s="14"/>
      <c r="K196" s="14">
        <f t="shared" si="4"/>
        <v>0</v>
      </c>
      <c r="L196" s="16">
        <f t="shared" si="5"/>
        <v>0</v>
      </c>
      <c r="M196" s="22">
        <v>44378</v>
      </c>
      <c r="N196" s="44" t="s">
        <v>45</v>
      </c>
      <c r="O196" s="23" t="s">
        <v>16</v>
      </c>
      <c r="P196" s="24" t="s">
        <v>17</v>
      </c>
      <c r="Q196" s="28" t="s">
        <v>280</v>
      </c>
    </row>
    <row r="197" spans="1:17">
      <c r="A197" s="14">
        <v>193</v>
      </c>
      <c r="B197" s="15" t="s">
        <v>281</v>
      </c>
      <c r="C197" s="16">
        <f>'Медикаменты Июль'!L194</f>
        <v>0</v>
      </c>
      <c r="D197" s="17"/>
      <c r="E197" s="14">
        <f>2+98</f>
        <v>100</v>
      </c>
      <c r="F197" s="18"/>
      <c r="G197" s="19"/>
      <c r="H197" s="20"/>
      <c r="I197" s="21"/>
      <c r="J197" s="14"/>
      <c r="K197" s="14">
        <f t="shared" ref="K197:K260" si="6">SUM(F197:J197)</f>
        <v>0</v>
      </c>
      <c r="L197" s="16">
        <f t="shared" ref="L197:L260" si="7">(C197+E197)-K197</f>
        <v>100</v>
      </c>
      <c r="M197" s="22">
        <v>45200</v>
      </c>
      <c r="N197" s="44" t="s">
        <v>551</v>
      </c>
      <c r="O197" s="23" t="s">
        <v>16</v>
      </c>
      <c r="P197" s="24" t="s">
        <v>17</v>
      </c>
      <c r="Q197" s="28" t="s">
        <v>282</v>
      </c>
    </row>
    <row r="198" spans="1:17">
      <c r="A198" s="14">
        <v>194</v>
      </c>
      <c r="B198" s="15" t="s">
        <v>553</v>
      </c>
      <c r="C198" s="16">
        <f>'Медикаменты Июль'!L195</f>
        <v>12</v>
      </c>
      <c r="D198" s="17"/>
      <c r="E198" s="14"/>
      <c r="F198" s="18">
        <f>10</f>
        <v>10</v>
      </c>
      <c r="G198" s="19"/>
      <c r="H198" s="20"/>
      <c r="I198" s="21"/>
      <c r="J198" s="14"/>
      <c r="K198" s="14">
        <f t="shared" si="6"/>
        <v>10</v>
      </c>
      <c r="L198" s="16">
        <f t="shared" si="7"/>
        <v>2</v>
      </c>
      <c r="M198" s="22">
        <v>44835</v>
      </c>
      <c r="N198" s="44" t="s">
        <v>45</v>
      </c>
      <c r="O198" s="23" t="s">
        <v>16</v>
      </c>
      <c r="P198" s="24" t="s">
        <v>17</v>
      </c>
      <c r="Q198" s="28" t="s">
        <v>554</v>
      </c>
    </row>
    <row r="199" spans="1:17">
      <c r="A199" s="14">
        <v>195</v>
      </c>
      <c r="B199" s="15" t="s">
        <v>283</v>
      </c>
      <c r="C199" s="16">
        <f>'Медикаменты Июль'!L196</f>
        <v>0</v>
      </c>
      <c r="D199" s="17"/>
      <c r="E199" s="14"/>
      <c r="F199" s="18"/>
      <c r="G199" s="19"/>
      <c r="H199" s="20"/>
      <c r="I199" s="21"/>
      <c r="J199" s="14"/>
      <c r="K199" s="14">
        <f t="shared" si="6"/>
        <v>0</v>
      </c>
      <c r="L199" s="16">
        <f t="shared" si="7"/>
        <v>0</v>
      </c>
      <c r="M199" s="22">
        <v>44136</v>
      </c>
      <c r="N199" s="44"/>
      <c r="O199" s="23" t="s">
        <v>16</v>
      </c>
      <c r="P199" s="24"/>
      <c r="Q199" s="28" t="s">
        <v>284</v>
      </c>
    </row>
    <row r="200" spans="1:17">
      <c r="A200" s="14">
        <v>196</v>
      </c>
      <c r="B200" s="15" t="s">
        <v>631</v>
      </c>
      <c r="C200" s="16">
        <f>'Медикаменты Июль'!L197</f>
        <v>0</v>
      </c>
      <c r="D200" s="17"/>
      <c r="E200" s="14">
        <f>2</f>
        <v>2</v>
      </c>
      <c r="F200" s="18"/>
      <c r="G200" s="19"/>
      <c r="H200" s="20"/>
      <c r="I200" s="21"/>
      <c r="J200" s="14"/>
      <c r="K200" s="14">
        <f t="shared" si="6"/>
        <v>0</v>
      </c>
      <c r="L200" s="16">
        <f t="shared" si="7"/>
        <v>2</v>
      </c>
      <c r="M200" s="22">
        <v>45170</v>
      </c>
      <c r="N200" s="44" t="s">
        <v>45</v>
      </c>
      <c r="O200" s="23" t="s">
        <v>16</v>
      </c>
      <c r="P200" s="24" t="s">
        <v>17</v>
      </c>
      <c r="Q200" s="28" t="s">
        <v>632</v>
      </c>
    </row>
    <row r="201" spans="1:17">
      <c r="A201" s="14">
        <v>197</v>
      </c>
      <c r="B201" s="15" t="s">
        <v>603</v>
      </c>
      <c r="C201" s="16">
        <f>'Медикаменты Июль'!L198</f>
        <v>50</v>
      </c>
      <c r="D201" s="17"/>
      <c r="E201" s="14"/>
      <c r="F201" s="18"/>
      <c r="G201" s="19"/>
      <c r="H201" s="20"/>
      <c r="I201" s="21"/>
      <c r="J201" s="14"/>
      <c r="K201" s="14">
        <f t="shared" si="6"/>
        <v>0</v>
      </c>
      <c r="L201" s="16">
        <f t="shared" si="7"/>
        <v>50</v>
      </c>
      <c r="M201" s="22">
        <v>44896</v>
      </c>
      <c r="N201" s="44" t="s">
        <v>551</v>
      </c>
      <c r="O201" s="23" t="s">
        <v>16</v>
      </c>
      <c r="P201" s="24" t="s">
        <v>17</v>
      </c>
      <c r="Q201" s="28" t="s">
        <v>604</v>
      </c>
    </row>
    <row r="202" spans="1:17">
      <c r="A202" s="14">
        <v>198</v>
      </c>
      <c r="B202" s="15" t="s">
        <v>288</v>
      </c>
      <c r="C202" s="16">
        <f>'Медикаменты Июль'!L199</f>
        <v>0</v>
      </c>
      <c r="D202" s="17"/>
      <c r="E202" s="14"/>
      <c r="F202" s="18"/>
      <c r="G202" s="19"/>
      <c r="H202" s="20"/>
      <c r="I202" s="21"/>
      <c r="J202" s="14"/>
      <c r="K202" s="14">
        <f t="shared" si="6"/>
        <v>0</v>
      </c>
      <c r="L202" s="16">
        <f t="shared" si="7"/>
        <v>0</v>
      </c>
      <c r="M202" s="22">
        <v>44105</v>
      </c>
      <c r="N202" s="44"/>
      <c r="O202" s="23" t="s">
        <v>16</v>
      </c>
      <c r="P202" s="24"/>
      <c r="Q202" s="28" t="s">
        <v>289</v>
      </c>
    </row>
    <row r="203" spans="1:17">
      <c r="A203" s="14">
        <v>199</v>
      </c>
      <c r="B203" s="15" t="s">
        <v>290</v>
      </c>
      <c r="C203" s="16">
        <f>'Медикаменты Июль'!L200</f>
        <v>0</v>
      </c>
      <c r="D203" s="17"/>
      <c r="E203" s="14"/>
      <c r="F203" s="18"/>
      <c r="G203" s="19"/>
      <c r="H203" s="20"/>
      <c r="I203" s="21"/>
      <c r="J203" s="14"/>
      <c r="K203" s="14">
        <f t="shared" si="6"/>
        <v>0</v>
      </c>
      <c r="L203" s="16">
        <f t="shared" si="7"/>
        <v>0</v>
      </c>
      <c r="M203" s="22">
        <v>44317</v>
      </c>
      <c r="N203" s="44" t="s">
        <v>45</v>
      </c>
      <c r="O203" s="23" t="s">
        <v>16</v>
      </c>
      <c r="P203" s="24" t="s">
        <v>17</v>
      </c>
      <c r="Q203" s="28" t="s">
        <v>291</v>
      </c>
    </row>
    <row r="204" spans="1:17">
      <c r="A204" s="14">
        <v>200</v>
      </c>
      <c r="B204" s="15" t="s">
        <v>292</v>
      </c>
      <c r="C204" s="16">
        <f>'Медикаменты Июль'!L201</f>
        <v>0</v>
      </c>
      <c r="D204" s="17"/>
      <c r="E204" s="14"/>
      <c r="F204" s="18"/>
      <c r="G204" s="19"/>
      <c r="H204" s="20"/>
      <c r="I204" s="21"/>
      <c r="J204" s="14"/>
      <c r="K204" s="14">
        <f t="shared" si="6"/>
        <v>0</v>
      </c>
      <c r="L204" s="16">
        <f t="shared" si="7"/>
        <v>0</v>
      </c>
      <c r="M204" s="22">
        <v>44197</v>
      </c>
      <c r="N204" s="44"/>
      <c r="O204" s="23" t="s">
        <v>16</v>
      </c>
      <c r="P204" s="24"/>
      <c r="Q204" s="28" t="s">
        <v>293</v>
      </c>
    </row>
    <row r="205" spans="1:17">
      <c r="A205" s="14">
        <v>201</v>
      </c>
      <c r="B205" s="15" t="s">
        <v>292</v>
      </c>
      <c r="C205" s="16">
        <f>'Медикаменты Июль'!L202</f>
        <v>21</v>
      </c>
      <c r="D205" s="17"/>
      <c r="E205" s="14"/>
      <c r="F205" s="18">
        <f>5</f>
        <v>5</v>
      </c>
      <c r="G205" s="19"/>
      <c r="H205" s="20"/>
      <c r="I205" s="21"/>
      <c r="J205" s="14"/>
      <c r="K205" s="14">
        <f t="shared" si="6"/>
        <v>5</v>
      </c>
      <c r="L205" s="16">
        <f t="shared" si="7"/>
        <v>16</v>
      </c>
      <c r="M205" s="22">
        <v>44713</v>
      </c>
      <c r="N205" s="44" t="s">
        <v>45</v>
      </c>
      <c r="O205" s="23" t="s">
        <v>16</v>
      </c>
      <c r="P205" s="24" t="s">
        <v>45</v>
      </c>
      <c r="Q205" s="28" t="s">
        <v>293</v>
      </c>
    </row>
    <row r="206" spans="1:17">
      <c r="A206" s="14">
        <v>202</v>
      </c>
      <c r="B206" s="15" t="s">
        <v>294</v>
      </c>
      <c r="C206" s="16">
        <f>'Медикаменты Июль'!L203</f>
        <v>0</v>
      </c>
      <c r="D206" s="17"/>
      <c r="E206" s="14"/>
      <c r="F206" s="18"/>
      <c r="G206" s="19"/>
      <c r="H206" s="20"/>
      <c r="I206" s="21"/>
      <c r="J206" s="14"/>
      <c r="K206" s="14">
        <f t="shared" si="6"/>
        <v>0</v>
      </c>
      <c r="L206" s="16">
        <f t="shared" si="7"/>
        <v>0</v>
      </c>
      <c r="M206" s="22">
        <v>44409</v>
      </c>
      <c r="N206" s="44" t="s">
        <v>45</v>
      </c>
      <c r="O206" s="23" t="s">
        <v>16</v>
      </c>
      <c r="P206" s="24" t="s">
        <v>45</v>
      </c>
      <c r="Q206" s="28" t="s">
        <v>295</v>
      </c>
    </row>
    <row r="207" spans="1:17">
      <c r="A207" s="14">
        <v>203</v>
      </c>
      <c r="B207" s="15" t="s">
        <v>296</v>
      </c>
      <c r="C207" s="16">
        <f>'Медикаменты Июль'!L204</f>
        <v>0</v>
      </c>
      <c r="D207" s="17"/>
      <c r="E207" s="14"/>
      <c r="F207" s="18"/>
      <c r="G207" s="19"/>
      <c r="H207" s="20"/>
      <c r="I207" s="21"/>
      <c r="J207" s="14"/>
      <c r="K207" s="14">
        <f t="shared" si="6"/>
        <v>0</v>
      </c>
      <c r="L207" s="16">
        <f t="shared" si="7"/>
        <v>0</v>
      </c>
      <c r="M207" s="22"/>
      <c r="N207" s="44"/>
      <c r="O207" s="23" t="s">
        <v>16</v>
      </c>
      <c r="P207" s="24"/>
      <c r="Q207" s="45"/>
    </row>
    <row r="208" spans="1:17">
      <c r="A208" s="14">
        <v>204</v>
      </c>
      <c r="B208" s="15" t="s">
        <v>297</v>
      </c>
      <c r="C208" s="16">
        <f>'Медикаменты Июль'!L205</f>
        <v>0</v>
      </c>
      <c r="D208" s="17"/>
      <c r="E208" s="14"/>
      <c r="F208" s="18"/>
      <c r="G208" s="19"/>
      <c r="H208" s="20"/>
      <c r="I208" s="21"/>
      <c r="J208" s="14"/>
      <c r="K208" s="14">
        <f t="shared" si="6"/>
        <v>0</v>
      </c>
      <c r="L208" s="16">
        <f t="shared" si="7"/>
        <v>0</v>
      </c>
      <c r="M208" s="22"/>
      <c r="N208" s="44"/>
      <c r="O208" s="23" t="s">
        <v>16</v>
      </c>
      <c r="P208" s="24"/>
      <c r="Q208" s="45"/>
    </row>
    <row r="209" spans="1:17" ht="25.5">
      <c r="A209" s="14">
        <v>205</v>
      </c>
      <c r="B209" s="15" t="s">
        <v>298</v>
      </c>
      <c r="C209" s="16">
        <f>'Медикаменты Июль'!L206</f>
        <v>0</v>
      </c>
      <c r="D209" s="17"/>
      <c r="E209" s="14"/>
      <c r="F209" s="18"/>
      <c r="G209" s="19"/>
      <c r="H209" s="20"/>
      <c r="I209" s="21"/>
      <c r="J209" s="14"/>
      <c r="K209" s="14">
        <f t="shared" si="6"/>
        <v>0</v>
      </c>
      <c r="L209" s="16">
        <f t="shared" si="7"/>
        <v>0</v>
      </c>
      <c r="M209" s="22">
        <v>44593</v>
      </c>
      <c r="N209" s="44"/>
      <c r="O209" s="23" t="s">
        <v>26</v>
      </c>
      <c r="P209" s="24"/>
      <c r="Q209" s="28"/>
    </row>
    <row r="210" spans="1:17">
      <c r="A210" s="14">
        <v>206</v>
      </c>
      <c r="B210" s="15" t="s">
        <v>299</v>
      </c>
      <c r="C210" s="16">
        <f>'Медикаменты Июль'!L207</f>
        <v>0</v>
      </c>
      <c r="D210" s="17"/>
      <c r="E210" s="14"/>
      <c r="F210" s="18"/>
      <c r="G210" s="19"/>
      <c r="H210" s="20"/>
      <c r="I210" s="21"/>
      <c r="J210" s="14"/>
      <c r="K210" s="14">
        <f t="shared" si="6"/>
        <v>0</v>
      </c>
      <c r="L210" s="16">
        <f t="shared" si="7"/>
        <v>0</v>
      </c>
      <c r="M210" s="22">
        <v>44256</v>
      </c>
      <c r="N210" s="44"/>
      <c r="O210" s="23" t="s">
        <v>16</v>
      </c>
      <c r="P210" s="24"/>
      <c r="Q210" s="28" t="s">
        <v>300</v>
      </c>
    </row>
    <row r="211" spans="1:17">
      <c r="A211" s="14">
        <v>207</v>
      </c>
      <c r="B211" s="15" t="s">
        <v>301</v>
      </c>
      <c r="C211" s="16">
        <f>'Медикаменты Июль'!L208</f>
        <v>0</v>
      </c>
      <c r="D211" s="17"/>
      <c r="E211" s="14"/>
      <c r="F211" s="18"/>
      <c r="G211" s="19"/>
      <c r="H211" s="20"/>
      <c r="I211" s="21"/>
      <c r="J211" s="14"/>
      <c r="K211" s="14">
        <f t="shared" si="6"/>
        <v>0</v>
      </c>
      <c r="L211" s="16">
        <f t="shared" si="7"/>
        <v>0</v>
      </c>
      <c r="M211" s="22"/>
      <c r="N211" s="44"/>
      <c r="O211" s="23" t="s">
        <v>16</v>
      </c>
      <c r="P211" s="24"/>
      <c r="Q211" s="45"/>
    </row>
    <row r="212" spans="1:17">
      <c r="A212" s="14">
        <v>208</v>
      </c>
      <c r="B212" s="15" t="s">
        <v>559</v>
      </c>
      <c r="C212" s="16">
        <f>'Медикаменты Июль'!L209</f>
        <v>15</v>
      </c>
      <c r="D212" s="17"/>
      <c r="E212" s="14"/>
      <c r="F212" s="18"/>
      <c r="G212" s="19"/>
      <c r="H212" s="20">
        <f>10</f>
        <v>10</v>
      </c>
      <c r="I212" s="21"/>
      <c r="J212" s="14"/>
      <c r="K212" s="14">
        <f t="shared" si="6"/>
        <v>10</v>
      </c>
      <c r="L212" s="16">
        <f t="shared" si="7"/>
        <v>5</v>
      </c>
      <c r="M212" s="22">
        <v>45352</v>
      </c>
      <c r="N212" s="44" t="s">
        <v>551</v>
      </c>
      <c r="O212" s="23" t="s">
        <v>16</v>
      </c>
      <c r="P212" s="24" t="s">
        <v>17</v>
      </c>
      <c r="Q212" s="28" t="s">
        <v>560</v>
      </c>
    </row>
    <row r="213" spans="1:17">
      <c r="A213" s="14">
        <v>209</v>
      </c>
      <c r="B213" s="15" t="s">
        <v>303</v>
      </c>
      <c r="C213" s="16">
        <f>'Медикаменты Июль'!L210</f>
        <v>0</v>
      </c>
      <c r="D213" s="17"/>
      <c r="E213" s="14"/>
      <c r="F213" s="18"/>
      <c r="G213" s="19"/>
      <c r="H213" s="20"/>
      <c r="I213" s="21"/>
      <c r="J213" s="14"/>
      <c r="K213" s="14">
        <f t="shared" si="6"/>
        <v>0</v>
      </c>
      <c r="L213" s="16">
        <f t="shared" si="7"/>
        <v>0</v>
      </c>
      <c r="M213" s="22"/>
      <c r="N213" s="44"/>
      <c r="O213" s="23" t="s">
        <v>16</v>
      </c>
      <c r="P213" s="24"/>
      <c r="Q213" s="45"/>
    </row>
    <row r="214" spans="1:17">
      <c r="A214" s="14">
        <v>210</v>
      </c>
      <c r="B214" s="15" t="s">
        <v>304</v>
      </c>
      <c r="C214" s="16">
        <f>'Медикаменты Июль'!L211</f>
        <v>0</v>
      </c>
      <c r="D214" s="17"/>
      <c r="E214" s="14"/>
      <c r="F214" s="18"/>
      <c r="G214" s="19"/>
      <c r="H214" s="20"/>
      <c r="I214" s="21"/>
      <c r="J214" s="14"/>
      <c r="K214" s="14">
        <f t="shared" si="6"/>
        <v>0</v>
      </c>
      <c r="L214" s="16">
        <f t="shared" si="7"/>
        <v>0</v>
      </c>
      <c r="M214" s="22">
        <v>45261</v>
      </c>
      <c r="N214" s="44"/>
      <c r="O214" s="23" t="s">
        <v>16</v>
      </c>
      <c r="P214" s="24"/>
      <c r="Q214" s="28" t="s">
        <v>305</v>
      </c>
    </row>
    <row r="215" spans="1:17">
      <c r="A215" s="14">
        <v>211</v>
      </c>
      <c r="B215" s="15" t="s">
        <v>304</v>
      </c>
      <c r="C215" s="16">
        <f>'Медикаменты Июль'!L212</f>
        <v>0</v>
      </c>
      <c r="D215" s="17"/>
      <c r="E215" s="14"/>
      <c r="F215" s="18"/>
      <c r="G215" s="19"/>
      <c r="H215" s="20"/>
      <c r="I215" s="21"/>
      <c r="J215" s="14"/>
      <c r="K215" s="14">
        <f t="shared" si="6"/>
        <v>0</v>
      </c>
      <c r="L215" s="16">
        <f t="shared" si="7"/>
        <v>0</v>
      </c>
      <c r="M215" s="22">
        <v>45413</v>
      </c>
      <c r="N215" s="44" t="s">
        <v>45</v>
      </c>
      <c r="O215" s="23" t="s">
        <v>26</v>
      </c>
      <c r="P215" s="24" t="s">
        <v>17</v>
      </c>
      <c r="Q215" s="28" t="s">
        <v>305</v>
      </c>
    </row>
    <row r="216" spans="1:17">
      <c r="A216" s="14">
        <v>212</v>
      </c>
      <c r="B216" s="15" t="s">
        <v>561</v>
      </c>
      <c r="C216" s="16">
        <f>'Медикаменты Июль'!L213</f>
        <v>0</v>
      </c>
      <c r="D216" s="17"/>
      <c r="E216" s="14"/>
      <c r="F216" s="18"/>
      <c r="G216" s="19"/>
      <c r="H216" s="20"/>
      <c r="I216" s="21"/>
      <c r="J216" s="14"/>
      <c r="K216" s="14">
        <f t="shared" si="6"/>
        <v>0</v>
      </c>
      <c r="L216" s="16">
        <f t="shared" si="7"/>
        <v>0</v>
      </c>
      <c r="M216" s="22">
        <v>45689</v>
      </c>
      <c r="N216" s="44" t="s">
        <v>551</v>
      </c>
      <c r="O216" s="23" t="s">
        <v>26</v>
      </c>
      <c r="P216" s="24" t="s">
        <v>17</v>
      </c>
      <c r="Q216" s="28" t="s">
        <v>562</v>
      </c>
    </row>
    <row r="217" spans="1:17">
      <c r="A217" s="14">
        <v>213</v>
      </c>
      <c r="B217" s="15" t="s">
        <v>563</v>
      </c>
      <c r="C217" s="16">
        <f>'Медикаменты Июль'!L214</f>
        <v>76</v>
      </c>
      <c r="D217" s="17"/>
      <c r="E217" s="14"/>
      <c r="F217" s="18">
        <f>6+4</f>
        <v>10</v>
      </c>
      <c r="G217" s="19"/>
      <c r="H217" s="20">
        <f>1</f>
        <v>1</v>
      </c>
      <c r="I217" s="21"/>
      <c r="J217" s="14"/>
      <c r="K217" s="14">
        <f t="shared" si="6"/>
        <v>11</v>
      </c>
      <c r="L217" s="16">
        <f t="shared" si="7"/>
        <v>65</v>
      </c>
      <c r="M217" s="22">
        <v>46023</v>
      </c>
      <c r="N217" s="44" t="s">
        <v>551</v>
      </c>
      <c r="O217" s="23" t="s">
        <v>16</v>
      </c>
      <c r="P217" s="24" t="s">
        <v>17</v>
      </c>
      <c r="Q217" s="28" t="s">
        <v>564</v>
      </c>
    </row>
    <row r="218" spans="1:17">
      <c r="A218" s="14">
        <v>214</v>
      </c>
      <c r="B218" s="15" t="s">
        <v>306</v>
      </c>
      <c r="C218" s="16">
        <f>'Медикаменты Июль'!L215</f>
        <v>0</v>
      </c>
      <c r="D218" s="17"/>
      <c r="E218" s="14"/>
      <c r="F218" s="18"/>
      <c r="G218" s="19"/>
      <c r="H218" s="20"/>
      <c r="I218" s="21"/>
      <c r="J218" s="14"/>
      <c r="K218" s="14">
        <f t="shared" si="6"/>
        <v>0</v>
      </c>
      <c r="L218" s="16">
        <f t="shared" si="7"/>
        <v>0</v>
      </c>
      <c r="M218" s="22"/>
      <c r="N218" s="44"/>
      <c r="O218" s="23" t="s">
        <v>16</v>
      </c>
      <c r="P218" s="24"/>
      <c r="Q218" s="45"/>
    </row>
    <row r="219" spans="1:17">
      <c r="A219" s="14">
        <v>215</v>
      </c>
      <c r="B219" s="15" t="s">
        <v>307</v>
      </c>
      <c r="C219" s="16">
        <f>'Медикаменты Июль'!L216</f>
        <v>0</v>
      </c>
      <c r="D219" s="17"/>
      <c r="E219" s="14"/>
      <c r="F219" s="18"/>
      <c r="G219" s="19"/>
      <c r="H219" s="20"/>
      <c r="I219" s="21"/>
      <c r="J219" s="14"/>
      <c r="K219" s="14">
        <f t="shared" si="6"/>
        <v>0</v>
      </c>
      <c r="L219" s="16">
        <f t="shared" si="7"/>
        <v>0</v>
      </c>
      <c r="M219" s="22"/>
      <c r="N219" s="44"/>
      <c r="O219" s="23" t="s">
        <v>16</v>
      </c>
      <c r="P219" s="24"/>
      <c r="Q219" s="45"/>
    </row>
    <row r="220" spans="1:17">
      <c r="A220" s="14">
        <v>216</v>
      </c>
      <c r="B220" s="15" t="s">
        <v>308</v>
      </c>
      <c r="C220" s="16">
        <f>'Медикаменты Июль'!L217</f>
        <v>52</v>
      </c>
      <c r="D220" s="17"/>
      <c r="E220" s="14"/>
      <c r="F220" s="18"/>
      <c r="G220" s="19"/>
      <c r="H220" s="20"/>
      <c r="I220" s="21"/>
      <c r="J220" s="14"/>
      <c r="K220" s="14">
        <f t="shared" si="6"/>
        <v>0</v>
      </c>
      <c r="L220" s="16">
        <f t="shared" si="7"/>
        <v>52</v>
      </c>
      <c r="M220" s="22">
        <v>45200</v>
      </c>
      <c r="N220" s="44" t="s">
        <v>551</v>
      </c>
      <c r="O220" s="23" t="s">
        <v>16</v>
      </c>
      <c r="P220" s="24" t="s">
        <v>17</v>
      </c>
      <c r="Q220" s="28" t="s">
        <v>309</v>
      </c>
    </row>
    <row r="221" spans="1:17">
      <c r="A221" s="14">
        <v>217</v>
      </c>
      <c r="B221" s="15" t="s">
        <v>308</v>
      </c>
      <c r="C221" s="16">
        <f>'Медикаменты Июль'!L218</f>
        <v>0</v>
      </c>
      <c r="D221" s="17"/>
      <c r="E221" s="14"/>
      <c r="F221" s="18"/>
      <c r="G221" s="19"/>
      <c r="H221" s="20"/>
      <c r="I221" s="21"/>
      <c r="J221" s="14"/>
      <c r="K221" s="14">
        <f t="shared" si="6"/>
        <v>0</v>
      </c>
      <c r="L221" s="16">
        <f t="shared" si="7"/>
        <v>0</v>
      </c>
      <c r="M221" s="22">
        <v>45200</v>
      </c>
      <c r="N221" s="44" t="s">
        <v>551</v>
      </c>
      <c r="O221" s="23" t="s">
        <v>26</v>
      </c>
      <c r="P221" s="24" t="s">
        <v>17</v>
      </c>
      <c r="Q221" s="28" t="s">
        <v>309</v>
      </c>
    </row>
    <row r="222" spans="1:17">
      <c r="A222" s="14">
        <v>218</v>
      </c>
      <c r="B222" s="15" t="s">
        <v>310</v>
      </c>
      <c r="C222" s="16">
        <f>'Медикаменты Июль'!L219</f>
        <v>9</v>
      </c>
      <c r="D222" s="17"/>
      <c r="E222" s="14"/>
      <c r="F222" s="18"/>
      <c r="G222" s="19"/>
      <c r="H222" s="20"/>
      <c r="I222" s="21"/>
      <c r="J222" s="14"/>
      <c r="K222" s="14">
        <f t="shared" si="6"/>
        <v>0</v>
      </c>
      <c r="L222" s="16">
        <f t="shared" si="7"/>
        <v>9</v>
      </c>
      <c r="M222" s="22">
        <v>44652</v>
      </c>
      <c r="N222" s="44" t="s">
        <v>45</v>
      </c>
      <c r="O222" s="23" t="s">
        <v>16</v>
      </c>
      <c r="P222" s="24" t="s">
        <v>17</v>
      </c>
      <c r="Q222" s="28" t="s">
        <v>311</v>
      </c>
    </row>
    <row r="223" spans="1:17">
      <c r="A223" s="14">
        <v>219</v>
      </c>
      <c r="B223" s="15" t="s">
        <v>310</v>
      </c>
      <c r="C223" s="16">
        <f>'Медикаменты Июль'!L220</f>
        <v>0</v>
      </c>
      <c r="D223" s="17"/>
      <c r="E223" s="14"/>
      <c r="F223" s="18"/>
      <c r="G223" s="19"/>
      <c r="H223" s="20"/>
      <c r="I223" s="21"/>
      <c r="J223" s="14"/>
      <c r="K223" s="14">
        <f t="shared" si="6"/>
        <v>0</v>
      </c>
      <c r="L223" s="16">
        <f t="shared" si="7"/>
        <v>0</v>
      </c>
      <c r="M223" s="22">
        <v>44652</v>
      </c>
      <c r="N223" s="44"/>
      <c r="O223" s="23" t="s">
        <v>26</v>
      </c>
      <c r="P223" s="24"/>
      <c r="Q223" s="28" t="s">
        <v>311</v>
      </c>
    </row>
    <row r="224" spans="1:17">
      <c r="A224" s="14">
        <v>220</v>
      </c>
      <c r="B224" s="15" t="s">
        <v>312</v>
      </c>
      <c r="C224" s="16">
        <f>'Медикаменты Июль'!L221</f>
        <v>0</v>
      </c>
      <c r="D224" s="17"/>
      <c r="E224" s="14"/>
      <c r="F224" s="18"/>
      <c r="G224" s="19"/>
      <c r="H224" s="20"/>
      <c r="I224" s="21"/>
      <c r="J224" s="14"/>
      <c r="K224" s="14">
        <f t="shared" si="6"/>
        <v>0</v>
      </c>
      <c r="L224" s="16">
        <f t="shared" si="7"/>
        <v>0</v>
      </c>
      <c r="M224" s="22">
        <v>45658</v>
      </c>
      <c r="N224" s="44"/>
      <c r="O224" s="23" t="s">
        <v>16</v>
      </c>
      <c r="P224" s="24"/>
      <c r="Q224" s="28" t="s">
        <v>313</v>
      </c>
    </row>
    <row r="225" spans="1:17">
      <c r="A225" s="14">
        <v>221</v>
      </c>
      <c r="B225" s="15" t="s">
        <v>312</v>
      </c>
      <c r="C225" s="16">
        <f>'Медикаменты Июль'!L222</f>
        <v>0</v>
      </c>
      <c r="D225" s="17"/>
      <c r="E225" s="14"/>
      <c r="F225" s="18"/>
      <c r="G225" s="19"/>
      <c r="H225" s="20"/>
      <c r="I225" s="21"/>
      <c r="J225" s="14"/>
      <c r="K225" s="14">
        <f t="shared" si="6"/>
        <v>0</v>
      </c>
      <c r="L225" s="16">
        <f t="shared" si="7"/>
        <v>0</v>
      </c>
      <c r="M225" s="22">
        <v>45658</v>
      </c>
      <c r="N225" s="44"/>
      <c r="O225" s="23" t="s">
        <v>26</v>
      </c>
      <c r="P225" s="24"/>
      <c r="Q225" s="28" t="s">
        <v>313</v>
      </c>
    </row>
    <row r="226" spans="1:17">
      <c r="A226" s="14">
        <v>222</v>
      </c>
      <c r="B226" s="15" t="s">
        <v>314</v>
      </c>
      <c r="C226" s="16">
        <f>'Медикаменты Июль'!L223</f>
        <v>0</v>
      </c>
      <c r="D226" s="17"/>
      <c r="E226" s="14"/>
      <c r="F226" s="18"/>
      <c r="G226" s="19"/>
      <c r="H226" s="20"/>
      <c r="I226" s="21"/>
      <c r="J226" s="14"/>
      <c r="K226" s="14">
        <f t="shared" si="6"/>
        <v>0</v>
      </c>
      <c r="L226" s="16">
        <f t="shared" si="7"/>
        <v>0</v>
      </c>
      <c r="M226" s="22">
        <v>44562</v>
      </c>
      <c r="N226" s="44"/>
      <c r="O226" s="23" t="s">
        <v>16</v>
      </c>
      <c r="P226" s="24"/>
      <c r="Q226" s="28" t="s">
        <v>315</v>
      </c>
    </row>
    <row r="227" spans="1:17">
      <c r="A227" s="14">
        <v>223</v>
      </c>
      <c r="B227" s="15" t="s">
        <v>316</v>
      </c>
      <c r="C227" s="16">
        <f>'Медикаменты Июль'!L224</f>
        <v>0</v>
      </c>
      <c r="D227" s="17"/>
      <c r="E227" s="14"/>
      <c r="F227" s="18"/>
      <c r="G227" s="19"/>
      <c r="H227" s="20"/>
      <c r="I227" s="21"/>
      <c r="J227" s="14"/>
      <c r="K227" s="14">
        <f t="shared" si="6"/>
        <v>0</v>
      </c>
      <c r="L227" s="16">
        <f t="shared" si="7"/>
        <v>0</v>
      </c>
      <c r="M227" s="22"/>
      <c r="N227" s="44"/>
      <c r="O227" s="23" t="s">
        <v>16</v>
      </c>
      <c r="P227" s="24"/>
      <c r="Q227" s="45"/>
    </row>
    <row r="228" spans="1:17">
      <c r="A228" s="14">
        <v>224</v>
      </c>
      <c r="B228" s="29" t="s">
        <v>317</v>
      </c>
      <c r="C228" s="16">
        <f>'Медикаменты Июль'!L225</f>
        <v>0</v>
      </c>
      <c r="D228" s="17"/>
      <c r="E228" s="14"/>
      <c r="F228" s="18"/>
      <c r="G228" s="19"/>
      <c r="H228" s="20"/>
      <c r="I228" s="21"/>
      <c r="J228" s="14"/>
      <c r="K228" s="14">
        <f t="shared" si="6"/>
        <v>0</v>
      </c>
      <c r="L228" s="16">
        <f t="shared" si="7"/>
        <v>0</v>
      </c>
      <c r="M228" s="22"/>
      <c r="N228" s="44"/>
      <c r="O228" s="23" t="s">
        <v>16</v>
      </c>
      <c r="P228" s="24"/>
      <c r="Q228" s="45"/>
    </row>
    <row r="229" spans="1:17">
      <c r="A229" s="14">
        <v>225</v>
      </c>
      <c r="B229" s="29" t="s">
        <v>605</v>
      </c>
      <c r="C229" s="16">
        <f>'Медикаменты Июль'!L226</f>
        <v>20</v>
      </c>
      <c r="D229" s="17"/>
      <c r="E229" s="14"/>
      <c r="F229" s="18"/>
      <c r="G229" s="19"/>
      <c r="H229" s="20"/>
      <c r="I229" s="21"/>
      <c r="J229" s="14"/>
      <c r="K229" s="14">
        <f t="shared" si="6"/>
        <v>0</v>
      </c>
      <c r="L229" s="16">
        <f t="shared" si="7"/>
        <v>20</v>
      </c>
      <c r="M229" s="22">
        <v>44896</v>
      </c>
      <c r="N229" s="44" t="s">
        <v>551</v>
      </c>
      <c r="O229" s="23" t="s">
        <v>16</v>
      </c>
      <c r="P229" s="24" t="s">
        <v>17</v>
      </c>
      <c r="Q229" s="28" t="s">
        <v>606</v>
      </c>
    </row>
    <row r="230" spans="1:17">
      <c r="A230" s="14">
        <v>226</v>
      </c>
      <c r="B230" s="29" t="s">
        <v>319</v>
      </c>
      <c r="C230" s="16">
        <f>'Медикаменты Июль'!L227</f>
        <v>0</v>
      </c>
      <c r="D230" s="17"/>
      <c r="E230" s="14"/>
      <c r="F230" s="18"/>
      <c r="G230" s="19"/>
      <c r="H230" s="20"/>
      <c r="I230" s="21"/>
      <c r="J230" s="14"/>
      <c r="K230" s="14">
        <f t="shared" si="6"/>
        <v>0</v>
      </c>
      <c r="L230" s="16">
        <f t="shared" si="7"/>
        <v>0</v>
      </c>
      <c r="M230" s="22"/>
      <c r="N230" s="44"/>
      <c r="O230" s="23" t="s">
        <v>16</v>
      </c>
      <c r="P230" s="24"/>
      <c r="Q230" s="45"/>
    </row>
    <row r="231" spans="1:17">
      <c r="A231" s="14">
        <v>227</v>
      </c>
      <c r="B231" s="29" t="s">
        <v>320</v>
      </c>
      <c r="C231" s="16">
        <f>'Медикаменты Июль'!L228</f>
        <v>0</v>
      </c>
      <c r="D231" s="17"/>
      <c r="E231" s="14">
        <f>50</f>
        <v>50</v>
      </c>
      <c r="F231" s="18"/>
      <c r="G231" s="19"/>
      <c r="H231" s="20"/>
      <c r="I231" s="21"/>
      <c r="J231" s="14"/>
      <c r="K231" s="14">
        <f t="shared" si="6"/>
        <v>0</v>
      </c>
      <c r="L231" s="16">
        <f t="shared" si="7"/>
        <v>50</v>
      </c>
      <c r="M231" s="22">
        <v>44958</v>
      </c>
      <c r="N231" s="44" t="s">
        <v>551</v>
      </c>
      <c r="O231" s="23" t="s">
        <v>16</v>
      </c>
      <c r="P231" s="24" t="s">
        <v>17</v>
      </c>
      <c r="Q231" s="28" t="s">
        <v>321</v>
      </c>
    </row>
    <row r="232" spans="1:17">
      <c r="A232" s="14">
        <v>228</v>
      </c>
      <c r="B232" s="29" t="s">
        <v>320</v>
      </c>
      <c r="C232" s="16"/>
      <c r="D232" s="17"/>
      <c r="E232" s="14">
        <f>10</f>
        <v>10</v>
      </c>
      <c r="F232" s="18"/>
      <c r="G232" s="19"/>
      <c r="H232" s="20"/>
      <c r="I232" s="21"/>
      <c r="J232" s="14"/>
      <c r="K232" s="14">
        <f t="shared" si="6"/>
        <v>0</v>
      </c>
      <c r="L232" s="16">
        <f t="shared" si="7"/>
        <v>10</v>
      </c>
      <c r="M232" s="22">
        <v>44958</v>
      </c>
      <c r="N232" s="44" t="s">
        <v>551</v>
      </c>
      <c r="O232" s="23" t="s">
        <v>26</v>
      </c>
      <c r="P232" s="24" t="s">
        <v>17</v>
      </c>
      <c r="Q232" s="28" t="s">
        <v>321</v>
      </c>
    </row>
    <row r="233" spans="1:17">
      <c r="A233" s="14">
        <v>229</v>
      </c>
      <c r="B233" s="29" t="s">
        <v>322</v>
      </c>
      <c r="C233" s="16">
        <f>'Медикаменты Июль'!L229</f>
        <v>0</v>
      </c>
      <c r="D233" s="17"/>
      <c r="E233" s="14"/>
      <c r="F233" s="18"/>
      <c r="G233" s="19"/>
      <c r="H233" s="20"/>
      <c r="I233" s="21"/>
      <c r="J233" s="14"/>
      <c r="K233" s="14">
        <f t="shared" si="6"/>
        <v>0</v>
      </c>
      <c r="L233" s="16">
        <f t="shared" si="7"/>
        <v>0</v>
      </c>
      <c r="M233" s="22"/>
      <c r="N233" s="44"/>
      <c r="O233" s="23" t="s">
        <v>16</v>
      </c>
      <c r="P233" s="24"/>
      <c r="Q233" s="45"/>
    </row>
    <row r="234" spans="1:17">
      <c r="A234" s="14">
        <v>230</v>
      </c>
      <c r="B234" s="29" t="s">
        <v>323</v>
      </c>
      <c r="C234" s="16">
        <f>'Медикаменты Июль'!L230</f>
        <v>0</v>
      </c>
      <c r="D234" s="17"/>
      <c r="E234" s="14"/>
      <c r="F234" s="18"/>
      <c r="G234" s="19"/>
      <c r="H234" s="20"/>
      <c r="I234" s="21"/>
      <c r="J234" s="14"/>
      <c r="K234" s="14">
        <f t="shared" si="6"/>
        <v>0</v>
      </c>
      <c r="L234" s="16">
        <f t="shared" si="7"/>
        <v>0</v>
      </c>
      <c r="M234" s="22"/>
      <c r="N234" s="44"/>
      <c r="O234" s="23" t="s">
        <v>16</v>
      </c>
      <c r="P234" s="24"/>
      <c r="Q234" s="45"/>
    </row>
    <row r="235" spans="1:17" ht="25.5">
      <c r="A235" s="14">
        <v>231</v>
      </c>
      <c r="B235" s="29" t="s">
        <v>607</v>
      </c>
      <c r="C235" s="16">
        <f>'Медикаменты Июль'!L231</f>
        <v>20</v>
      </c>
      <c r="D235" s="17"/>
      <c r="E235" s="14"/>
      <c r="F235" s="18">
        <f>6</f>
        <v>6</v>
      </c>
      <c r="G235" s="19"/>
      <c r="H235" s="20"/>
      <c r="I235" s="21"/>
      <c r="J235" s="14"/>
      <c r="K235" s="14">
        <f t="shared" si="6"/>
        <v>6</v>
      </c>
      <c r="L235" s="16">
        <f t="shared" si="7"/>
        <v>14</v>
      </c>
      <c r="M235" s="22">
        <v>44896</v>
      </c>
      <c r="N235" s="44" t="s">
        <v>551</v>
      </c>
      <c r="O235" s="23" t="s">
        <v>16</v>
      </c>
      <c r="P235" s="24" t="s">
        <v>17</v>
      </c>
      <c r="Q235" s="28" t="s">
        <v>608</v>
      </c>
    </row>
    <row r="236" spans="1:17">
      <c r="A236" s="14">
        <v>232</v>
      </c>
      <c r="B236" s="29" t="s">
        <v>555</v>
      </c>
      <c r="C236" s="16">
        <f>'Медикаменты Июль'!L232</f>
        <v>0</v>
      </c>
      <c r="D236" s="17"/>
      <c r="E236" s="14">
        <f>200</f>
        <v>200</v>
      </c>
      <c r="F236" s="18"/>
      <c r="G236" s="19"/>
      <c r="H236" s="20"/>
      <c r="I236" s="21"/>
      <c r="J236" s="14"/>
      <c r="K236" s="14">
        <f t="shared" si="6"/>
        <v>0</v>
      </c>
      <c r="L236" s="16">
        <f t="shared" si="7"/>
        <v>200</v>
      </c>
      <c r="M236" s="22">
        <v>45383</v>
      </c>
      <c r="N236" s="44" t="s">
        <v>551</v>
      </c>
      <c r="O236" s="23" t="s">
        <v>16</v>
      </c>
      <c r="P236" s="24" t="s">
        <v>17</v>
      </c>
      <c r="Q236" s="28" t="s">
        <v>325</v>
      </c>
    </row>
    <row r="237" spans="1:17">
      <c r="A237" s="14">
        <v>233</v>
      </c>
      <c r="B237" s="29" t="s">
        <v>326</v>
      </c>
      <c r="C237" s="16">
        <f>'Медикаменты Июль'!L233</f>
        <v>0</v>
      </c>
      <c r="D237" s="17"/>
      <c r="E237" s="14"/>
      <c r="F237" s="18"/>
      <c r="G237" s="19"/>
      <c r="H237" s="20"/>
      <c r="I237" s="21"/>
      <c r="J237" s="14"/>
      <c r="K237" s="14">
        <f t="shared" si="6"/>
        <v>0</v>
      </c>
      <c r="L237" s="16">
        <f t="shared" si="7"/>
        <v>0</v>
      </c>
      <c r="M237" s="22"/>
      <c r="N237" s="44"/>
      <c r="O237" s="23" t="s">
        <v>16</v>
      </c>
      <c r="P237" s="24"/>
      <c r="Q237" s="45"/>
    </row>
    <row r="238" spans="1:17">
      <c r="A238" s="14">
        <v>234</v>
      </c>
      <c r="B238" s="29" t="s">
        <v>327</v>
      </c>
      <c r="C238" s="16">
        <f>'Медикаменты Июль'!L234</f>
        <v>0</v>
      </c>
      <c r="D238" s="17"/>
      <c r="E238" s="14">
        <f>200</f>
        <v>200</v>
      </c>
      <c r="F238" s="18">
        <f>15</f>
        <v>15</v>
      </c>
      <c r="G238" s="19"/>
      <c r="H238" s="20"/>
      <c r="I238" s="21"/>
      <c r="J238" s="14"/>
      <c r="K238" s="14">
        <f t="shared" si="6"/>
        <v>15</v>
      </c>
      <c r="L238" s="16">
        <f t="shared" si="7"/>
        <v>185</v>
      </c>
      <c r="M238" s="22">
        <v>45231</v>
      </c>
      <c r="N238" s="44" t="s">
        <v>551</v>
      </c>
      <c r="O238" s="23" t="s">
        <v>16</v>
      </c>
      <c r="P238" s="24" t="s">
        <v>17</v>
      </c>
      <c r="Q238" s="28" t="s">
        <v>328</v>
      </c>
    </row>
    <row r="239" spans="1:17">
      <c r="A239" s="14">
        <v>235</v>
      </c>
      <c r="B239" s="29" t="s">
        <v>327</v>
      </c>
      <c r="C239" s="16">
        <f>'Медикаменты Июль'!L235</f>
        <v>0</v>
      </c>
      <c r="D239" s="17"/>
      <c r="E239" s="14"/>
      <c r="F239" s="18"/>
      <c r="G239" s="19"/>
      <c r="H239" s="20"/>
      <c r="I239" s="21"/>
      <c r="J239" s="14"/>
      <c r="K239" s="14">
        <f t="shared" si="6"/>
        <v>0</v>
      </c>
      <c r="L239" s="16">
        <f t="shared" si="7"/>
        <v>0</v>
      </c>
      <c r="M239" s="22">
        <v>44743</v>
      </c>
      <c r="N239" s="44"/>
      <c r="O239" s="23" t="s">
        <v>16</v>
      </c>
      <c r="P239" s="24" t="s">
        <v>17</v>
      </c>
      <c r="Q239" s="28" t="s">
        <v>328</v>
      </c>
    </row>
    <row r="240" spans="1:17">
      <c r="A240" s="14">
        <v>236</v>
      </c>
      <c r="B240" s="29" t="s">
        <v>327</v>
      </c>
      <c r="C240" s="16">
        <f>'Медикаменты Июль'!L236</f>
        <v>0</v>
      </c>
      <c r="D240" s="17"/>
      <c r="E240" s="14"/>
      <c r="F240" s="18"/>
      <c r="G240" s="19"/>
      <c r="H240" s="20"/>
      <c r="I240" s="21"/>
      <c r="J240" s="14"/>
      <c r="K240" s="14">
        <f t="shared" si="6"/>
        <v>0</v>
      </c>
      <c r="L240" s="16">
        <f t="shared" si="7"/>
        <v>0</v>
      </c>
      <c r="M240" s="22">
        <v>44774</v>
      </c>
      <c r="N240" s="44" t="s">
        <v>45</v>
      </c>
      <c r="O240" s="23" t="s">
        <v>26</v>
      </c>
      <c r="P240" s="24" t="s">
        <v>17</v>
      </c>
      <c r="Q240" s="28" t="s">
        <v>328</v>
      </c>
    </row>
    <row r="241" spans="1:17">
      <c r="A241" s="14">
        <v>237</v>
      </c>
      <c r="B241" s="29" t="s">
        <v>329</v>
      </c>
      <c r="C241" s="16">
        <f>'Медикаменты Июль'!L237</f>
        <v>0</v>
      </c>
      <c r="D241" s="17"/>
      <c r="E241" s="14"/>
      <c r="F241" s="18"/>
      <c r="G241" s="19"/>
      <c r="H241" s="20"/>
      <c r="I241" s="21"/>
      <c r="J241" s="14"/>
      <c r="K241" s="14">
        <f t="shared" si="6"/>
        <v>0</v>
      </c>
      <c r="L241" s="16">
        <f t="shared" si="7"/>
        <v>0</v>
      </c>
      <c r="M241" s="22">
        <v>44713</v>
      </c>
      <c r="N241" s="44"/>
      <c r="O241" s="23" t="s">
        <v>16</v>
      </c>
      <c r="P241" s="24"/>
      <c r="Q241" s="28" t="s">
        <v>330</v>
      </c>
    </row>
    <row r="242" spans="1:17">
      <c r="A242" s="14">
        <v>238</v>
      </c>
      <c r="B242" s="29" t="s">
        <v>331</v>
      </c>
      <c r="C242" s="16">
        <f>'Медикаменты Июль'!L238</f>
        <v>0</v>
      </c>
      <c r="D242" s="17"/>
      <c r="E242" s="14"/>
      <c r="F242" s="18"/>
      <c r="G242" s="19"/>
      <c r="H242" s="20"/>
      <c r="I242" s="21"/>
      <c r="J242" s="14"/>
      <c r="K242" s="14">
        <f t="shared" si="6"/>
        <v>0</v>
      </c>
      <c r="L242" s="16">
        <f t="shared" si="7"/>
        <v>0</v>
      </c>
      <c r="M242" s="22">
        <v>44317</v>
      </c>
      <c r="N242" s="44"/>
      <c r="O242" s="23" t="s">
        <v>16</v>
      </c>
      <c r="P242" s="24" t="s">
        <v>45</v>
      </c>
      <c r="Q242" s="28" t="s">
        <v>332</v>
      </c>
    </row>
    <row r="243" spans="1:17">
      <c r="A243" s="14">
        <v>239</v>
      </c>
      <c r="B243" s="29" t="s">
        <v>333</v>
      </c>
      <c r="C243" s="16">
        <f>'Медикаменты Июль'!L239</f>
        <v>0</v>
      </c>
      <c r="D243" s="17"/>
      <c r="E243" s="14"/>
      <c r="F243" s="18"/>
      <c r="G243" s="19"/>
      <c r="H243" s="20"/>
      <c r="I243" s="21"/>
      <c r="J243" s="14"/>
      <c r="K243" s="14">
        <f t="shared" si="6"/>
        <v>0</v>
      </c>
      <c r="L243" s="16">
        <f t="shared" si="7"/>
        <v>0</v>
      </c>
      <c r="M243" s="22">
        <v>44348</v>
      </c>
      <c r="N243" s="44"/>
      <c r="O243" s="23" t="s">
        <v>16</v>
      </c>
      <c r="P243" s="24"/>
      <c r="Q243" s="28" t="s">
        <v>334</v>
      </c>
    </row>
    <row r="244" spans="1:17">
      <c r="A244" s="14">
        <v>240</v>
      </c>
      <c r="B244" s="29" t="s">
        <v>335</v>
      </c>
      <c r="C244" s="16">
        <f>'Медикаменты Июль'!L240</f>
        <v>0</v>
      </c>
      <c r="D244" s="17"/>
      <c r="E244" s="14"/>
      <c r="F244" s="18"/>
      <c r="G244" s="19"/>
      <c r="H244" s="20"/>
      <c r="I244" s="21"/>
      <c r="J244" s="14"/>
      <c r="K244" s="14">
        <f t="shared" si="6"/>
        <v>0</v>
      </c>
      <c r="L244" s="16">
        <f t="shared" si="7"/>
        <v>0</v>
      </c>
      <c r="M244" s="22">
        <v>44348</v>
      </c>
      <c r="N244" s="44"/>
      <c r="O244" s="23" t="s">
        <v>16</v>
      </c>
      <c r="P244" s="24"/>
      <c r="Q244" s="45"/>
    </row>
    <row r="245" spans="1:17">
      <c r="A245" s="14">
        <v>241</v>
      </c>
      <c r="B245" s="29" t="s">
        <v>336</v>
      </c>
      <c r="C245" s="16">
        <f>'Медикаменты Июль'!L241</f>
        <v>60</v>
      </c>
      <c r="D245" s="17"/>
      <c r="E245" s="14"/>
      <c r="F245" s="18"/>
      <c r="G245" s="19"/>
      <c r="H245" s="20"/>
      <c r="I245" s="21"/>
      <c r="J245" s="14"/>
      <c r="K245" s="14">
        <f t="shared" si="6"/>
        <v>0</v>
      </c>
      <c r="L245" s="16">
        <f t="shared" si="7"/>
        <v>60</v>
      </c>
      <c r="M245" s="22">
        <v>45413</v>
      </c>
      <c r="N245" s="44" t="s">
        <v>45</v>
      </c>
      <c r="O245" s="23" t="s">
        <v>16</v>
      </c>
      <c r="P245" s="24" t="s">
        <v>17</v>
      </c>
      <c r="Q245" s="28" t="s">
        <v>337</v>
      </c>
    </row>
    <row r="246" spans="1:17">
      <c r="A246" s="14">
        <v>242</v>
      </c>
      <c r="B246" s="29" t="s">
        <v>338</v>
      </c>
      <c r="C246" s="16">
        <f>'Медикаменты Июль'!L242</f>
        <v>0</v>
      </c>
      <c r="D246" s="17"/>
      <c r="E246" s="14"/>
      <c r="F246" s="18"/>
      <c r="G246" s="19"/>
      <c r="H246" s="20"/>
      <c r="I246" s="21"/>
      <c r="J246" s="14"/>
      <c r="K246" s="14">
        <f t="shared" si="6"/>
        <v>0</v>
      </c>
      <c r="L246" s="16">
        <f t="shared" si="7"/>
        <v>0</v>
      </c>
      <c r="M246" s="22">
        <v>44562</v>
      </c>
      <c r="N246" s="44"/>
      <c r="O246" s="23" t="s">
        <v>16</v>
      </c>
      <c r="P246" s="24"/>
      <c r="Q246" s="28" t="s">
        <v>339</v>
      </c>
    </row>
    <row r="247" spans="1:17">
      <c r="A247" s="14">
        <v>243</v>
      </c>
      <c r="B247" s="29" t="s">
        <v>340</v>
      </c>
      <c r="C247" s="16">
        <f>'Медикаменты Июль'!L243</f>
        <v>0</v>
      </c>
      <c r="D247" s="17"/>
      <c r="E247" s="14"/>
      <c r="F247" s="18"/>
      <c r="G247" s="19"/>
      <c r="H247" s="20"/>
      <c r="I247" s="21"/>
      <c r="J247" s="14"/>
      <c r="K247" s="14">
        <f t="shared" si="6"/>
        <v>0</v>
      </c>
      <c r="L247" s="16">
        <f t="shared" si="7"/>
        <v>0</v>
      </c>
      <c r="M247" s="22"/>
      <c r="N247" s="44"/>
      <c r="O247" s="23" t="s">
        <v>16</v>
      </c>
      <c r="P247" s="24"/>
      <c r="Q247" s="45"/>
    </row>
    <row r="248" spans="1:17">
      <c r="A248" s="14">
        <v>244</v>
      </c>
      <c r="B248" s="29" t="s">
        <v>341</v>
      </c>
      <c r="C248" s="16">
        <f>'Медикаменты Июль'!L244</f>
        <v>42</v>
      </c>
      <c r="D248" s="17"/>
      <c r="E248" s="14"/>
      <c r="F248" s="18">
        <f>10</f>
        <v>10</v>
      </c>
      <c r="G248" s="19"/>
      <c r="H248" s="20"/>
      <c r="I248" s="21"/>
      <c r="J248" s="14"/>
      <c r="K248" s="14">
        <f t="shared" si="6"/>
        <v>10</v>
      </c>
      <c r="L248" s="16">
        <f t="shared" si="7"/>
        <v>32</v>
      </c>
      <c r="M248" s="22">
        <v>45108</v>
      </c>
      <c r="N248" s="44" t="s">
        <v>45</v>
      </c>
      <c r="O248" s="23" t="s">
        <v>16</v>
      </c>
      <c r="P248" s="24" t="s">
        <v>17</v>
      </c>
      <c r="Q248" s="28" t="s">
        <v>342</v>
      </c>
    </row>
    <row r="249" spans="1:17">
      <c r="A249" s="14">
        <v>245</v>
      </c>
      <c r="B249" s="29" t="s">
        <v>343</v>
      </c>
      <c r="C249" s="16">
        <f>'Медикаменты Июль'!L245</f>
        <v>200</v>
      </c>
      <c r="D249" s="17"/>
      <c r="E249" s="14"/>
      <c r="F249" s="18">
        <f>15+50</f>
        <v>65</v>
      </c>
      <c r="G249" s="19"/>
      <c r="H249" s="20"/>
      <c r="I249" s="21"/>
      <c r="J249" s="14"/>
      <c r="K249" s="14">
        <f t="shared" si="6"/>
        <v>65</v>
      </c>
      <c r="L249" s="16">
        <f t="shared" si="7"/>
        <v>135</v>
      </c>
      <c r="M249" s="22">
        <v>45047</v>
      </c>
      <c r="N249" s="44" t="s">
        <v>551</v>
      </c>
      <c r="O249" s="23" t="s">
        <v>16</v>
      </c>
      <c r="P249" s="24" t="s">
        <v>17</v>
      </c>
      <c r="Q249" s="28" t="s">
        <v>344</v>
      </c>
    </row>
    <row r="250" spans="1:17">
      <c r="A250" s="14">
        <v>246</v>
      </c>
      <c r="B250" s="29" t="s">
        <v>343</v>
      </c>
      <c r="C250" s="16">
        <f>'Медикаменты Июль'!L246</f>
        <v>0</v>
      </c>
      <c r="D250" s="17"/>
      <c r="E250" s="14"/>
      <c r="F250" s="18"/>
      <c r="G250" s="19"/>
      <c r="H250" s="20"/>
      <c r="I250" s="21"/>
      <c r="J250" s="14"/>
      <c r="K250" s="14">
        <f t="shared" si="6"/>
        <v>0</v>
      </c>
      <c r="L250" s="16">
        <f t="shared" si="7"/>
        <v>0</v>
      </c>
      <c r="M250" s="22">
        <v>44835</v>
      </c>
      <c r="N250" s="44"/>
      <c r="O250" s="23" t="s">
        <v>26</v>
      </c>
      <c r="P250" s="24"/>
      <c r="Q250" s="28" t="s">
        <v>344</v>
      </c>
    </row>
    <row r="251" spans="1:17">
      <c r="A251" s="14">
        <v>247</v>
      </c>
      <c r="B251" s="29" t="s">
        <v>345</v>
      </c>
      <c r="C251" s="16">
        <f>'Медикаменты Июль'!L247</f>
        <v>45</v>
      </c>
      <c r="D251" s="17"/>
      <c r="E251" s="14"/>
      <c r="F251" s="18">
        <f>15+5</f>
        <v>20</v>
      </c>
      <c r="G251" s="19"/>
      <c r="H251" s="20"/>
      <c r="I251" s="21"/>
      <c r="J251" s="14"/>
      <c r="K251" s="14">
        <f t="shared" si="6"/>
        <v>20</v>
      </c>
      <c r="L251" s="16">
        <f t="shared" si="7"/>
        <v>25</v>
      </c>
      <c r="M251" s="22">
        <v>45017</v>
      </c>
      <c r="N251" s="44" t="s">
        <v>45</v>
      </c>
      <c r="O251" s="23" t="s">
        <v>16</v>
      </c>
      <c r="P251" s="24" t="s">
        <v>45</v>
      </c>
      <c r="Q251" s="28" t="s">
        <v>346</v>
      </c>
    </row>
    <row r="252" spans="1:17">
      <c r="A252" s="14">
        <v>248</v>
      </c>
      <c r="B252" s="29" t="s">
        <v>347</v>
      </c>
      <c r="C252" s="16">
        <f>'Медикаменты Июль'!L248</f>
        <v>85</v>
      </c>
      <c r="D252" s="17"/>
      <c r="E252" s="14"/>
      <c r="F252" s="18">
        <f>20+20</f>
        <v>40</v>
      </c>
      <c r="G252" s="19"/>
      <c r="H252" s="20">
        <f>10</f>
        <v>10</v>
      </c>
      <c r="I252" s="21"/>
      <c r="J252" s="14"/>
      <c r="K252" s="14">
        <f t="shared" si="6"/>
        <v>50</v>
      </c>
      <c r="L252" s="16">
        <f t="shared" si="7"/>
        <v>35</v>
      </c>
      <c r="M252" s="22">
        <v>45323</v>
      </c>
      <c r="N252" s="44" t="s">
        <v>551</v>
      </c>
      <c r="O252" s="23" t="s">
        <v>16</v>
      </c>
      <c r="P252" s="24" t="s">
        <v>45</v>
      </c>
      <c r="Q252" s="28" t="s">
        <v>348</v>
      </c>
    </row>
    <row r="253" spans="1:17">
      <c r="A253" s="14">
        <v>249</v>
      </c>
      <c r="B253" s="29" t="s">
        <v>349</v>
      </c>
      <c r="C253" s="16">
        <f>'Медикаменты Июль'!L249</f>
        <v>0</v>
      </c>
      <c r="D253" s="17"/>
      <c r="E253" s="14"/>
      <c r="F253" s="18"/>
      <c r="G253" s="19"/>
      <c r="H253" s="20"/>
      <c r="I253" s="21"/>
      <c r="J253" s="14"/>
      <c r="K253" s="14">
        <f t="shared" si="6"/>
        <v>0</v>
      </c>
      <c r="L253" s="16">
        <f t="shared" si="7"/>
        <v>0</v>
      </c>
      <c r="M253" s="22"/>
      <c r="N253" s="44"/>
      <c r="O253" s="23" t="s">
        <v>16</v>
      </c>
      <c r="P253" s="24"/>
      <c r="Q253" s="45"/>
    </row>
    <row r="254" spans="1:17">
      <c r="A254" s="14">
        <v>250</v>
      </c>
      <c r="B254" s="29" t="s">
        <v>350</v>
      </c>
      <c r="C254" s="16">
        <f>'Медикаменты Июль'!L250</f>
        <v>0</v>
      </c>
      <c r="D254" s="17"/>
      <c r="E254" s="14"/>
      <c r="F254" s="18"/>
      <c r="G254" s="19"/>
      <c r="H254" s="20"/>
      <c r="I254" s="21"/>
      <c r="J254" s="14"/>
      <c r="K254" s="14">
        <f t="shared" si="6"/>
        <v>0</v>
      </c>
      <c r="L254" s="16">
        <f t="shared" si="7"/>
        <v>0</v>
      </c>
      <c r="M254" s="22"/>
      <c r="N254" s="44"/>
      <c r="O254" s="23" t="s">
        <v>16</v>
      </c>
      <c r="P254" s="24"/>
      <c r="Q254" s="45"/>
    </row>
    <row r="255" spans="1:17">
      <c r="A255" s="14">
        <v>251</v>
      </c>
      <c r="B255" s="29" t="s">
        <v>609</v>
      </c>
      <c r="C255" s="16">
        <f>'Медикаменты Июль'!L251</f>
        <v>100</v>
      </c>
      <c r="D255" s="17"/>
      <c r="E255" s="14"/>
      <c r="F255" s="18">
        <f>30</f>
        <v>30</v>
      </c>
      <c r="G255" s="19"/>
      <c r="H255" s="20"/>
      <c r="I255" s="21"/>
      <c r="J255" s="14"/>
      <c r="K255" s="14">
        <f t="shared" si="6"/>
        <v>30</v>
      </c>
      <c r="L255" s="16">
        <f t="shared" si="7"/>
        <v>70</v>
      </c>
      <c r="M255" s="22">
        <v>45474</v>
      </c>
      <c r="N255" s="44" t="s">
        <v>551</v>
      </c>
      <c r="O255" s="23" t="s">
        <v>16</v>
      </c>
      <c r="P255" s="24" t="s">
        <v>17</v>
      </c>
      <c r="Q255" s="28" t="s">
        <v>352</v>
      </c>
    </row>
    <row r="256" spans="1:17">
      <c r="A256" s="14">
        <v>252</v>
      </c>
      <c r="B256" s="29" t="s">
        <v>353</v>
      </c>
      <c r="C256" s="16">
        <f>'Медикаменты Июль'!L252</f>
        <v>238</v>
      </c>
      <c r="D256" s="17"/>
      <c r="E256" s="14"/>
      <c r="F256" s="18">
        <f>5</f>
        <v>5</v>
      </c>
      <c r="G256" s="19"/>
      <c r="H256" s="20"/>
      <c r="I256" s="21"/>
      <c r="J256" s="14"/>
      <c r="K256" s="14">
        <f t="shared" si="6"/>
        <v>5</v>
      </c>
      <c r="L256" s="16">
        <f t="shared" si="7"/>
        <v>233</v>
      </c>
      <c r="M256" s="22">
        <v>44652</v>
      </c>
      <c r="N256" s="44" t="s">
        <v>45</v>
      </c>
      <c r="O256" s="23" t="s">
        <v>16</v>
      </c>
      <c r="P256" s="24" t="s">
        <v>17</v>
      </c>
      <c r="Q256" s="28" t="s">
        <v>354</v>
      </c>
    </row>
    <row r="257" spans="1:17">
      <c r="A257" s="14">
        <v>253</v>
      </c>
      <c r="B257" s="29" t="s">
        <v>355</v>
      </c>
      <c r="C257" s="16">
        <f>'Медикаменты Июль'!L253</f>
        <v>8</v>
      </c>
      <c r="D257" s="17"/>
      <c r="E257" s="14"/>
      <c r="F257" s="18"/>
      <c r="G257" s="19"/>
      <c r="H257" s="20"/>
      <c r="I257" s="21"/>
      <c r="J257" s="14"/>
      <c r="K257" s="14">
        <f t="shared" si="6"/>
        <v>0</v>
      </c>
      <c r="L257" s="16">
        <f t="shared" si="7"/>
        <v>8</v>
      </c>
      <c r="M257" s="22">
        <v>44713</v>
      </c>
      <c r="N257" s="44" t="s">
        <v>45</v>
      </c>
      <c r="O257" s="23" t="s">
        <v>16</v>
      </c>
      <c r="P257" s="24" t="s">
        <v>17</v>
      </c>
      <c r="Q257" s="28" t="s">
        <v>356</v>
      </c>
    </row>
    <row r="258" spans="1:17">
      <c r="A258" s="14">
        <v>254</v>
      </c>
      <c r="B258" s="29" t="s">
        <v>357</v>
      </c>
      <c r="C258" s="16">
        <f>'Медикаменты Июль'!L254</f>
        <v>0</v>
      </c>
      <c r="D258" s="17"/>
      <c r="E258" s="14"/>
      <c r="F258" s="18"/>
      <c r="G258" s="19"/>
      <c r="H258" s="20"/>
      <c r="I258" s="21"/>
      <c r="J258" s="14"/>
      <c r="K258" s="14">
        <f t="shared" si="6"/>
        <v>0</v>
      </c>
      <c r="L258" s="16">
        <f t="shared" si="7"/>
        <v>0</v>
      </c>
      <c r="M258" s="22"/>
      <c r="N258" s="44"/>
      <c r="O258" s="23" t="s">
        <v>16</v>
      </c>
      <c r="P258" s="24"/>
      <c r="Q258" s="45"/>
    </row>
    <row r="259" spans="1:17">
      <c r="A259" s="14">
        <v>255</v>
      </c>
      <c r="B259" s="29" t="s">
        <v>633</v>
      </c>
      <c r="C259" s="16">
        <f>'Медикаменты Июль'!L255</f>
        <v>0</v>
      </c>
      <c r="D259" s="17"/>
      <c r="E259" s="14">
        <f>15</f>
        <v>15</v>
      </c>
      <c r="F259" s="18"/>
      <c r="G259" s="19"/>
      <c r="H259" s="20"/>
      <c r="I259" s="21"/>
      <c r="J259" s="14"/>
      <c r="K259" s="14">
        <f t="shared" si="6"/>
        <v>0</v>
      </c>
      <c r="L259" s="16">
        <f t="shared" si="7"/>
        <v>15</v>
      </c>
      <c r="M259" s="22">
        <v>45352</v>
      </c>
      <c r="N259" s="44" t="s">
        <v>551</v>
      </c>
      <c r="O259" s="23" t="s">
        <v>16</v>
      </c>
      <c r="P259" s="24" t="s">
        <v>17</v>
      </c>
      <c r="Q259" s="28" t="s">
        <v>634</v>
      </c>
    </row>
    <row r="260" spans="1:17">
      <c r="A260" s="14">
        <v>256</v>
      </c>
      <c r="B260" s="29" t="s">
        <v>360</v>
      </c>
      <c r="C260" s="16">
        <f>'Медикаменты Июль'!L256</f>
        <v>0</v>
      </c>
      <c r="D260" s="17"/>
      <c r="E260" s="14"/>
      <c r="F260" s="18"/>
      <c r="G260" s="19"/>
      <c r="H260" s="20"/>
      <c r="I260" s="21"/>
      <c r="J260" s="14"/>
      <c r="K260" s="14">
        <f t="shared" si="6"/>
        <v>0</v>
      </c>
      <c r="L260" s="16">
        <f t="shared" si="7"/>
        <v>0</v>
      </c>
      <c r="M260" s="22"/>
      <c r="N260" s="44"/>
      <c r="O260" s="23" t="s">
        <v>16</v>
      </c>
      <c r="P260" s="24"/>
      <c r="Q260" s="45"/>
    </row>
    <row r="261" spans="1:17">
      <c r="A261" s="14">
        <v>257</v>
      </c>
      <c r="B261" s="29" t="s">
        <v>361</v>
      </c>
      <c r="C261" s="16">
        <f>'Медикаменты Июль'!L257</f>
        <v>0</v>
      </c>
      <c r="D261" s="17"/>
      <c r="E261" s="14"/>
      <c r="F261" s="18"/>
      <c r="G261" s="19"/>
      <c r="H261" s="20"/>
      <c r="I261" s="21"/>
      <c r="J261" s="14"/>
      <c r="K261" s="14">
        <f t="shared" ref="K261:K324" si="8">SUM(F261:J261)</f>
        <v>0</v>
      </c>
      <c r="L261" s="16">
        <f t="shared" ref="L261:L324" si="9">(C261+E261)-K261</f>
        <v>0</v>
      </c>
      <c r="M261" s="22"/>
      <c r="N261" s="44"/>
      <c r="O261" s="23" t="s">
        <v>16</v>
      </c>
      <c r="P261" s="24"/>
      <c r="Q261" s="45"/>
    </row>
    <row r="262" spans="1:17">
      <c r="A262" s="14">
        <v>258</v>
      </c>
      <c r="B262" s="29" t="s">
        <v>362</v>
      </c>
      <c r="C262" s="16">
        <f>'Медикаменты Июль'!L258</f>
        <v>0</v>
      </c>
      <c r="D262" s="17"/>
      <c r="E262" s="14"/>
      <c r="F262" s="18"/>
      <c r="G262" s="19"/>
      <c r="H262" s="20"/>
      <c r="I262" s="21"/>
      <c r="J262" s="14"/>
      <c r="K262" s="14">
        <f t="shared" si="8"/>
        <v>0</v>
      </c>
      <c r="L262" s="16">
        <f t="shared" si="9"/>
        <v>0</v>
      </c>
      <c r="M262" s="22">
        <v>45200</v>
      </c>
      <c r="N262" s="44"/>
      <c r="O262" s="23" t="s">
        <v>16</v>
      </c>
      <c r="P262" s="24"/>
      <c r="Q262" s="28" t="s">
        <v>363</v>
      </c>
    </row>
    <row r="263" spans="1:17">
      <c r="A263" s="14">
        <v>259</v>
      </c>
      <c r="B263" s="29" t="s">
        <v>364</v>
      </c>
      <c r="C263" s="16">
        <f>'Медикаменты Июль'!L259</f>
        <v>0</v>
      </c>
      <c r="D263" s="17"/>
      <c r="E263" s="14"/>
      <c r="F263" s="18"/>
      <c r="G263" s="19"/>
      <c r="H263" s="20"/>
      <c r="I263" s="21"/>
      <c r="J263" s="14"/>
      <c r="K263" s="14">
        <f t="shared" si="8"/>
        <v>0</v>
      </c>
      <c r="L263" s="16">
        <f t="shared" si="9"/>
        <v>0</v>
      </c>
      <c r="M263" s="22">
        <v>44378</v>
      </c>
      <c r="N263" s="44"/>
      <c r="O263" s="23" t="s">
        <v>26</v>
      </c>
      <c r="P263" s="24"/>
      <c r="Q263" s="45"/>
    </row>
    <row r="264" spans="1:17">
      <c r="A264" s="14">
        <v>260</v>
      </c>
      <c r="B264" s="29" t="s">
        <v>365</v>
      </c>
      <c r="C264" s="16">
        <f>'Медикаменты Июль'!L260</f>
        <v>0</v>
      </c>
      <c r="D264" s="17"/>
      <c r="E264" s="14"/>
      <c r="F264" s="18"/>
      <c r="G264" s="19"/>
      <c r="H264" s="20"/>
      <c r="I264" s="21"/>
      <c r="J264" s="14"/>
      <c r="K264" s="14">
        <f t="shared" si="8"/>
        <v>0</v>
      </c>
      <c r="L264" s="16">
        <f t="shared" si="9"/>
        <v>0</v>
      </c>
      <c r="M264" s="22"/>
      <c r="N264" s="44"/>
      <c r="O264" s="23" t="s">
        <v>16</v>
      </c>
      <c r="P264" s="24"/>
      <c r="Q264" s="45"/>
    </row>
    <row r="265" spans="1:17">
      <c r="A265" s="14">
        <v>261</v>
      </c>
      <c r="B265" s="29" t="s">
        <v>556</v>
      </c>
      <c r="C265" s="16">
        <f>'Медикаменты Июль'!L261</f>
        <v>6</v>
      </c>
      <c r="D265" s="17"/>
      <c r="E265" s="14"/>
      <c r="F265" s="18"/>
      <c r="G265" s="19"/>
      <c r="H265" s="20"/>
      <c r="I265" s="21"/>
      <c r="J265" s="14"/>
      <c r="K265" s="14">
        <f t="shared" si="8"/>
        <v>0</v>
      </c>
      <c r="L265" s="16">
        <f t="shared" si="9"/>
        <v>6</v>
      </c>
      <c r="M265" s="22">
        <v>45231</v>
      </c>
      <c r="N265" s="44" t="s">
        <v>551</v>
      </c>
      <c r="O265" s="23" t="s">
        <v>16</v>
      </c>
      <c r="P265" s="24" t="s">
        <v>17</v>
      </c>
      <c r="Q265" s="28" t="s">
        <v>557</v>
      </c>
    </row>
    <row r="266" spans="1:17">
      <c r="A266" s="14">
        <v>262</v>
      </c>
      <c r="B266" s="29" t="s">
        <v>556</v>
      </c>
      <c r="C266" s="16">
        <f>'Медикаменты Июль'!L262</f>
        <v>0</v>
      </c>
      <c r="D266" s="17"/>
      <c r="E266" s="14"/>
      <c r="F266" s="18"/>
      <c r="G266" s="19"/>
      <c r="H266" s="20"/>
      <c r="I266" s="21"/>
      <c r="J266" s="14"/>
      <c r="K266" s="14">
        <f t="shared" si="8"/>
        <v>0</v>
      </c>
      <c r="L266" s="16">
        <f t="shared" si="9"/>
        <v>0</v>
      </c>
      <c r="M266" s="22">
        <v>45231</v>
      </c>
      <c r="N266" s="44" t="s">
        <v>551</v>
      </c>
      <c r="O266" s="23" t="s">
        <v>26</v>
      </c>
      <c r="P266" s="24" t="s">
        <v>17</v>
      </c>
      <c r="Q266" s="28" t="s">
        <v>557</v>
      </c>
    </row>
    <row r="267" spans="1:17">
      <c r="A267" s="14">
        <v>263</v>
      </c>
      <c r="B267" s="29" t="s">
        <v>367</v>
      </c>
      <c r="C267" s="16">
        <f>'Медикаменты Июль'!L263</f>
        <v>0</v>
      </c>
      <c r="D267" s="17"/>
      <c r="E267" s="14"/>
      <c r="F267" s="18"/>
      <c r="G267" s="19"/>
      <c r="H267" s="20"/>
      <c r="I267" s="21"/>
      <c r="J267" s="14"/>
      <c r="K267" s="14">
        <f t="shared" si="8"/>
        <v>0</v>
      </c>
      <c r="L267" s="16">
        <f t="shared" si="9"/>
        <v>0</v>
      </c>
      <c r="M267" s="22">
        <v>45261</v>
      </c>
      <c r="N267" s="44" t="s">
        <v>45</v>
      </c>
      <c r="O267" s="23" t="s">
        <v>16</v>
      </c>
      <c r="P267" s="24" t="s">
        <v>17</v>
      </c>
      <c r="Q267" s="28" t="s">
        <v>368</v>
      </c>
    </row>
    <row r="268" spans="1:17">
      <c r="A268" s="14">
        <v>264</v>
      </c>
      <c r="B268" s="29" t="s">
        <v>369</v>
      </c>
      <c r="C268" s="16">
        <f>'Медикаменты Июль'!L264</f>
        <v>0</v>
      </c>
      <c r="D268" s="17"/>
      <c r="E268" s="14"/>
      <c r="F268" s="18"/>
      <c r="G268" s="19"/>
      <c r="H268" s="20"/>
      <c r="I268" s="21"/>
      <c r="J268" s="14"/>
      <c r="K268" s="14">
        <f t="shared" si="8"/>
        <v>0</v>
      </c>
      <c r="L268" s="16">
        <f t="shared" si="9"/>
        <v>0</v>
      </c>
      <c r="M268" s="22">
        <v>44927</v>
      </c>
      <c r="N268" s="44" t="s">
        <v>45</v>
      </c>
      <c r="O268" s="23" t="s">
        <v>16</v>
      </c>
      <c r="P268" s="24" t="s">
        <v>45</v>
      </c>
      <c r="Q268" s="28" t="s">
        <v>370</v>
      </c>
    </row>
    <row r="269" spans="1:17">
      <c r="A269" s="14">
        <v>265</v>
      </c>
      <c r="B269" s="29" t="s">
        <v>371</v>
      </c>
      <c r="C269" s="16">
        <f>'Медикаменты Июль'!L265</f>
        <v>0</v>
      </c>
      <c r="D269" s="17"/>
      <c r="E269" s="14"/>
      <c r="F269" s="18"/>
      <c r="G269" s="19"/>
      <c r="H269" s="20"/>
      <c r="I269" s="21"/>
      <c r="J269" s="14"/>
      <c r="K269" s="14">
        <f t="shared" si="8"/>
        <v>0</v>
      </c>
      <c r="L269" s="16">
        <f t="shared" si="9"/>
        <v>0</v>
      </c>
      <c r="M269" s="22">
        <v>45413</v>
      </c>
      <c r="N269" s="44"/>
      <c r="O269" s="23" t="s">
        <v>16</v>
      </c>
      <c r="P269" s="24" t="s">
        <v>17</v>
      </c>
      <c r="Q269" s="28" t="s">
        <v>372</v>
      </c>
    </row>
    <row r="270" spans="1:17">
      <c r="A270" s="14">
        <v>266</v>
      </c>
      <c r="B270" s="29" t="s">
        <v>371</v>
      </c>
      <c r="C270" s="16">
        <f>'Медикаменты Июль'!L266</f>
        <v>0</v>
      </c>
      <c r="D270" s="17"/>
      <c r="E270" s="14"/>
      <c r="F270" s="18"/>
      <c r="G270" s="19"/>
      <c r="H270" s="20"/>
      <c r="I270" s="21"/>
      <c r="J270" s="14"/>
      <c r="K270" s="14">
        <f t="shared" si="8"/>
        <v>0</v>
      </c>
      <c r="L270" s="16">
        <f t="shared" si="9"/>
        <v>0</v>
      </c>
      <c r="M270" s="22">
        <v>45413</v>
      </c>
      <c r="N270" s="44"/>
      <c r="O270" s="23" t="s">
        <v>26</v>
      </c>
      <c r="P270" s="24"/>
      <c r="Q270" s="28" t="s">
        <v>372</v>
      </c>
    </row>
    <row r="271" spans="1:17">
      <c r="A271" s="14">
        <v>267</v>
      </c>
      <c r="B271" s="29" t="s">
        <v>373</v>
      </c>
      <c r="C271" s="16">
        <f>'Медикаменты Июль'!L267</f>
        <v>0</v>
      </c>
      <c r="D271" s="17"/>
      <c r="E271" s="14"/>
      <c r="F271" s="18"/>
      <c r="G271" s="19"/>
      <c r="H271" s="20"/>
      <c r="I271" s="21"/>
      <c r="J271" s="14"/>
      <c r="K271" s="14">
        <f t="shared" si="8"/>
        <v>0</v>
      </c>
      <c r="L271" s="16">
        <f t="shared" si="9"/>
        <v>0</v>
      </c>
      <c r="M271" s="22">
        <v>45108</v>
      </c>
      <c r="N271" s="44"/>
      <c r="O271" s="23" t="s">
        <v>16</v>
      </c>
      <c r="P271" s="24"/>
      <c r="Q271" s="28" t="s">
        <v>374</v>
      </c>
    </row>
    <row r="272" spans="1:17">
      <c r="A272" s="14">
        <v>268</v>
      </c>
      <c r="B272" s="29" t="s">
        <v>373</v>
      </c>
      <c r="C272" s="16">
        <f>'Медикаменты Июль'!L268</f>
        <v>0</v>
      </c>
      <c r="D272" s="17"/>
      <c r="E272" s="14"/>
      <c r="F272" s="18"/>
      <c r="G272" s="19"/>
      <c r="H272" s="20"/>
      <c r="I272" s="21"/>
      <c r="J272" s="14"/>
      <c r="K272" s="14">
        <f t="shared" si="8"/>
        <v>0</v>
      </c>
      <c r="L272" s="16">
        <f t="shared" si="9"/>
        <v>0</v>
      </c>
      <c r="M272" s="22">
        <v>45108</v>
      </c>
      <c r="N272" s="44"/>
      <c r="O272" s="23" t="s">
        <v>26</v>
      </c>
      <c r="P272" s="24"/>
      <c r="Q272" s="28" t="s">
        <v>374</v>
      </c>
    </row>
    <row r="273" spans="1:17">
      <c r="A273" s="14">
        <v>269</v>
      </c>
      <c r="B273" s="29" t="s">
        <v>375</v>
      </c>
      <c r="C273" s="16">
        <f>'Медикаменты Июль'!L269</f>
        <v>0</v>
      </c>
      <c r="D273" s="17"/>
      <c r="E273" s="14"/>
      <c r="F273" s="18"/>
      <c r="G273" s="19"/>
      <c r="H273" s="20"/>
      <c r="I273" s="21"/>
      <c r="J273" s="14"/>
      <c r="K273" s="14">
        <f t="shared" si="8"/>
        <v>0</v>
      </c>
      <c r="L273" s="16">
        <f t="shared" si="9"/>
        <v>0</v>
      </c>
      <c r="M273" s="22">
        <v>44805</v>
      </c>
      <c r="N273" s="44"/>
      <c r="O273" s="23" t="s">
        <v>16</v>
      </c>
      <c r="P273" s="24" t="s">
        <v>17</v>
      </c>
      <c r="Q273" s="28" t="s">
        <v>376</v>
      </c>
    </row>
    <row r="274" spans="1:17">
      <c r="A274" s="14">
        <v>270</v>
      </c>
      <c r="B274" s="29" t="s">
        <v>375</v>
      </c>
      <c r="C274" s="16">
        <f>'Медикаменты Июль'!L270</f>
        <v>0</v>
      </c>
      <c r="D274" s="17"/>
      <c r="E274" s="14"/>
      <c r="F274" s="18"/>
      <c r="G274" s="19"/>
      <c r="H274" s="20"/>
      <c r="I274" s="21"/>
      <c r="J274" s="14"/>
      <c r="K274" s="14">
        <f t="shared" si="8"/>
        <v>0</v>
      </c>
      <c r="L274" s="16">
        <f t="shared" si="9"/>
        <v>0</v>
      </c>
      <c r="M274" s="22">
        <v>44958</v>
      </c>
      <c r="N274" s="44"/>
      <c r="O274" s="23" t="s">
        <v>26</v>
      </c>
      <c r="P274" s="24"/>
      <c r="Q274" s="28" t="s">
        <v>376</v>
      </c>
    </row>
    <row r="275" spans="1:17">
      <c r="A275" s="14">
        <v>271</v>
      </c>
      <c r="B275" s="29" t="s">
        <v>377</v>
      </c>
      <c r="C275" s="16">
        <f>'Медикаменты Июль'!L271</f>
        <v>200</v>
      </c>
      <c r="D275" s="17"/>
      <c r="E275" s="14"/>
      <c r="F275" s="18">
        <f>5</f>
        <v>5</v>
      </c>
      <c r="G275" s="19"/>
      <c r="H275" s="20">
        <f>10</f>
        <v>10</v>
      </c>
      <c r="I275" s="21"/>
      <c r="J275" s="14"/>
      <c r="K275" s="14">
        <f t="shared" si="8"/>
        <v>15</v>
      </c>
      <c r="L275" s="16">
        <f t="shared" si="9"/>
        <v>185</v>
      </c>
      <c r="M275" s="22">
        <v>45230</v>
      </c>
      <c r="N275" s="44" t="s">
        <v>551</v>
      </c>
      <c r="O275" s="23" t="s">
        <v>16</v>
      </c>
      <c r="P275" s="24" t="s">
        <v>17</v>
      </c>
      <c r="Q275" s="28" t="s">
        <v>378</v>
      </c>
    </row>
    <row r="276" spans="1:17">
      <c r="A276" s="14">
        <v>272</v>
      </c>
      <c r="B276" s="29" t="s">
        <v>377</v>
      </c>
      <c r="C276" s="16">
        <f>'Медикаменты Июль'!L272</f>
        <v>0</v>
      </c>
      <c r="D276" s="17"/>
      <c r="E276" s="14"/>
      <c r="F276" s="18"/>
      <c r="G276" s="19"/>
      <c r="H276" s="20"/>
      <c r="I276" s="21"/>
      <c r="J276" s="14"/>
      <c r="K276" s="14">
        <f t="shared" si="8"/>
        <v>0</v>
      </c>
      <c r="L276" s="16">
        <f t="shared" si="9"/>
        <v>0</v>
      </c>
      <c r="M276" s="22">
        <v>45170</v>
      </c>
      <c r="N276" s="44"/>
      <c r="O276" s="23" t="s">
        <v>26</v>
      </c>
      <c r="P276" s="24" t="s">
        <v>17</v>
      </c>
      <c r="Q276" s="28" t="s">
        <v>378</v>
      </c>
    </row>
    <row r="277" spans="1:17">
      <c r="A277" s="14">
        <v>273</v>
      </c>
      <c r="B277" s="29" t="s">
        <v>379</v>
      </c>
      <c r="C277" s="16">
        <f>'Медикаменты Июль'!L273</f>
        <v>190</v>
      </c>
      <c r="D277" s="17"/>
      <c r="E277" s="14"/>
      <c r="F277" s="18">
        <f>5</f>
        <v>5</v>
      </c>
      <c r="G277" s="19"/>
      <c r="H277" s="20"/>
      <c r="I277" s="21"/>
      <c r="J277" s="14"/>
      <c r="K277" s="14">
        <f t="shared" si="8"/>
        <v>5</v>
      </c>
      <c r="L277" s="16">
        <f t="shared" si="9"/>
        <v>185</v>
      </c>
      <c r="M277" s="22">
        <v>45292</v>
      </c>
      <c r="N277" s="44" t="s">
        <v>551</v>
      </c>
      <c r="O277" s="23" t="s">
        <v>16</v>
      </c>
      <c r="P277" s="24" t="s">
        <v>17</v>
      </c>
      <c r="Q277" s="28"/>
    </row>
    <row r="278" spans="1:17">
      <c r="A278" s="14">
        <v>274</v>
      </c>
      <c r="B278" s="29" t="s">
        <v>380</v>
      </c>
      <c r="C278" s="16">
        <f>'Медикаменты Июль'!L274</f>
        <v>0</v>
      </c>
      <c r="D278" s="17"/>
      <c r="E278" s="14"/>
      <c r="F278" s="18"/>
      <c r="G278" s="19"/>
      <c r="H278" s="20"/>
      <c r="I278" s="21"/>
      <c r="J278" s="14"/>
      <c r="K278" s="14">
        <f t="shared" si="8"/>
        <v>0</v>
      </c>
      <c r="L278" s="16">
        <f t="shared" si="9"/>
        <v>0</v>
      </c>
      <c r="M278" s="22">
        <v>44682</v>
      </c>
      <c r="N278" s="44"/>
      <c r="O278" s="23" t="s">
        <v>16</v>
      </c>
      <c r="P278" s="24" t="s">
        <v>45</v>
      </c>
      <c r="Q278" s="28" t="s">
        <v>381</v>
      </c>
    </row>
    <row r="279" spans="1:17">
      <c r="A279" s="14">
        <v>275</v>
      </c>
      <c r="B279" s="29" t="s">
        <v>382</v>
      </c>
      <c r="C279" s="16">
        <f>'Медикаменты Июль'!L275</f>
        <v>0</v>
      </c>
      <c r="D279" s="17"/>
      <c r="E279" s="14"/>
      <c r="F279" s="18"/>
      <c r="G279" s="19"/>
      <c r="H279" s="20"/>
      <c r="I279" s="21"/>
      <c r="J279" s="14"/>
      <c r="K279" s="14">
        <f t="shared" si="8"/>
        <v>0</v>
      </c>
      <c r="L279" s="16">
        <f t="shared" si="9"/>
        <v>0</v>
      </c>
      <c r="M279" s="22">
        <v>44743</v>
      </c>
      <c r="N279" s="44"/>
      <c r="O279" s="23" t="s">
        <v>16</v>
      </c>
      <c r="P279" s="24"/>
      <c r="Q279" s="28" t="s">
        <v>383</v>
      </c>
    </row>
    <row r="280" spans="1:17">
      <c r="A280" s="14">
        <v>276</v>
      </c>
      <c r="B280" s="29" t="s">
        <v>384</v>
      </c>
      <c r="C280" s="16">
        <f>'Медикаменты Июль'!L276</f>
        <v>0</v>
      </c>
      <c r="D280" s="17"/>
      <c r="E280" s="14"/>
      <c r="F280" s="18"/>
      <c r="G280" s="19"/>
      <c r="H280" s="20"/>
      <c r="I280" s="21"/>
      <c r="J280" s="14"/>
      <c r="K280" s="14">
        <f t="shared" si="8"/>
        <v>0</v>
      </c>
      <c r="L280" s="16">
        <f t="shared" si="9"/>
        <v>0</v>
      </c>
      <c r="M280" s="22"/>
      <c r="N280" s="44"/>
      <c r="O280" s="23" t="s">
        <v>16</v>
      </c>
      <c r="P280" s="24"/>
      <c r="Q280" s="45"/>
    </row>
    <row r="281" spans="1:17">
      <c r="A281" s="14">
        <v>277</v>
      </c>
      <c r="B281" s="29" t="s">
        <v>385</v>
      </c>
      <c r="C281" s="16">
        <f>'Медикаменты Июль'!L277</f>
        <v>0</v>
      </c>
      <c r="D281" s="17"/>
      <c r="E281" s="14"/>
      <c r="F281" s="18"/>
      <c r="G281" s="19"/>
      <c r="H281" s="20"/>
      <c r="I281" s="21"/>
      <c r="J281" s="14"/>
      <c r="K281" s="14">
        <f t="shared" si="8"/>
        <v>0</v>
      </c>
      <c r="L281" s="16">
        <f t="shared" si="9"/>
        <v>0</v>
      </c>
      <c r="M281" s="22"/>
      <c r="N281" s="44"/>
      <c r="O281" s="23" t="s">
        <v>16</v>
      </c>
      <c r="P281" s="24"/>
      <c r="Q281" s="45"/>
    </row>
    <row r="282" spans="1:17">
      <c r="A282" s="14">
        <v>278</v>
      </c>
      <c r="B282" s="29" t="s">
        <v>610</v>
      </c>
      <c r="C282" s="16">
        <f>'Медикаменты Июль'!L278</f>
        <v>85</v>
      </c>
      <c r="D282" s="17"/>
      <c r="E282" s="14"/>
      <c r="F282" s="18">
        <f>5</f>
        <v>5</v>
      </c>
      <c r="G282" s="19"/>
      <c r="H282" s="20"/>
      <c r="I282" s="21"/>
      <c r="J282" s="14"/>
      <c r="K282" s="14">
        <f t="shared" si="8"/>
        <v>5</v>
      </c>
      <c r="L282" s="16">
        <f t="shared" si="9"/>
        <v>80</v>
      </c>
      <c r="M282" s="22">
        <v>45444</v>
      </c>
      <c r="N282" s="44" t="s">
        <v>551</v>
      </c>
      <c r="O282" s="23" t="s">
        <v>16</v>
      </c>
      <c r="P282" s="24" t="s">
        <v>45</v>
      </c>
      <c r="Q282" s="28" t="s">
        <v>611</v>
      </c>
    </row>
    <row r="283" spans="1:17">
      <c r="A283" s="14">
        <v>279</v>
      </c>
      <c r="B283" s="29" t="s">
        <v>635</v>
      </c>
      <c r="C283" s="16">
        <f>'Медикаменты Июль'!L279</f>
        <v>0</v>
      </c>
      <c r="D283" s="17"/>
      <c r="E283" s="14">
        <f>100</f>
        <v>100</v>
      </c>
      <c r="F283" s="18"/>
      <c r="G283" s="19"/>
      <c r="H283" s="20"/>
      <c r="I283" s="21"/>
      <c r="J283" s="14"/>
      <c r="K283" s="14">
        <f t="shared" si="8"/>
        <v>0</v>
      </c>
      <c r="L283" s="16">
        <f t="shared" si="9"/>
        <v>100</v>
      </c>
      <c r="M283" s="22">
        <v>45323</v>
      </c>
      <c r="N283" s="44" t="s">
        <v>551</v>
      </c>
      <c r="O283" s="23" t="s">
        <v>16</v>
      </c>
      <c r="P283" s="24" t="s">
        <v>17</v>
      </c>
      <c r="Q283" s="28" t="s">
        <v>636</v>
      </c>
    </row>
    <row r="284" spans="1:17">
      <c r="A284" s="14">
        <v>280</v>
      </c>
      <c r="B284" s="29" t="s">
        <v>387</v>
      </c>
      <c r="C284" s="16">
        <f>'Медикаменты Июль'!L280</f>
        <v>0</v>
      </c>
      <c r="D284" s="17"/>
      <c r="E284" s="14"/>
      <c r="F284" s="18"/>
      <c r="G284" s="19"/>
      <c r="H284" s="20"/>
      <c r="I284" s="21"/>
      <c r="J284" s="14"/>
      <c r="K284" s="14">
        <f t="shared" si="8"/>
        <v>0</v>
      </c>
      <c r="L284" s="16">
        <f t="shared" si="9"/>
        <v>0</v>
      </c>
      <c r="M284" s="22"/>
      <c r="N284" s="44"/>
      <c r="O284" s="23" t="s">
        <v>16</v>
      </c>
      <c r="P284" s="24"/>
      <c r="Q284" s="45"/>
    </row>
    <row r="285" spans="1:17">
      <c r="A285" s="14">
        <v>281</v>
      </c>
      <c r="B285" s="29" t="s">
        <v>388</v>
      </c>
      <c r="C285" s="16">
        <f>'Медикаменты Июль'!L281</f>
        <v>0</v>
      </c>
      <c r="D285" s="17"/>
      <c r="E285" s="14"/>
      <c r="F285" s="18"/>
      <c r="G285" s="19"/>
      <c r="H285" s="20"/>
      <c r="I285" s="21"/>
      <c r="J285" s="14"/>
      <c r="K285" s="14">
        <f t="shared" si="8"/>
        <v>0</v>
      </c>
      <c r="L285" s="16">
        <f t="shared" si="9"/>
        <v>0</v>
      </c>
      <c r="M285" s="22">
        <v>45139</v>
      </c>
      <c r="N285" s="44"/>
      <c r="O285" s="23" t="s">
        <v>16</v>
      </c>
      <c r="P285" s="24"/>
      <c r="Q285" s="28" t="s">
        <v>389</v>
      </c>
    </row>
    <row r="286" spans="1:17">
      <c r="A286" s="14">
        <v>282</v>
      </c>
      <c r="B286" s="29" t="s">
        <v>390</v>
      </c>
      <c r="C286" s="16">
        <f>'Медикаменты Июль'!L282</f>
        <v>0</v>
      </c>
      <c r="D286" s="26"/>
      <c r="E286" s="14"/>
      <c r="F286" s="18"/>
      <c r="G286" s="19"/>
      <c r="H286" s="20"/>
      <c r="I286" s="21"/>
      <c r="J286" s="14"/>
      <c r="K286" s="14">
        <f t="shared" si="8"/>
        <v>0</v>
      </c>
      <c r="L286" s="16">
        <f t="shared" si="9"/>
        <v>0</v>
      </c>
      <c r="M286" s="22"/>
      <c r="N286" s="44"/>
      <c r="O286" s="23" t="s">
        <v>16</v>
      </c>
      <c r="P286" s="24"/>
      <c r="Q286" s="28" t="s">
        <v>391</v>
      </c>
    </row>
    <row r="287" spans="1:17">
      <c r="A287" s="14">
        <v>283</v>
      </c>
      <c r="B287" s="29" t="s">
        <v>392</v>
      </c>
      <c r="C287" s="16">
        <f>'Медикаменты Июль'!L283</f>
        <v>0</v>
      </c>
      <c r="D287" s="17"/>
      <c r="E287" s="14"/>
      <c r="F287" s="18"/>
      <c r="G287" s="19"/>
      <c r="H287" s="20"/>
      <c r="I287" s="21"/>
      <c r="J287" s="14"/>
      <c r="K287" s="14">
        <f t="shared" si="8"/>
        <v>0</v>
      </c>
      <c r="L287" s="16">
        <f t="shared" si="9"/>
        <v>0</v>
      </c>
      <c r="M287" s="22"/>
      <c r="N287" s="44"/>
      <c r="O287" s="23" t="s">
        <v>16</v>
      </c>
      <c r="P287" s="24"/>
      <c r="Q287" s="45"/>
    </row>
    <row r="288" spans="1:17">
      <c r="A288" s="14">
        <v>284</v>
      </c>
      <c r="B288" s="29" t="s">
        <v>573</v>
      </c>
      <c r="C288" s="16">
        <f>'Медикаменты Июль'!L284</f>
        <v>5</v>
      </c>
      <c r="D288" s="17"/>
      <c r="E288" s="14"/>
      <c r="F288" s="18">
        <f>1</f>
        <v>1</v>
      </c>
      <c r="G288" s="19"/>
      <c r="H288" s="20"/>
      <c r="I288" s="21"/>
      <c r="J288" s="14"/>
      <c r="K288" s="14">
        <f t="shared" si="8"/>
        <v>1</v>
      </c>
      <c r="L288" s="16">
        <f t="shared" si="9"/>
        <v>4</v>
      </c>
      <c r="M288" s="22">
        <v>45047</v>
      </c>
      <c r="N288" s="44" t="s">
        <v>45</v>
      </c>
      <c r="O288" s="23" t="s">
        <v>16</v>
      </c>
      <c r="P288" s="24" t="s">
        <v>17</v>
      </c>
      <c r="Q288" s="28" t="s">
        <v>574</v>
      </c>
    </row>
    <row r="289" spans="1:17">
      <c r="A289" s="14">
        <v>285</v>
      </c>
      <c r="B289" s="29" t="s">
        <v>393</v>
      </c>
      <c r="C289" s="16">
        <f>'Медикаменты Июль'!L285</f>
        <v>58</v>
      </c>
      <c r="D289" s="17"/>
      <c r="E289" s="14"/>
      <c r="F289" s="18"/>
      <c r="G289" s="19"/>
      <c r="H289" s="20"/>
      <c r="I289" s="21"/>
      <c r="J289" s="14"/>
      <c r="K289" s="14">
        <f t="shared" si="8"/>
        <v>0</v>
      </c>
      <c r="L289" s="16">
        <f t="shared" si="9"/>
        <v>58</v>
      </c>
      <c r="M289" s="22">
        <v>44652</v>
      </c>
      <c r="N289" s="44" t="s">
        <v>45</v>
      </c>
      <c r="O289" s="23" t="s">
        <v>16</v>
      </c>
      <c r="P289" s="24" t="s">
        <v>17</v>
      </c>
      <c r="Q289" s="28" t="s">
        <v>394</v>
      </c>
    </row>
    <row r="290" spans="1:17">
      <c r="A290" s="14">
        <v>286</v>
      </c>
      <c r="B290" s="29" t="s">
        <v>395</v>
      </c>
      <c r="C290" s="16">
        <f>'Медикаменты Июль'!L286</f>
        <v>90</v>
      </c>
      <c r="D290" s="17"/>
      <c r="E290" s="14"/>
      <c r="F290" s="18">
        <f>10</f>
        <v>10</v>
      </c>
      <c r="G290" s="19"/>
      <c r="H290" s="20"/>
      <c r="I290" s="21"/>
      <c r="J290" s="14"/>
      <c r="K290" s="14">
        <f t="shared" si="8"/>
        <v>10</v>
      </c>
      <c r="L290" s="16">
        <f t="shared" si="9"/>
        <v>80</v>
      </c>
      <c r="M290" s="22">
        <v>45689</v>
      </c>
      <c r="N290" s="44" t="s">
        <v>551</v>
      </c>
      <c r="O290" s="23" t="s">
        <v>16</v>
      </c>
      <c r="P290" s="24" t="s">
        <v>17</v>
      </c>
      <c r="Q290" s="28" t="s">
        <v>396</v>
      </c>
    </row>
    <row r="291" spans="1:17">
      <c r="A291" s="14">
        <v>287</v>
      </c>
      <c r="B291" s="29" t="s">
        <v>397</v>
      </c>
      <c r="C291" s="16">
        <f>'Медикаменты Июль'!L287</f>
        <v>41</v>
      </c>
      <c r="D291" s="17"/>
      <c r="E291" s="14"/>
      <c r="F291" s="18">
        <f>15</f>
        <v>15</v>
      </c>
      <c r="G291" s="19"/>
      <c r="H291" s="20"/>
      <c r="I291" s="21"/>
      <c r="J291" s="14"/>
      <c r="K291" s="14">
        <f t="shared" si="8"/>
        <v>15</v>
      </c>
      <c r="L291" s="16">
        <f t="shared" si="9"/>
        <v>26</v>
      </c>
      <c r="M291" s="22">
        <v>45689</v>
      </c>
      <c r="N291" s="44" t="s">
        <v>45</v>
      </c>
      <c r="O291" s="23" t="s">
        <v>16</v>
      </c>
      <c r="P291" s="24" t="s">
        <v>17</v>
      </c>
      <c r="Q291" s="28" t="s">
        <v>587</v>
      </c>
    </row>
    <row r="292" spans="1:17">
      <c r="A292" s="14">
        <v>288</v>
      </c>
      <c r="B292" s="29" t="s">
        <v>398</v>
      </c>
      <c r="C292" s="16">
        <f>'Медикаменты Июль'!L288</f>
        <v>0</v>
      </c>
      <c r="D292" s="17"/>
      <c r="E292" s="14"/>
      <c r="F292" s="18"/>
      <c r="G292" s="19"/>
      <c r="H292" s="20"/>
      <c r="I292" s="21"/>
      <c r="J292" s="14"/>
      <c r="K292" s="14">
        <f t="shared" si="8"/>
        <v>0</v>
      </c>
      <c r="L292" s="16">
        <f t="shared" si="9"/>
        <v>0</v>
      </c>
      <c r="M292" s="22">
        <v>44256</v>
      </c>
      <c r="N292" s="44"/>
      <c r="O292" s="23" t="s">
        <v>16</v>
      </c>
      <c r="P292" s="24"/>
      <c r="Q292" s="28" t="s">
        <v>399</v>
      </c>
    </row>
    <row r="293" spans="1:17">
      <c r="A293" s="14">
        <v>289</v>
      </c>
      <c r="B293" s="29" t="s">
        <v>400</v>
      </c>
      <c r="C293" s="16">
        <f>'Медикаменты Июль'!L289</f>
        <v>0</v>
      </c>
      <c r="D293" s="17"/>
      <c r="E293" s="14"/>
      <c r="F293" s="18"/>
      <c r="G293" s="19"/>
      <c r="H293" s="20"/>
      <c r="I293" s="21"/>
      <c r="J293" s="14"/>
      <c r="K293" s="14">
        <f t="shared" si="8"/>
        <v>0</v>
      </c>
      <c r="L293" s="16">
        <f t="shared" si="9"/>
        <v>0</v>
      </c>
      <c r="M293" s="22">
        <v>44531</v>
      </c>
      <c r="N293" s="44"/>
      <c r="O293" s="23" t="s">
        <v>16</v>
      </c>
      <c r="P293" s="24" t="s">
        <v>45</v>
      </c>
      <c r="Q293" s="28" t="s">
        <v>401</v>
      </c>
    </row>
    <row r="294" spans="1:17">
      <c r="A294" s="14">
        <v>290</v>
      </c>
      <c r="B294" s="29" t="s">
        <v>637</v>
      </c>
      <c r="C294" s="16">
        <f>'Медикаменты Июль'!L290</f>
        <v>0</v>
      </c>
      <c r="D294" s="17"/>
      <c r="E294" s="14"/>
      <c r="F294" s="18"/>
      <c r="G294" s="19"/>
      <c r="H294" s="20"/>
      <c r="I294" s="21"/>
      <c r="J294" s="14"/>
      <c r="K294" s="14">
        <f t="shared" si="8"/>
        <v>0</v>
      </c>
      <c r="L294" s="16">
        <f t="shared" si="9"/>
        <v>0</v>
      </c>
      <c r="M294" s="22">
        <v>45108</v>
      </c>
      <c r="N294" s="44"/>
      <c r="O294" s="23" t="s">
        <v>26</v>
      </c>
      <c r="P294" s="24" t="s">
        <v>45</v>
      </c>
      <c r="Q294" s="28" t="s">
        <v>403</v>
      </c>
    </row>
    <row r="295" spans="1:17">
      <c r="A295" s="14">
        <v>291</v>
      </c>
      <c r="B295" s="29" t="s">
        <v>404</v>
      </c>
      <c r="C295" s="16">
        <f>'Медикаменты Июль'!L291</f>
        <v>0</v>
      </c>
      <c r="D295" s="17"/>
      <c r="E295" s="14"/>
      <c r="F295" s="18"/>
      <c r="G295" s="19"/>
      <c r="H295" s="20"/>
      <c r="I295" s="21"/>
      <c r="J295" s="14"/>
      <c r="K295" s="14">
        <f t="shared" si="8"/>
        <v>0</v>
      </c>
      <c r="L295" s="16">
        <f t="shared" si="9"/>
        <v>0</v>
      </c>
      <c r="M295" s="22"/>
      <c r="N295" s="44"/>
      <c r="O295" s="23" t="s">
        <v>16</v>
      </c>
      <c r="P295" s="24"/>
      <c r="Q295" s="45"/>
    </row>
    <row r="296" spans="1:17">
      <c r="A296" s="14">
        <v>292</v>
      </c>
      <c r="B296" s="29" t="s">
        <v>549</v>
      </c>
      <c r="C296" s="16">
        <f>'Медикаменты Июль'!L292</f>
        <v>0</v>
      </c>
      <c r="D296" s="17"/>
      <c r="E296" s="14"/>
      <c r="F296" s="18"/>
      <c r="G296" s="19"/>
      <c r="H296" s="20"/>
      <c r="I296" s="21"/>
      <c r="J296" s="14"/>
      <c r="K296" s="14">
        <f t="shared" si="8"/>
        <v>0</v>
      </c>
      <c r="L296" s="16">
        <f t="shared" si="9"/>
        <v>0</v>
      </c>
      <c r="M296" s="22">
        <v>44287</v>
      </c>
      <c r="N296" s="44"/>
      <c r="O296" s="23" t="s">
        <v>16</v>
      </c>
      <c r="P296" s="24" t="s">
        <v>45</v>
      </c>
      <c r="Q296" s="28" t="s">
        <v>406</v>
      </c>
    </row>
    <row r="297" spans="1:17">
      <c r="A297" s="14">
        <v>293</v>
      </c>
      <c r="B297" s="29" t="s">
        <v>407</v>
      </c>
      <c r="C297" s="16">
        <f>'Медикаменты Июль'!L293</f>
        <v>0</v>
      </c>
      <c r="D297" s="17"/>
      <c r="E297" s="14"/>
      <c r="F297" s="18"/>
      <c r="G297" s="19"/>
      <c r="H297" s="20"/>
      <c r="I297" s="21"/>
      <c r="J297" s="14"/>
      <c r="K297" s="14">
        <f t="shared" si="8"/>
        <v>0</v>
      </c>
      <c r="L297" s="16">
        <f t="shared" si="9"/>
        <v>0</v>
      </c>
      <c r="M297" s="22">
        <v>44562</v>
      </c>
      <c r="N297" s="44"/>
      <c r="O297" s="23" t="s">
        <v>16</v>
      </c>
      <c r="P297" s="24" t="s">
        <v>17</v>
      </c>
      <c r="Q297" s="28" t="s">
        <v>408</v>
      </c>
    </row>
    <row r="298" spans="1:17">
      <c r="A298" s="14">
        <v>294</v>
      </c>
      <c r="B298" s="29" t="s">
        <v>409</v>
      </c>
      <c r="C298" s="16">
        <f>'Медикаменты Июль'!L294</f>
        <v>230</v>
      </c>
      <c r="D298" s="17"/>
      <c r="E298" s="14"/>
      <c r="F298" s="18">
        <f>10</f>
        <v>10</v>
      </c>
      <c r="G298" s="19"/>
      <c r="H298" s="20"/>
      <c r="I298" s="21"/>
      <c r="J298" s="14"/>
      <c r="K298" s="14">
        <f t="shared" si="8"/>
        <v>10</v>
      </c>
      <c r="L298" s="16">
        <f t="shared" si="9"/>
        <v>220</v>
      </c>
      <c r="M298" s="22">
        <v>45139</v>
      </c>
      <c r="N298" s="44" t="s">
        <v>45</v>
      </c>
      <c r="O298" s="23" t="s">
        <v>16</v>
      </c>
      <c r="P298" s="24" t="s">
        <v>17</v>
      </c>
      <c r="Q298" s="28" t="s">
        <v>410</v>
      </c>
    </row>
    <row r="299" spans="1:17">
      <c r="A299" s="14">
        <v>295</v>
      </c>
      <c r="B299" s="29" t="s">
        <v>411</v>
      </c>
      <c r="C299" s="16">
        <f>'Медикаменты Июль'!L295</f>
        <v>0</v>
      </c>
      <c r="D299" s="17"/>
      <c r="E299" s="14"/>
      <c r="F299" s="18"/>
      <c r="G299" s="19"/>
      <c r="H299" s="20"/>
      <c r="I299" s="21"/>
      <c r="J299" s="14"/>
      <c r="K299" s="14">
        <f t="shared" si="8"/>
        <v>0</v>
      </c>
      <c r="L299" s="16">
        <f t="shared" si="9"/>
        <v>0</v>
      </c>
      <c r="M299" s="22">
        <v>45413</v>
      </c>
      <c r="N299" s="44" t="s">
        <v>45</v>
      </c>
      <c r="O299" s="23" t="s">
        <v>16</v>
      </c>
      <c r="P299" s="24" t="s">
        <v>45</v>
      </c>
      <c r="Q299" s="28" t="s">
        <v>412</v>
      </c>
    </row>
    <row r="300" spans="1:17">
      <c r="A300" s="14">
        <v>296</v>
      </c>
      <c r="B300" s="29" t="s">
        <v>413</v>
      </c>
      <c r="C300" s="16">
        <f>'Медикаменты Июль'!L296</f>
        <v>0</v>
      </c>
      <c r="D300" s="17"/>
      <c r="E300" s="14"/>
      <c r="F300" s="18"/>
      <c r="G300" s="19"/>
      <c r="H300" s="20"/>
      <c r="I300" s="21"/>
      <c r="J300" s="14"/>
      <c r="K300" s="14">
        <f t="shared" si="8"/>
        <v>0</v>
      </c>
      <c r="L300" s="16">
        <f t="shared" si="9"/>
        <v>0</v>
      </c>
      <c r="M300" s="22">
        <v>45474</v>
      </c>
      <c r="N300" s="44"/>
      <c r="O300" s="23" t="s">
        <v>16</v>
      </c>
      <c r="P300" s="24"/>
      <c r="Q300" s="28"/>
    </row>
    <row r="301" spans="1:17">
      <c r="A301" s="14">
        <v>297</v>
      </c>
      <c r="B301" s="29" t="s">
        <v>414</v>
      </c>
      <c r="C301" s="16">
        <f>'Медикаменты Июль'!L297</f>
        <v>0</v>
      </c>
      <c r="D301" s="17"/>
      <c r="E301" s="14"/>
      <c r="F301" s="18"/>
      <c r="G301" s="19"/>
      <c r="H301" s="20"/>
      <c r="I301" s="21"/>
      <c r="J301" s="14"/>
      <c r="K301" s="14">
        <f t="shared" si="8"/>
        <v>0</v>
      </c>
      <c r="L301" s="16">
        <f t="shared" si="9"/>
        <v>0</v>
      </c>
      <c r="M301" s="22"/>
      <c r="N301" s="44"/>
      <c r="O301" s="23" t="s">
        <v>16</v>
      </c>
      <c r="P301" s="24"/>
      <c r="Q301" s="28"/>
    </row>
    <row r="302" spans="1:17">
      <c r="A302" s="14">
        <v>298</v>
      </c>
      <c r="B302" s="29" t="s">
        <v>415</v>
      </c>
      <c r="C302" s="16">
        <f>'Медикаменты Июль'!L298</f>
        <v>0</v>
      </c>
      <c r="D302" s="17"/>
      <c r="E302" s="14">
        <f>200</f>
        <v>200</v>
      </c>
      <c r="F302" s="18">
        <f>10</f>
        <v>10</v>
      </c>
      <c r="G302" s="19"/>
      <c r="H302" s="20"/>
      <c r="I302" s="21"/>
      <c r="J302" s="14"/>
      <c r="K302" s="14">
        <f t="shared" si="8"/>
        <v>10</v>
      </c>
      <c r="L302" s="16">
        <f t="shared" si="9"/>
        <v>190</v>
      </c>
      <c r="M302" s="22">
        <v>45323</v>
      </c>
      <c r="N302" s="44" t="s">
        <v>551</v>
      </c>
      <c r="O302" s="23" t="s">
        <v>16</v>
      </c>
      <c r="P302" s="24" t="s">
        <v>17</v>
      </c>
      <c r="Q302" s="28" t="s">
        <v>416</v>
      </c>
    </row>
    <row r="303" spans="1:17">
      <c r="A303" s="14">
        <v>299</v>
      </c>
      <c r="B303" s="29" t="s">
        <v>415</v>
      </c>
      <c r="C303" s="16">
        <f>'Медикаменты Июль'!L299</f>
        <v>0</v>
      </c>
      <c r="D303" s="17"/>
      <c r="E303" s="14"/>
      <c r="F303" s="18"/>
      <c r="G303" s="19"/>
      <c r="H303" s="20"/>
      <c r="I303" s="21"/>
      <c r="J303" s="14"/>
      <c r="K303" s="14">
        <f t="shared" si="8"/>
        <v>0</v>
      </c>
      <c r="L303" s="16">
        <f t="shared" si="9"/>
        <v>0</v>
      </c>
      <c r="M303" s="22">
        <v>44986</v>
      </c>
      <c r="N303" s="44"/>
      <c r="O303" s="23" t="s">
        <v>26</v>
      </c>
      <c r="P303" s="24"/>
      <c r="Q303" s="28" t="s">
        <v>416</v>
      </c>
    </row>
    <row r="304" spans="1:17">
      <c r="A304" s="14">
        <v>300</v>
      </c>
      <c r="B304" s="31" t="s">
        <v>417</v>
      </c>
      <c r="C304" s="16">
        <f>'Медикаменты Июль'!L300</f>
        <v>0</v>
      </c>
      <c r="D304" s="17"/>
      <c r="E304" s="14"/>
      <c r="F304" s="18"/>
      <c r="G304" s="19"/>
      <c r="H304" s="20"/>
      <c r="I304" s="21"/>
      <c r="J304" s="14"/>
      <c r="K304" s="14">
        <f t="shared" si="8"/>
        <v>0</v>
      </c>
      <c r="L304" s="16">
        <f t="shared" si="9"/>
        <v>0</v>
      </c>
      <c r="M304" s="22">
        <v>44136</v>
      </c>
      <c r="N304" s="44"/>
      <c r="O304" s="23" t="s">
        <v>16</v>
      </c>
      <c r="P304" s="24"/>
      <c r="Q304" s="28" t="s">
        <v>418</v>
      </c>
    </row>
    <row r="305" spans="1:17">
      <c r="A305" s="14">
        <v>301</v>
      </c>
      <c r="B305" s="29" t="s">
        <v>419</v>
      </c>
      <c r="C305" s="16">
        <f>'Медикаменты Июль'!L301</f>
        <v>0</v>
      </c>
      <c r="D305" s="17"/>
      <c r="E305" s="14"/>
      <c r="F305" s="18"/>
      <c r="G305" s="19"/>
      <c r="H305" s="20"/>
      <c r="I305" s="21"/>
      <c r="J305" s="14"/>
      <c r="K305" s="14">
        <f t="shared" si="8"/>
        <v>0</v>
      </c>
      <c r="L305" s="16">
        <f t="shared" si="9"/>
        <v>0</v>
      </c>
      <c r="M305" s="22"/>
      <c r="N305" s="44"/>
      <c r="O305" s="23" t="s">
        <v>16</v>
      </c>
      <c r="P305" s="24"/>
      <c r="Q305" s="45"/>
    </row>
    <row r="306" spans="1:17">
      <c r="A306" s="14">
        <v>302</v>
      </c>
      <c r="B306" s="29" t="s">
        <v>420</v>
      </c>
      <c r="C306" s="16">
        <f>'Медикаменты Июль'!L302</f>
        <v>0</v>
      </c>
      <c r="D306" s="17"/>
      <c r="E306" s="14"/>
      <c r="F306" s="18"/>
      <c r="G306" s="19"/>
      <c r="H306" s="20"/>
      <c r="I306" s="21"/>
      <c r="J306" s="14"/>
      <c r="K306" s="14">
        <f t="shared" si="8"/>
        <v>0</v>
      </c>
      <c r="L306" s="16">
        <f t="shared" si="9"/>
        <v>0</v>
      </c>
      <c r="M306" s="22">
        <v>45047</v>
      </c>
      <c r="N306" s="44" t="s">
        <v>45</v>
      </c>
      <c r="O306" s="23" t="s">
        <v>16</v>
      </c>
      <c r="P306" s="24" t="s">
        <v>17</v>
      </c>
      <c r="Q306" s="28" t="s">
        <v>421</v>
      </c>
    </row>
    <row r="307" spans="1:17">
      <c r="A307" s="14">
        <v>303</v>
      </c>
      <c r="B307" s="29" t="s">
        <v>420</v>
      </c>
      <c r="C307" s="16">
        <f>'Медикаменты Июль'!L303</f>
        <v>0</v>
      </c>
      <c r="D307" s="17"/>
      <c r="E307" s="14"/>
      <c r="F307" s="18"/>
      <c r="G307" s="19"/>
      <c r="H307" s="20"/>
      <c r="I307" s="21"/>
      <c r="J307" s="14"/>
      <c r="K307" s="14">
        <f t="shared" si="8"/>
        <v>0</v>
      </c>
      <c r="L307" s="16">
        <f t="shared" si="9"/>
        <v>0</v>
      </c>
      <c r="M307" s="22">
        <v>45047</v>
      </c>
      <c r="N307" s="44"/>
      <c r="O307" s="23" t="s">
        <v>26</v>
      </c>
      <c r="P307" s="24"/>
      <c r="Q307" s="28" t="s">
        <v>421</v>
      </c>
    </row>
    <row r="308" spans="1:17">
      <c r="A308" s="14">
        <v>304</v>
      </c>
      <c r="B308" s="29" t="s">
        <v>422</v>
      </c>
      <c r="C308" s="16">
        <f>'Медикаменты Июль'!L304</f>
        <v>0</v>
      </c>
      <c r="D308" s="17"/>
      <c r="E308" s="14"/>
      <c r="F308" s="18"/>
      <c r="G308" s="19"/>
      <c r="H308" s="20"/>
      <c r="I308" s="21"/>
      <c r="J308" s="14"/>
      <c r="K308" s="14">
        <f t="shared" si="8"/>
        <v>0</v>
      </c>
      <c r="L308" s="16">
        <f t="shared" si="9"/>
        <v>0</v>
      </c>
      <c r="M308" s="22"/>
      <c r="N308" s="44"/>
      <c r="O308" s="23" t="s">
        <v>26</v>
      </c>
      <c r="P308" s="24"/>
      <c r="Q308" s="45"/>
    </row>
    <row r="309" spans="1:17">
      <c r="A309" s="14">
        <v>305</v>
      </c>
      <c r="B309" s="29" t="s">
        <v>422</v>
      </c>
      <c r="C309" s="16">
        <f>'Медикаменты Июль'!L305</f>
        <v>0</v>
      </c>
      <c r="D309" s="17"/>
      <c r="E309" s="14"/>
      <c r="F309" s="18"/>
      <c r="G309" s="19"/>
      <c r="H309" s="20"/>
      <c r="I309" s="21"/>
      <c r="J309" s="14"/>
      <c r="K309" s="14">
        <f t="shared" si="8"/>
        <v>0</v>
      </c>
      <c r="L309" s="16">
        <f t="shared" si="9"/>
        <v>0</v>
      </c>
      <c r="M309" s="22">
        <v>44531</v>
      </c>
      <c r="N309" s="44" t="s">
        <v>45</v>
      </c>
      <c r="O309" s="23" t="s">
        <v>16</v>
      </c>
      <c r="P309" s="24" t="s">
        <v>17</v>
      </c>
      <c r="Q309" s="28" t="s">
        <v>423</v>
      </c>
    </row>
    <row r="310" spans="1:17">
      <c r="A310" s="14">
        <v>306</v>
      </c>
      <c r="B310" s="29" t="s">
        <v>638</v>
      </c>
      <c r="C310" s="16">
        <f>'Медикаменты Июль'!L306</f>
        <v>0</v>
      </c>
      <c r="D310" s="17"/>
      <c r="E310" s="14"/>
      <c r="F310" s="18"/>
      <c r="G310" s="19"/>
      <c r="H310" s="20"/>
      <c r="I310" s="21"/>
      <c r="J310" s="14"/>
      <c r="K310" s="14">
        <f t="shared" si="8"/>
        <v>0</v>
      </c>
      <c r="L310" s="16">
        <f t="shared" si="9"/>
        <v>0</v>
      </c>
      <c r="M310" s="22">
        <v>44986</v>
      </c>
      <c r="N310" s="44" t="s">
        <v>551</v>
      </c>
      <c r="O310" s="23" t="s">
        <v>16</v>
      </c>
      <c r="P310" s="24" t="s">
        <v>17</v>
      </c>
      <c r="Q310" s="28" t="s">
        <v>425</v>
      </c>
    </row>
    <row r="311" spans="1:17">
      <c r="A311" s="14">
        <v>307</v>
      </c>
      <c r="B311" s="29" t="s">
        <v>426</v>
      </c>
      <c r="C311" s="16">
        <f>'Медикаменты Июль'!L307</f>
        <v>0</v>
      </c>
      <c r="D311" s="17"/>
      <c r="E311" s="14"/>
      <c r="F311" s="18"/>
      <c r="G311" s="19"/>
      <c r="H311" s="20"/>
      <c r="I311" s="21"/>
      <c r="J311" s="14"/>
      <c r="K311" s="14">
        <f t="shared" si="8"/>
        <v>0</v>
      </c>
      <c r="L311" s="16">
        <f t="shared" si="9"/>
        <v>0</v>
      </c>
      <c r="M311" s="22"/>
      <c r="N311" s="44"/>
      <c r="O311" s="23" t="s">
        <v>16</v>
      </c>
      <c r="P311" s="24"/>
      <c r="Q311" s="45"/>
    </row>
    <row r="312" spans="1:17">
      <c r="A312" s="14">
        <v>308</v>
      </c>
      <c r="B312" s="29" t="s">
        <v>427</v>
      </c>
      <c r="C312" s="16">
        <f>'Медикаменты Июль'!L308</f>
        <v>0</v>
      </c>
      <c r="D312" s="17"/>
      <c r="E312" s="14"/>
      <c r="F312" s="18"/>
      <c r="G312" s="19"/>
      <c r="H312" s="20"/>
      <c r="I312" s="21"/>
      <c r="J312" s="14"/>
      <c r="K312" s="14">
        <f t="shared" si="8"/>
        <v>0</v>
      </c>
      <c r="L312" s="16">
        <f t="shared" si="9"/>
        <v>0</v>
      </c>
      <c r="M312" s="22"/>
      <c r="N312" s="44"/>
      <c r="O312" s="23" t="s">
        <v>16</v>
      </c>
      <c r="P312" s="24"/>
      <c r="Q312" s="45"/>
    </row>
    <row r="313" spans="1:17">
      <c r="A313" s="14">
        <v>309</v>
      </c>
      <c r="B313" s="29" t="s">
        <v>428</v>
      </c>
      <c r="C313" s="16">
        <f>'Медикаменты Июль'!L309</f>
        <v>12</v>
      </c>
      <c r="D313" s="17"/>
      <c r="E313" s="14"/>
      <c r="F313" s="18"/>
      <c r="G313" s="19"/>
      <c r="H313" s="20"/>
      <c r="I313" s="21"/>
      <c r="J313" s="14"/>
      <c r="K313" s="14">
        <f t="shared" si="8"/>
        <v>0</v>
      </c>
      <c r="L313" s="16">
        <f t="shared" si="9"/>
        <v>12</v>
      </c>
      <c r="M313" s="22">
        <v>44501</v>
      </c>
      <c r="N313" s="44" t="s">
        <v>45</v>
      </c>
      <c r="O313" s="23" t="s">
        <v>16</v>
      </c>
      <c r="P313" s="24" t="s">
        <v>17</v>
      </c>
      <c r="Q313" s="28" t="s">
        <v>429</v>
      </c>
    </row>
    <row r="314" spans="1:17">
      <c r="A314" s="14">
        <v>310</v>
      </c>
      <c r="B314" s="29" t="s">
        <v>430</v>
      </c>
      <c r="C314" s="16">
        <f>'Медикаменты Июль'!L310</f>
        <v>4</v>
      </c>
      <c r="D314" s="26"/>
      <c r="E314" s="14"/>
      <c r="F314" s="18"/>
      <c r="G314" s="19"/>
      <c r="H314" s="20"/>
      <c r="I314" s="21"/>
      <c r="J314" s="14"/>
      <c r="K314" s="14">
        <f t="shared" si="8"/>
        <v>0</v>
      </c>
      <c r="L314" s="16">
        <f t="shared" si="9"/>
        <v>4</v>
      </c>
      <c r="M314" s="22">
        <v>44835</v>
      </c>
      <c r="N314" s="44" t="s">
        <v>45</v>
      </c>
      <c r="O314" s="23" t="s">
        <v>16</v>
      </c>
      <c r="P314" s="24" t="s">
        <v>17</v>
      </c>
      <c r="Q314" s="28" t="s">
        <v>431</v>
      </c>
    </row>
    <row r="315" spans="1:17">
      <c r="A315" s="14">
        <v>311</v>
      </c>
      <c r="B315" s="29" t="s">
        <v>430</v>
      </c>
      <c r="C315" s="16">
        <f>'Медикаменты Июль'!L311</f>
        <v>50</v>
      </c>
      <c r="D315" s="26"/>
      <c r="E315" s="14"/>
      <c r="F315" s="18"/>
      <c r="G315" s="19"/>
      <c r="H315" s="20"/>
      <c r="I315" s="21"/>
      <c r="J315" s="14"/>
      <c r="K315" s="14">
        <f t="shared" si="8"/>
        <v>0</v>
      </c>
      <c r="L315" s="16">
        <f t="shared" si="9"/>
        <v>50</v>
      </c>
      <c r="M315" s="22">
        <v>45323</v>
      </c>
      <c r="N315" s="44" t="s">
        <v>551</v>
      </c>
      <c r="O315" s="23" t="s">
        <v>16</v>
      </c>
      <c r="P315" s="24" t="s">
        <v>17</v>
      </c>
      <c r="Q315" s="28" t="s">
        <v>431</v>
      </c>
    </row>
    <row r="316" spans="1:17">
      <c r="A316" s="14">
        <v>312</v>
      </c>
      <c r="B316" s="29" t="s">
        <v>430</v>
      </c>
      <c r="C316" s="16">
        <f>'Медикаменты Июль'!L312</f>
        <v>0</v>
      </c>
      <c r="D316" s="26"/>
      <c r="E316" s="14"/>
      <c r="F316" s="18"/>
      <c r="G316" s="19"/>
      <c r="H316" s="20"/>
      <c r="I316" s="21"/>
      <c r="J316" s="14"/>
      <c r="K316" s="14">
        <f t="shared" si="8"/>
        <v>0</v>
      </c>
      <c r="L316" s="16">
        <f t="shared" si="9"/>
        <v>0</v>
      </c>
      <c r="M316" s="22">
        <v>45323</v>
      </c>
      <c r="N316" s="44" t="s">
        <v>551</v>
      </c>
      <c r="O316" s="23" t="s">
        <v>26</v>
      </c>
      <c r="P316" s="24" t="s">
        <v>17</v>
      </c>
      <c r="Q316" s="28" t="s">
        <v>431</v>
      </c>
    </row>
    <row r="317" spans="1:17">
      <c r="A317" s="14">
        <v>313</v>
      </c>
      <c r="B317" s="29" t="s">
        <v>432</v>
      </c>
      <c r="C317" s="16">
        <f>'Медикаменты Июль'!L313</f>
        <v>0</v>
      </c>
      <c r="D317" s="17"/>
      <c r="E317" s="14"/>
      <c r="F317" s="18"/>
      <c r="G317" s="19"/>
      <c r="H317" s="20"/>
      <c r="I317" s="21"/>
      <c r="J317" s="14"/>
      <c r="K317" s="14">
        <f t="shared" si="8"/>
        <v>0</v>
      </c>
      <c r="L317" s="16">
        <f t="shared" si="9"/>
        <v>0</v>
      </c>
      <c r="M317" s="22"/>
      <c r="N317" s="44"/>
      <c r="O317" s="23" t="s">
        <v>16</v>
      </c>
      <c r="P317" s="24"/>
      <c r="Q317" s="45"/>
    </row>
    <row r="318" spans="1:17">
      <c r="A318" s="14">
        <v>314</v>
      </c>
      <c r="B318" s="29" t="s">
        <v>433</v>
      </c>
      <c r="C318" s="16">
        <f>'Медикаменты Июль'!L314</f>
        <v>0</v>
      </c>
      <c r="D318" s="17"/>
      <c r="E318" s="14"/>
      <c r="F318" s="18"/>
      <c r="G318" s="19"/>
      <c r="H318" s="20"/>
      <c r="I318" s="21"/>
      <c r="J318" s="14"/>
      <c r="K318" s="14">
        <f t="shared" si="8"/>
        <v>0</v>
      </c>
      <c r="L318" s="16">
        <f t="shared" si="9"/>
        <v>0</v>
      </c>
      <c r="M318" s="22"/>
      <c r="N318" s="44"/>
      <c r="O318" s="23" t="s">
        <v>16</v>
      </c>
      <c r="P318" s="24"/>
      <c r="Q318" s="45"/>
    </row>
    <row r="319" spans="1:17">
      <c r="A319" s="14">
        <v>315</v>
      </c>
      <c r="B319" s="29" t="s">
        <v>434</v>
      </c>
      <c r="C319" s="16">
        <f>'Медикаменты Июль'!L315</f>
        <v>0</v>
      </c>
      <c r="D319" s="17"/>
      <c r="E319" s="14"/>
      <c r="F319" s="18"/>
      <c r="G319" s="19"/>
      <c r="H319" s="20"/>
      <c r="I319" s="21"/>
      <c r="J319" s="14"/>
      <c r="K319" s="14">
        <f t="shared" si="8"/>
        <v>0</v>
      </c>
      <c r="L319" s="16">
        <f t="shared" si="9"/>
        <v>0</v>
      </c>
      <c r="M319" s="22"/>
      <c r="N319" s="44"/>
      <c r="O319" s="23" t="s">
        <v>16</v>
      </c>
      <c r="P319" s="24"/>
      <c r="Q319" s="45"/>
    </row>
    <row r="320" spans="1:17">
      <c r="A320" s="14">
        <v>316</v>
      </c>
      <c r="B320" s="29" t="s">
        <v>435</v>
      </c>
      <c r="C320" s="16">
        <f>'Медикаменты Июль'!L316</f>
        <v>0</v>
      </c>
      <c r="D320" s="17"/>
      <c r="E320" s="14"/>
      <c r="F320" s="18"/>
      <c r="G320" s="19"/>
      <c r="H320" s="20"/>
      <c r="I320" s="21"/>
      <c r="J320" s="14"/>
      <c r="K320" s="14">
        <f t="shared" si="8"/>
        <v>0</v>
      </c>
      <c r="L320" s="16">
        <f t="shared" si="9"/>
        <v>0</v>
      </c>
      <c r="M320" s="22"/>
      <c r="N320" s="44"/>
      <c r="O320" s="23" t="s">
        <v>16</v>
      </c>
      <c r="P320" s="24"/>
      <c r="Q320" s="45"/>
    </row>
    <row r="321" spans="1:17">
      <c r="A321" s="14">
        <v>317</v>
      </c>
      <c r="B321" s="29" t="s">
        <v>436</v>
      </c>
      <c r="C321" s="16">
        <f>'Медикаменты Июль'!L317</f>
        <v>0</v>
      </c>
      <c r="D321" s="17"/>
      <c r="E321" s="14"/>
      <c r="F321" s="18"/>
      <c r="G321" s="19"/>
      <c r="H321" s="20"/>
      <c r="I321" s="21"/>
      <c r="J321" s="14"/>
      <c r="K321" s="14">
        <f t="shared" si="8"/>
        <v>0</v>
      </c>
      <c r="L321" s="16">
        <f t="shared" si="9"/>
        <v>0</v>
      </c>
      <c r="M321" s="22"/>
      <c r="N321" s="44"/>
      <c r="O321" s="23" t="s">
        <v>16</v>
      </c>
      <c r="P321" s="24"/>
      <c r="Q321" s="45"/>
    </row>
    <row r="322" spans="1:17">
      <c r="A322" s="14">
        <v>318</v>
      </c>
      <c r="B322" s="29" t="s">
        <v>437</v>
      </c>
      <c r="C322" s="16">
        <f>'Медикаменты Июль'!L318</f>
        <v>445</v>
      </c>
      <c r="D322" s="17"/>
      <c r="E322" s="14"/>
      <c r="F322" s="18">
        <f>10+15</f>
        <v>25</v>
      </c>
      <c r="G322" s="19"/>
      <c r="H322" s="20"/>
      <c r="I322" s="21"/>
      <c r="J322" s="14"/>
      <c r="K322" s="14">
        <f t="shared" si="8"/>
        <v>25</v>
      </c>
      <c r="L322" s="16">
        <f t="shared" si="9"/>
        <v>420</v>
      </c>
      <c r="M322" s="22">
        <v>45689</v>
      </c>
      <c r="N322" s="44" t="s">
        <v>551</v>
      </c>
      <c r="O322" s="23" t="s">
        <v>16</v>
      </c>
      <c r="P322" s="24" t="s">
        <v>45</v>
      </c>
      <c r="Q322" s="28" t="s">
        <v>438</v>
      </c>
    </row>
    <row r="323" spans="1:17">
      <c r="A323" s="14">
        <v>319</v>
      </c>
      <c r="B323" s="29" t="s">
        <v>437</v>
      </c>
      <c r="C323" s="16">
        <f>'Медикаменты Июль'!L319</f>
        <v>0</v>
      </c>
      <c r="D323" s="17"/>
      <c r="E323" s="14"/>
      <c r="F323" s="18"/>
      <c r="G323" s="19"/>
      <c r="H323" s="20"/>
      <c r="I323" s="21"/>
      <c r="J323" s="14"/>
      <c r="K323" s="14">
        <f t="shared" si="8"/>
        <v>0</v>
      </c>
      <c r="L323" s="16">
        <f t="shared" si="9"/>
        <v>0</v>
      </c>
      <c r="M323" s="22">
        <v>45689</v>
      </c>
      <c r="N323" s="44" t="s">
        <v>551</v>
      </c>
      <c r="O323" s="23" t="s">
        <v>26</v>
      </c>
      <c r="P323" s="24" t="s">
        <v>45</v>
      </c>
      <c r="Q323" s="28" t="s">
        <v>438</v>
      </c>
    </row>
    <row r="324" spans="1:17">
      <c r="A324" s="14">
        <v>320</v>
      </c>
      <c r="B324" s="29" t="s">
        <v>440</v>
      </c>
      <c r="C324" s="16">
        <f>'Медикаменты Июль'!L320</f>
        <v>0</v>
      </c>
      <c r="D324" s="17"/>
      <c r="E324" s="14"/>
      <c r="F324" s="18"/>
      <c r="G324" s="19"/>
      <c r="H324" s="20"/>
      <c r="I324" s="21"/>
      <c r="J324" s="14"/>
      <c r="K324" s="14">
        <f t="shared" si="8"/>
        <v>0</v>
      </c>
      <c r="L324" s="16">
        <f t="shared" si="9"/>
        <v>0</v>
      </c>
      <c r="M324" s="22"/>
      <c r="N324" s="44"/>
      <c r="O324" s="23" t="s">
        <v>16</v>
      </c>
      <c r="P324" s="24"/>
      <c r="Q324" s="45"/>
    </row>
    <row r="325" spans="1:17">
      <c r="A325" s="14">
        <v>321</v>
      </c>
      <c r="B325" s="29" t="s">
        <v>441</v>
      </c>
      <c r="C325" s="16">
        <f>'Медикаменты Июль'!L321</f>
        <v>0</v>
      </c>
      <c r="D325" s="17"/>
      <c r="E325" s="14">
        <f>30</f>
        <v>30</v>
      </c>
      <c r="F325" s="18"/>
      <c r="G325" s="19"/>
      <c r="H325" s="20"/>
      <c r="I325" s="21"/>
      <c r="J325" s="14"/>
      <c r="K325" s="14">
        <f t="shared" ref="K325:K388" si="10">SUM(F325:J325)</f>
        <v>0</v>
      </c>
      <c r="L325" s="16">
        <f t="shared" ref="L325:L388" si="11">(C325+E325)-K325</f>
        <v>30</v>
      </c>
      <c r="M325" s="22">
        <v>45931</v>
      </c>
      <c r="N325" s="44" t="s">
        <v>551</v>
      </c>
      <c r="O325" s="23" t="s">
        <v>16</v>
      </c>
      <c r="P325" s="24" t="s">
        <v>17</v>
      </c>
      <c r="Q325" s="28" t="s">
        <v>639</v>
      </c>
    </row>
    <row r="326" spans="1:17">
      <c r="A326" s="14">
        <v>322</v>
      </c>
      <c r="B326" s="29" t="s">
        <v>442</v>
      </c>
      <c r="C326" s="16">
        <f>'Медикаменты Июль'!L322</f>
        <v>0</v>
      </c>
      <c r="D326" s="17"/>
      <c r="E326" s="14"/>
      <c r="F326" s="18"/>
      <c r="G326" s="19"/>
      <c r="H326" s="20"/>
      <c r="I326" s="21"/>
      <c r="J326" s="14"/>
      <c r="K326" s="14">
        <f t="shared" si="10"/>
        <v>0</v>
      </c>
      <c r="L326" s="16">
        <f t="shared" si="11"/>
        <v>0</v>
      </c>
      <c r="M326" s="22"/>
      <c r="N326" s="44"/>
      <c r="O326" s="23" t="s">
        <v>16</v>
      </c>
      <c r="P326" s="24"/>
      <c r="Q326" s="45"/>
    </row>
    <row r="327" spans="1:17">
      <c r="A327" s="14">
        <v>323</v>
      </c>
      <c r="B327" s="29" t="s">
        <v>443</v>
      </c>
      <c r="C327" s="16">
        <f>'Медикаменты Июль'!L323</f>
        <v>0</v>
      </c>
      <c r="D327" s="17"/>
      <c r="E327" s="14"/>
      <c r="F327" s="18"/>
      <c r="G327" s="19"/>
      <c r="H327" s="20"/>
      <c r="I327" s="21"/>
      <c r="J327" s="14"/>
      <c r="K327" s="14">
        <f t="shared" si="10"/>
        <v>0</v>
      </c>
      <c r="L327" s="16">
        <f t="shared" si="11"/>
        <v>0</v>
      </c>
      <c r="M327" s="22"/>
      <c r="N327" s="44"/>
      <c r="O327" s="23" t="s">
        <v>16</v>
      </c>
      <c r="P327" s="24"/>
      <c r="Q327" s="45"/>
    </row>
    <row r="328" spans="1:17">
      <c r="A328" s="14">
        <v>324</v>
      </c>
      <c r="B328" s="29" t="s">
        <v>444</v>
      </c>
      <c r="C328" s="16">
        <f>'Медикаменты Июль'!L324</f>
        <v>0</v>
      </c>
      <c r="D328" s="17"/>
      <c r="E328" s="14"/>
      <c r="F328" s="18"/>
      <c r="G328" s="19"/>
      <c r="H328" s="20"/>
      <c r="I328" s="21"/>
      <c r="J328" s="14"/>
      <c r="K328" s="14">
        <f t="shared" si="10"/>
        <v>0</v>
      </c>
      <c r="L328" s="16">
        <f t="shared" si="11"/>
        <v>0</v>
      </c>
      <c r="M328" s="22">
        <v>44501</v>
      </c>
      <c r="N328" s="44" t="s">
        <v>45</v>
      </c>
      <c r="O328" s="23" t="s">
        <v>16</v>
      </c>
      <c r="P328" s="24" t="s">
        <v>17</v>
      </c>
      <c r="Q328" s="28" t="s">
        <v>445</v>
      </c>
    </row>
    <row r="329" spans="1:17">
      <c r="A329" s="14">
        <v>325</v>
      </c>
      <c r="B329" s="29" t="s">
        <v>446</v>
      </c>
      <c r="C329" s="16">
        <f>'Медикаменты Июль'!L325</f>
        <v>0</v>
      </c>
      <c r="D329" s="17"/>
      <c r="E329" s="14"/>
      <c r="F329" s="18"/>
      <c r="G329" s="19"/>
      <c r="H329" s="20"/>
      <c r="I329" s="21"/>
      <c r="J329" s="14"/>
      <c r="K329" s="14">
        <f t="shared" si="10"/>
        <v>0</v>
      </c>
      <c r="L329" s="16">
        <f t="shared" si="11"/>
        <v>0</v>
      </c>
      <c r="M329" s="22"/>
      <c r="N329" s="44"/>
      <c r="O329" s="23" t="s">
        <v>16</v>
      </c>
      <c r="P329" s="24"/>
      <c r="Q329" s="45"/>
    </row>
    <row r="330" spans="1:17">
      <c r="A330" s="14">
        <v>326</v>
      </c>
      <c r="B330" s="29" t="s">
        <v>447</v>
      </c>
      <c r="C330" s="16">
        <f>'Медикаменты Июль'!L326</f>
        <v>0</v>
      </c>
      <c r="D330" s="17"/>
      <c r="E330" s="14"/>
      <c r="F330" s="18"/>
      <c r="G330" s="19"/>
      <c r="H330" s="20"/>
      <c r="I330" s="21"/>
      <c r="J330" s="14"/>
      <c r="K330" s="14">
        <f t="shared" si="10"/>
        <v>0</v>
      </c>
      <c r="L330" s="16">
        <f t="shared" si="11"/>
        <v>0</v>
      </c>
      <c r="M330" s="22">
        <v>44593</v>
      </c>
      <c r="N330" s="44"/>
      <c r="O330" s="23" t="s">
        <v>16</v>
      </c>
      <c r="P330" s="24"/>
      <c r="Q330" s="28" t="s">
        <v>448</v>
      </c>
    </row>
    <row r="331" spans="1:17">
      <c r="A331" s="14">
        <v>327</v>
      </c>
      <c r="B331" s="29" t="s">
        <v>449</v>
      </c>
      <c r="C331" s="16">
        <f>'Медикаменты Июль'!L327</f>
        <v>0</v>
      </c>
      <c r="D331" s="17"/>
      <c r="E331" s="14"/>
      <c r="F331" s="18"/>
      <c r="G331" s="19"/>
      <c r="H331" s="20"/>
      <c r="I331" s="21"/>
      <c r="J331" s="14"/>
      <c r="K331" s="14">
        <f t="shared" si="10"/>
        <v>0</v>
      </c>
      <c r="L331" s="16">
        <f t="shared" si="11"/>
        <v>0</v>
      </c>
      <c r="M331" s="22">
        <v>44228</v>
      </c>
      <c r="N331" s="44"/>
      <c r="O331" s="23" t="s">
        <v>16</v>
      </c>
      <c r="P331" s="24" t="s">
        <v>17</v>
      </c>
      <c r="Q331" s="28" t="s">
        <v>450</v>
      </c>
    </row>
    <row r="332" spans="1:17">
      <c r="A332" s="14">
        <v>328</v>
      </c>
      <c r="B332" s="29" t="s">
        <v>451</v>
      </c>
      <c r="C332" s="16">
        <f>'Медикаменты Июль'!L328</f>
        <v>0</v>
      </c>
      <c r="D332" s="17"/>
      <c r="E332" s="14"/>
      <c r="F332" s="18"/>
      <c r="G332" s="19"/>
      <c r="H332" s="20"/>
      <c r="I332" s="21"/>
      <c r="J332" s="14"/>
      <c r="K332" s="14">
        <f t="shared" si="10"/>
        <v>0</v>
      </c>
      <c r="L332" s="16">
        <f t="shared" si="11"/>
        <v>0</v>
      </c>
      <c r="M332" s="22">
        <v>44317</v>
      </c>
      <c r="N332" s="44"/>
      <c r="O332" s="23" t="s">
        <v>16</v>
      </c>
      <c r="P332" s="24" t="s">
        <v>17</v>
      </c>
      <c r="Q332" s="28" t="s">
        <v>452</v>
      </c>
    </row>
    <row r="333" spans="1:17" ht="25.5">
      <c r="A333" s="14">
        <v>329</v>
      </c>
      <c r="B333" s="29" t="s">
        <v>453</v>
      </c>
      <c r="C333" s="16">
        <f>'Медикаменты Июль'!L329</f>
        <v>19</v>
      </c>
      <c r="D333" s="17"/>
      <c r="E333" s="14"/>
      <c r="F333" s="18"/>
      <c r="G333" s="19"/>
      <c r="H333" s="20"/>
      <c r="I333" s="21"/>
      <c r="J333" s="14"/>
      <c r="K333" s="14">
        <f t="shared" si="10"/>
        <v>0</v>
      </c>
      <c r="L333" s="16">
        <f t="shared" si="11"/>
        <v>19</v>
      </c>
      <c r="M333" s="22">
        <v>44470</v>
      </c>
      <c r="N333" s="44" t="s">
        <v>45</v>
      </c>
      <c r="O333" s="23" t="s">
        <v>16</v>
      </c>
      <c r="P333" s="24" t="s">
        <v>17</v>
      </c>
      <c r="Q333" s="28" t="s">
        <v>454</v>
      </c>
    </row>
    <row r="334" spans="1:17">
      <c r="A334" s="14">
        <v>330</v>
      </c>
      <c r="B334" s="29" t="s">
        <v>575</v>
      </c>
      <c r="C334" s="16">
        <f>'Медикаменты Июль'!L330</f>
        <v>2</v>
      </c>
      <c r="D334" s="17"/>
      <c r="E334" s="14"/>
      <c r="F334" s="18"/>
      <c r="G334" s="19"/>
      <c r="H334" s="20"/>
      <c r="I334" s="21"/>
      <c r="J334" s="14"/>
      <c r="K334" s="14">
        <f t="shared" si="10"/>
        <v>0</v>
      </c>
      <c r="L334" s="16">
        <f t="shared" si="11"/>
        <v>2</v>
      </c>
      <c r="M334" s="22">
        <v>45444</v>
      </c>
      <c r="N334" s="44" t="s">
        <v>45</v>
      </c>
      <c r="O334" s="23" t="s">
        <v>16</v>
      </c>
      <c r="P334" s="24" t="s">
        <v>17</v>
      </c>
      <c r="Q334" s="28" t="s">
        <v>576</v>
      </c>
    </row>
    <row r="335" spans="1:17">
      <c r="A335" s="14">
        <v>331</v>
      </c>
      <c r="B335" s="29" t="s">
        <v>455</v>
      </c>
      <c r="C335" s="16">
        <f>'Медикаменты Июль'!L331</f>
        <v>0</v>
      </c>
      <c r="D335" s="17"/>
      <c r="E335" s="14"/>
      <c r="F335" s="18"/>
      <c r="G335" s="19"/>
      <c r="H335" s="20"/>
      <c r="I335" s="21"/>
      <c r="J335" s="14"/>
      <c r="K335" s="14">
        <f t="shared" si="10"/>
        <v>0</v>
      </c>
      <c r="L335" s="16">
        <f t="shared" si="11"/>
        <v>0</v>
      </c>
      <c r="M335" s="22"/>
      <c r="N335" s="44"/>
      <c r="O335" s="23" t="s">
        <v>16</v>
      </c>
      <c r="P335" s="24"/>
      <c r="Q335" s="45"/>
    </row>
    <row r="336" spans="1:17">
      <c r="A336" s="14">
        <v>332</v>
      </c>
      <c r="B336" s="29" t="s">
        <v>456</v>
      </c>
      <c r="C336" s="16">
        <f>'Медикаменты Июль'!L332</f>
        <v>0</v>
      </c>
      <c r="D336" s="17"/>
      <c r="E336" s="14"/>
      <c r="F336" s="18"/>
      <c r="G336" s="19"/>
      <c r="H336" s="20"/>
      <c r="I336" s="21"/>
      <c r="J336" s="14"/>
      <c r="K336" s="14">
        <f t="shared" si="10"/>
        <v>0</v>
      </c>
      <c r="L336" s="16">
        <f t="shared" si="11"/>
        <v>0</v>
      </c>
      <c r="M336" s="22">
        <v>44287</v>
      </c>
      <c r="N336" s="44"/>
      <c r="O336" s="23" t="s">
        <v>16</v>
      </c>
      <c r="P336" s="24"/>
      <c r="Q336" s="28" t="s">
        <v>457</v>
      </c>
    </row>
    <row r="337" spans="1:17">
      <c r="A337" s="14">
        <v>333</v>
      </c>
      <c r="B337" s="29" t="s">
        <v>458</v>
      </c>
      <c r="C337" s="16">
        <f>'Медикаменты Июль'!L333</f>
        <v>0</v>
      </c>
      <c r="D337" s="17"/>
      <c r="E337" s="14"/>
      <c r="F337" s="18"/>
      <c r="G337" s="19"/>
      <c r="H337" s="20"/>
      <c r="I337" s="21"/>
      <c r="J337" s="14"/>
      <c r="K337" s="14">
        <f t="shared" si="10"/>
        <v>0</v>
      </c>
      <c r="L337" s="16">
        <f t="shared" si="11"/>
        <v>0</v>
      </c>
      <c r="M337" s="22">
        <v>44287</v>
      </c>
      <c r="N337" s="44" t="s">
        <v>45</v>
      </c>
      <c r="O337" s="23" t="s">
        <v>16</v>
      </c>
      <c r="P337" s="24" t="s">
        <v>45</v>
      </c>
      <c r="Q337" s="28" t="s">
        <v>459</v>
      </c>
    </row>
    <row r="338" spans="1:17">
      <c r="A338" s="14">
        <v>334</v>
      </c>
      <c r="B338" s="29" t="s">
        <v>460</v>
      </c>
      <c r="C338" s="16">
        <f>'Медикаменты Июль'!L334</f>
        <v>0</v>
      </c>
      <c r="D338" s="17"/>
      <c r="E338" s="14"/>
      <c r="F338" s="18"/>
      <c r="G338" s="19"/>
      <c r="H338" s="20"/>
      <c r="I338" s="21"/>
      <c r="J338" s="14"/>
      <c r="K338" s="14">
        <f t="shared" si="10"/>
        <v>0</v>
      </c>
      <c r="L338" s="16">
        <f t="shared" si="11"/>
        <v>0</v>
      </c>
      <c r="M338" s="22">
        <v>45597</v>
      </c>
      <c r="N338" s="44"/>
      <c r="O338" s="23" t="s">
        <v>16</v>
      </c>
      <c r="P338" s="24" t="s">
        <v>45</v>
      </c>
      <c r="Q338" s="28" t="s">
        <v>461</v>
      </c>
    </row>
    <row r="339" spans="1:17">
      <c r="A339" s="14">
        <v>335</v>
      </c>
      <c r="B339" s="29" t="s">
        <v>462</v>
      </c>
      <c r="C339" s="16">
        <f>'Медикаменты Июль'!L335</f>
        <v>0</v>
      </c>
      <c r="D339" s="17"/>
      <c r="E339" s="14"/>
      <c r="F339" s="18"/>
      <c r="G339" s="19"/>
      <c r="H339" s="20"/>
      <c r="I339" s="21"/>
      <c r="J339" s="14"/>
      <c r="K339" s="14">
        <f t="shared" si="10"/>
        <v>0</v>
      </c>
      <c r="L339" s="16">
        <f t="shared" si="11"/>
        <v>0</v>
      </c>
      <c r="M339" s="22">
        <v>43952</v>
      </c>
      <c r="N339" s="44"/>
      <c r="O339" s="23" t="s">
        <v>16</v>
      </c>
      <c r="P339" s="24"/>
      <c r="Q339" s="45"/>
    </row>
    <row r="340" spans="1:17">
      <c r="A340" s="14">
        <v>336</v>
      </c>
      <c r="B340" s="29" t="s">
        <v>463</v>
      </c>
      <c r="C340" s="16">
        <f>'Медикаменты Июль'!L336</f>
        <v>0</v>
      </c>
      <c r="D340" s="17"/>
      <c r="E340" s="14"/>
      <c r="F340" s="18"/>
      <c r="G340" s="19"/>
      <c r="H340" s="20"/>
      <c r="I340" s="21"/>
      <c r="J340" s="14"/>
      <c r="K340" s="14">
        <f t="shared" si="10"/>
        <v>0</v>
      </c>
      <c r="L340" s="16">
        <f t="shared" si="11"/>
        <v>0</v>
      </c>
      <c r="M340" s="22"/>
      <c r="N340" s="44"/>
      <c r="O340" s="23" t="s">
        <v>16</v>
      </c>
      <c r="P340" s="24"/>
      <c r="Q340" s="45"/>
    </row>
    <row r="341" spans="1:17">
      <c r="A341" s="14">
        <v>337</v>
      </c>
      <c r="B341" s="29" t="s">
        <v>640</v>
      </c>
      <c r="C341" s="16">
        <f>'Медикаменты Июль'!L337</f>
        <v>0</v>
      </c>
      <c r="D341" s="17"/>
      <c r="E341" s="14">
        <f>80</f>
        <v>80</v>
      </c>
      <c r="F341" s="18"/>
      <c r="G341" s="19"/>
      <c r="H341" s="20"/>
      <c r="I341" s="21"/>
      <c r="J341" s="14"/>
      <c r="K341" s="14">
        <f t="shared" si="10"/>
        <v>0</v>
      </c>
      <c r="L341" s="16">
        <f t="shared" si="11"/>
        <v>80</v>
      </c>
      <c r="M341" s="22">
        <v>45047</v>
      </c>
      <c r="N341" s="44" t="s">
        <v>551</v>
      </c>
      <c r="O341" s="23" t="s">
        <v>16</v>
      </c>
      <c r="P341" s="24" t="s">
        <v>17</v>
      </c>
      <c r="Q341" s="28" t="s">
        <v>641</v>
      </c>
    </row>
    <row r="342" spans="1:17">
      <c r="A342" s="14">
        <v>338</v>
      </c>
      <c r="B342" s="29" t="s">
        <v>465</v>
      </c>
      <c r="C342" s="16">
        <f>'Медикаменты Июль'!L338</f>
        <v>0</v>
      </c>
      <c r="D342" s="17"/>
      <c r="E342" s="14"/>
      <c r="F342" s="18"/>
      <c r="G342" s="19"/>
      <c r="H342" s="20"/>
      <c r="I342" s="21"/>
      <c r="J342" s="14"/>
      <c r="K342" s="14">
        <f t="shared" si="10"/>
        <v>0</v>
      </c>
      <c r="L342" s="16">
        <f t="shared" si="11"/>
        <v>0</v>
      </c>
      <c r="M342" s="22"/>
      <c r="N342" s="44"/>
      <c r="O342" s="23" t="s">
        <v>16</v>
      </c>
      <c r="P342" s="24"/>
      <c r="Q342" s="45"/>
    </row>
    <row r="343" spans="1:17">
      <c r="A343" s="14">
        <v>339</v>
      </c>
      <c r="B343" s="29" t="s">
        <v>466</v>
      </c>
      <c r="C343" s="16">
        <f>'Медикаменты Июль'!L339</f>
        <v>0</v>
      </c>
      <c r="D343" s="17"/>
      <c r="E343" s="14"/>
      <c r="F343" s="18"/>
      <c r="G343" s="19"/>
      <c r="H343" s="20"/>
      <c r="I343" s="21"/>
      <c r="J343" s="14"/>
      <c r="K343" s="14">
        <f t="shared" si="10"/>
        <v>0</v>
      </c>
      <c r="L343" s="16">
        <f t="shared" si="11"/>
        <v>0</v>
      </c>
      <c r="M343" s="22">
        <v>44835</v>
      </c>
      <c r="N343" s="44"/>
      <c r="O343" s="23" t="s">
        <v>16</v>
      </c>
      <c r="P343" s="24"/>
      <c r="Q343" s="45"/>
    </row>
    <row r="344" spans="1:17">
      <c r="A344" s="14">
        <v>340</v>
      </c>
      <c r="B344" s="29" t="s">
        <v>467</v>
      </c>
      <c r="C344" s="16">
        <f>'Медикаменты Июль'!L340</f>
        <v>0</v>
      </c>
      <c r="D344" s="26"/>
      <c r="E344" s="14"/>
      <c r="F344" s="18"/>
      <c r="G344" s="19"/>
      <c r="H344" s="20"/>
      <c r="I344" s="21"/>
      <c r="J344" s="14"/>
      <c r="K344" s="14">
        <f t="shared" si="10"/>
        <v>0</v>
      </c>
      <c r="L344" s="16">
        <f t="shared" si="11"/>
        <v>0</v>
      </c>
      <c r="M344" s="22"/>
      <c r="N344" s="44"/>
      <c r="O344" s="23" t="s">
        <v>16</v>
      </c>
      <c r="P344" s="24"/>
      <c r="Q344" s="45"/>
    </row>
    <row r="345" spans="1:17">
      <c r="A345" s="14">
        <v>341</v>
      </c>
      <c r="B345" s="29" t="s">
        <v>468</v>
      </c>
      <c r="C345" s="16">
        <f>'Медикаменты Июль'!L341</f>
        <v>0</v>
      </c>
      <c r="D345" s="17"/>
      <c r="E345" s="14"/>
      <c r="F345" s="18"/>
      <c r="G345" s="19"/>
      <c r="H345" s="20"/>
      <c r="I345" s="21"/>
      <c r="J345" s="14"/>
      <c r="K345" s="14">
        <f t="shared" si="10"/>
        <v>0</v>
      </c>
      <c r="L345" s="16">
        <f t="shared" si="11"/>
        <v>0</v>
      </c>
      <c r="M345" s="22"/>
      <c r="N345" s="44"/>
      <c r="O345" s="23" t="s">
        <v>16</v>
      </c>
      <c r="P345" s="24"/>
      <c r="Q345" s="45"/>
    </row>
    <row r="346" spans="1:17">
      <c r="A346" s="14">
        <v>342</v>
      </c>
      <c r="B346" s="29" t="s">
        <v>469</v>
      </c>
      <c r="C346" s="16">
        <f>'Медикаменты Июль'!L342</f>
        <v>10</v>
      </c>
      <c r="D346" s="17"/>
      <c r="E346" s="14"/>
      <c r="F346" s="18"/>
      <c r="G346" s="19"/>
      <c r="H346" s="20">
        <f>5</f>
        <v>5</v>
      </c>
      <c r="I346" s="21"/>
      <c r="J346" s="14"/>
      <c r="K346" s="14">
        <f t="shared" si="10"/>
        <v>5</v>
      </c>
      <c r="L346" s="16">
        <f t="shared" si="11"/>
        <v>5</v>
      </c>
      <c r="M346" s="22">
        <v>44652</v>
      </c>
      <c r="N346" s="44" t="s">
        <v>45</v>
      </c>
      <c r="O346" s="23" t="s">
        <v>16</v>
      </c>
      <c r="P346" s="24" t="s">
        <v>17</v>
      </c>
      <c r="Q346" s="28" t="s">
        <v>470</v>
      </c>
    </row>
    <row r="347" spans="1:17">
      <c r="A347" s="14">
        <v>343</v>
      </c>
      <c r="B347" s="29" t="s">
        <v>577</v>
      </c>
      <c r="C347" s="16">
        <f>'Медикаменты Июль'!L343</f>
        <v>863</v>
      </c>
      <c r="D347" s="17"/>
      <c r="E347" s="14"/>
      <c r="F347" s="18"/>
      <c r="G347" s="19"/>
      <c r="H347" s="20">
        <f>50</f>
        <v>50</v>
      </c>
      <c r="I347" s="21"/>
      <c r="J347" s="14"/>
      <c r="K347" s="14">
        <f t="shared" si="10"/>
        <v>50</v>
      </c>
      <c r="L347" s="16">
        <f t="shared" si="11"/>
        <v>813</v>
      </c>
      <c r="M347" s="22">
        <v>44927</v>
      </c>
      <c r="N347" s="44" t="s">
        <v>551</v>
      </c>
      <c r="O347" s="23" t="s">
        <v>16</v>
      </c>
      <c r="P347" s="24" t="s">
        <v>17</v>
      </c>
      <c r="Q347" s="28" t="s">
        <v>578</v>
      </c>
    </row>
    <row r="348" spans="1:17">
      <c r="A348" s="14">
        <v>344</v>
      </c>
      <c r="B348" s="29" t="s">
        <v>577</v>
      </c>
      <c r="C348" s="16">
        <f>'Медикаменты Июль'!L344</f>
        <v>0</v>
      </c>
      <c r="D348" s="17"/>
      <c r="E348" s="14"/>
      <c r="F348" s="18"/>
      <c r="G348" s="19"/>
      <c r="H348" s="20"/>
      <c r="I348" s="21"/>
      <c r="J348" s="14"/>
      <c r="K348" s="14">
        <f t="shared" si="10"/>
        <v>0</v>
      </c>
      <c r="L348" s="16">
        <f t="shared" si="11"/>
        <v>0</v>
      </c>
      <c r="M348" s="22">
        <v>44927</v>
      </c>
      <c r="N348" s="44" t="s">
        <v>551</v>
      </c>
      <c r="O348" s="23" t="s">
        <v>26</v>
      </c>
      <c r="P348" s="24" t="s">
        <v>17</v>
      </c>
      <c r="Q348" s="28" t="s">
        <v>578</v>
      </c>
    </row>
    <row r="349" spans="1:17">
      <c r="A349" s="14">
        <v>345</v>
      </c>
      <c r="B349" s="29" t="s">
        <v>579</v>
      </c>
      <c r="C349" s="16">
        <f>'Медикаменты Июль'!L345</f>
        <v>617</v>
      </c>
      <c r="D349" s="17"/>
      <c r="E349" s="14"/>
      <c r="F349" s="18">
        <f>10+10</f>
        <v>20</v>
      </c>
      <c r="G349" s="19"/>
      <c r="H349" s="20">
        <f>50</f>
        <v>50</v>
      </c>
      <c r="I349" s="21"/>
      <c r="J349" s="14"/>
      <c r="K349" s="14">
        <f t="shared" si="10"/>
        <v>70</v>
      </c>
      <c r="L349" s="16">
        <f t="shared" si="11"/>
        <v>547</v>
      </c>
      <c r="M349" s="22">
        <v>44927</v>
      </c>
      <c r="N349" s="44" t="s">
        <v>551</v>
      </c>
      <c r="O349" s="23" t="s">
        <v>16</v>
      </c>
      <c r="P349" s="24" t="s">
        <v>17</v>
      </c>
      <c r="Q349" s="28" t="s">
        <v>580</v>
      </c>
    </row>
    <row r="350" spans="1:17">
      <c r="A350" s="14">
        <v>346</v>
      </c>
      <c r="B350" s="29" t="s">
        <v>581</v>
      </c>
      <c r="C350" s="16">
        <f>'Медикаменты Июль'!L346</f>
        <v>80</v>
      </c>
      <c r="D350" s="17"/>
      <c r="E350" s="14"/>
      <c r="F350" s="18"/>
      <c r="G350" s="19"/>
      <c r="H350" s="20">
        <f>50</f>
        <v>50</v>
      </c>
      <c r="I350" s="21"/>
      <c r="J350" s="14"/>
      <c r="K350" s="14">
        <f t="shared" si="10"/>
        <v>50</v>
      </c>
      <c r="L350" s="16">
        <f t="shared" si="11"/>
        <v>30</v>
      </c>
      <c r="M350" s="22">
        <v>44927</v>
      </c>
      <c r="N350" s="44" t="s">
        <v>551</v>
      </c>
      <c r="O350" s="23" t="s">
        <v>16</v>
      </c>
      <c r="P350" s="24" t="s">
        <v>17</v>
      </c>
      <c r="Q350" s="28" t="s">
        <v>582</v>
      </c>
    </row>
    <row r="351" spans="1:17">
      <c r="A351" s="14">
        <v>347</v>
      </c>
      <c r="B351" s="29" t="s">
        <v>612</v>
      </c>
      <c r="C351" s="16">
        <f>'Медикаменты Июль'!L347</f>
        <v>300</v>
      </c>
      <c r="D351" s="17"/>
      <c r="E351" s="14"/>
      <c r="F351" s="18"/>
      <c r="G351" s="19"/>
      <c r="H351" s="20"/>
      <c r="I351" s="21"/>
      <c r="J351" s="14"/>
      <c r="K351" s="14">
        <f t="shared" si="10"/>
        <v>0</v>
      </c>
      <c r="L351" s="16">
        <f t="shared" si="11"/>
        <v>300</v>
      </c>
      <c r="M351" s="22">
        <v>44866</v>
      </c>
      <c r="N351" s="44" t="s">
        <v>551</v>
      </c>
      <c r="O351" s="23" t="s">
        <v>16</v>
      </c>
      <c r="P351" s="24" t="s">
        <v>17</v>
      </c>
      <c r="Q351" s="28" t="s">
        <v>613</v>
      </c>
    </row>
    <row r="352" spans="1:17">
      <c r="A352" s="14">
        <v>348</v>
      </c>
      <c r="B352" s="29" t="s">
        <v>471</v>
      </c>
      <c r="C352" s="16">
        <f>'Медикаменты Июль'!L348</f>
        <v>0</v>
      </c>
      <c r="D352" s="17"/>
      <c r="E352" s="14"/>
      <c r="F352" s="18"/>
      <c r="G352" s="19"/>
      <c r="H352" s="20"/>
      <c r="I352" s="21"/>
      <c r="J352" s="14"/>
      <c r="K352" s="14">
        <f t="shared" si="10"/>
        <v>0</v>
      </c>
      <c r="L352" s="16">
        <f t="shared" si="11"/>
        <v>0</v>
      </c>
      <c r="M352" s="22"/>
      <c r="N352" s="44"/>
      <c r="O352" s="23" t="s">
        <v>16</v>
      </c>
      <c r="P352" s="24"/>
      <c r="Q352" s="45"/>
    </row>
    <row r="353" spans="1:17">
      <c r="A353" s="14">
        <v>349</v>
      </c>
      <c r="B353" s="29" t="s">
        <v>472</v>
      </c>
      <c r="C353" s="16">
        <f>'Медикаменты Июль'!L349</f>
        <v>0</v>
      </c>
      <c r="D353" s="17"/>
      <c r="E353" s="14"/>
      <c r="F353" s="18"/>
      <c r="G353" s="19"/>
      <c r="H353" s="20"/>
      <c r="I353" s="21"/>
      <c r="J353" s="14"/>
      <c r="K353" s="14">
        <f t="shared" si="10"/>
        <v>0</v>
      </c>
      <c r="L353" s="16">
        <f t="shared" si="11"/>
        <v>0</v>
      </c>
      <c r="M353" s="22">
        <v>44562</v>
      </c>
      <c r="N353" s="44"/>
      <c r="O353" s="23" t="s">
        <v>16</v>
      </c>
      <c r="P353" s="24"/>
      <c r="Q353" s="28" t="s">
        <v>473</v>
      </c>
    </row>
    <row r="354" spans="1:17">
      <c r="A354" s="14">
        <v>350</v>
      </c>
      <c r="B354" s="29" t="s">
        <v>474</v>
      </c>
      <c r="C354" s="16">
        <f>'Медикаменты Июль'!L350</f>
        <v>250</v>
      </c>
      <c r="D354" s="17"/>
      <c r="E354" s="14"/>
      <c r="F354" s="18">
        <f>5</f>
        <v>5</v>
      </c>
      <c r="G354" s="19"/>
      <c r="H354" s="20"/>
      <c r="I354" s="21"/>
      <c r="J354" s="14"/>
      <c r="K354" s="14">
        <f t="shared" si="10"/>
        <v>5</v>
      </c>
      <c r="L354" s="16">
        <f t="shared" si="11"/>
        <v>245</v>
      </c>
      <c r="M354" s="22">
        <v>45108</v>
      </c>
      <c r="N354" s="44" t="s">
        <v>551</v>
      </c>
      <c r="O354" s="23" t="s">
        <v>16</v>
      </c>
      <c r="P354" s="24" t="s">
        <v>45</v>
      </c>
      <c r="Q354" s="28" t="s">
        <v>475</v>
      </c>
    </row>
    <row r="355" spans="1:17">
      <c r="A355" s="14">
        <v>351</v>
      </c>
      <c r="B355" s="29" t="s">
        <v>476</v>
      </c>
      <c r="C355" s="16">
        <f>'Медикаменты Июль'!L351</f>
        <v>0</v>
      </c>
      <c r="D355" s="17"/>
      <c r="E355" s="14"/>
      <c r="F355" s="18"/>
      <c r="G355" s="19"/>
      <c r="H355" s="20"/>
      <c r="I355" s="21"/>
      <c r="J355" s="14"/>
      <c r="K355" s="14">
        <f t="shared" si="10"/>
        <v>0</v>
      </c>
      <c r="L355" s="16">
        <f t="shared" si="11"/>
        <v>0</v>
      </c>
      <c r="M355" s="22">
        <v>44531</v>
      </c>
      <c r="N355" s="44"/>
      <c r="O355" s="23" t="s">
        <v>16</v>
      </c>
      <c r="P355" s="24" t="s">
        <v>45</v>
      </c>
      <c r="Q355" s="28" t="s">
        <v>477</v>
      </c>
    </row>
    <row r="356" spans="1:17">
      <c r="A356" s="14">
        <v>352</v>
      </c>
      <c r="B356" s="29" t="s">
        <v>478</v>
      </c>
      <c r="C356" s="16">
        <f>'Медикаменты Июль'!L352</f>
        <v>0</v>
      </c>
      <c r="D356" s="17"/>
      <c r="E356" s="14"/>
      <c r="F356" s="18"/>
      <c r="G356" s="19"/>
      <c r="H356" s="20"/>
      <c r="I356" s="21"/>
      <c r="J356" s="14"/>
      <c r="K356" s="14">
        <f t="shared" si="10"/>
        <v>0</v>
      </c>
      <c r="L356" s="16">
        <f t="shared" si="11"/>
        <v>0</v>
      </c>
      <c r="M356" s="22"/>
      <c r="N356" s="44"/>
      <c r="O356" s="23" t="s">
        <v>16</v>
      </c>
      <c r="P356" s="24"/>
      <c r="Q356" s="45"/>
    </row>
    <row r="357" spans="1:17">
      <c r="A357" s="14">
        <v>353</v>
      </c>
      <c r="B357" s="29" t="s">
        <v>479</v>
      </c>
      <c r="C357" s="16">
        <f>'Медикаменты Июль'!L353</f>
        <v>0</v>
      </c>
      <c r="D357" s="17"/>
      <c r="E357" s="14"/>
      <c r="F357" s="18"/>
      <c r="G357" s="19"/>
      <c r="H357" s="20"/>
      <c r="I357" s="21"/>
      <c r="J357" s="14"/>
      <c r="K357" s="14">
        <f t="shared" si="10"/>
        <v>0</v>
      </c>
      <c r="L357" s="16">
        <f t="shared" si="11"/>
        <v>0</v>
      </c>
      <c r="M357" s="22">
        <v>44743</v>
      </c>
      <c r="N357" s="44"/>
      <c r="O357" s="23" t="s">
        <v>16</v>
      </c>
      <c r="P357" s="24"/>
      <c r="Q357" s="28" t="s">
        <v>480</v>
      </c>
    </row>
    <row r="358" spans="1:17">
      <c r="A358" s="14">
        <v>354</v>
      </c>
      <c r="B358" s="29" t="s">
        <v>481</v>
      </c>
      <c r="C358" s="16">
        <f>'Медикаменты Июль'!L354</f>
        <v>150</v>
      </c>
      <c r="D358" s="17"/>
      <c r="E358" s="14"/>
      <c r="F358" s="18">
        <f>5+5</f>
        <v>10</v>
      </c>
      <c r="G358" s="19"/>
      <c r="H358" s="20"/>
      <c r="I358" s="21"/>
      <c r="J358" s="14"/>
      <c r="K358" s="14">
        <f t="shared" si="10"/>
        <v>10</v>
      </c>
      <c r="L358" s="16">
        <f t="shared" si="11"/>
        <v>140</v>
      </c>
      <c r="M358" s="22">
        <v>45108</v>
      </c>
      <c r="N358" s="44" t="s">
        <v>45</v>
      </c>
      <c r="O358" s="23" t="s">
        <v>16</v>
      </c>
      <c r="P358" s="24" t="s">
        <v>17</v>
      </c>
      <c r="Q358" s="28" t="s">
        <v>558</v>
      </c>
    </row>
    <row r="359" spans="1:17">
      <c r="A359" s="14">
        <v>355</v>
      </c>
      <c r="B359" s="29" t="s">
        <v>481</v>
      </c>
      <c r="C359" s="16">
        <f>'Медикаменты Июль'!L355</f>
        <v>0</v>
      </c>
      <c r="D359" s="17"/>
      <c r="E359" s="14"/>
      <c r="F359" s="18"/>
      <c r="G359" s="19"/>
      <c r="H359" s="20"/>
      <c r="I359" s="21"/>
      <c r="J359" s="14"/>
      <c r="K359" s="14">
        <f t="shared" si="10"/>
        <v>0</v>
      </c>
      <c r="L359" s="16">
        <f t="shared" si="11"/>
        <v>0</v>
      </c>
      <c r="M359" s="22">
        <v>45078</v>
      </c>
      <c r="N359" s="44" t="s">
        <v>45</v>
      </c>
      <c r="O359" s="23" t="s">
        <v>26</v>
      </c>
      <c r="P359" s="24" t="s">
        <v>17</v>
      </c>
      <c r="Q359" s="28" t="s">
        <v>558</v>
      </c>
    </row>
    <row r="360" spans="1:17">
      <c r="A360" s="14">
        <v>356</v>
      </c>
      <c r="B360" s="29" t="s">
        <v>483</v>
      </c>
      <c r="C360" s="16">
        <f>'Медикаменты Июль'!L356</f>
        <v>0</v>
      </c>
      <c r="D360" s="17"/>
      <c r="E360" s="14"/>
      <c r="F360" s="18"/>
      <c r="G360" s="19"/>
      <c r="H360" s="20"/>
      <c r="I360" s="21"/>
      <c r="J360" s="14"/>
      <c r="K360" s="14">
        <f t="shared" si="10"/>
        <v>0</v>
      </c>
      <c r="L360" s="16">
        <f t="shared" si="11"/>
        <v>0</v>
      </c>
      <c r="M360" s="22">
        <v>45689</v>
      </c>
      <c r="N360" s="44" t="s">
        <v>45</v>
      </c>
      <c r="O360" s="23" t="s">
        <v>16</v>
      </c>
      <c r="P360" s="24" t="s">
        <v>17</v>
      </c>
      <c r="Q360" s="28" t="s">
        <v>484</v>
      </c>
    </row>
    <row r="361" spans="1:17">
      <c r="A361" s="14">
        <v>357</v>
      </c>
      <c r="B361" s="29" t="s">
        <v>483</v>
      </c>
      <c r="C361" s="16">
        <f>'Медикаменты Июль'!L357</f>
        <v>0</v>
      </c>
      <c r="D361" s="17"/>
      <c r="E361" s="14"/>
      <c r="F361" s="18"/>
      <c r="G361" s="19"/>
      <c r="H361" s="20"/>
      <c r="I361" s="21"/>
      <c r="J361" s="14"/>
      <c r="K361" s="14">
        <f t="shared" si="10"/>
        <v>0</v>
      </c>
      <c r="L361" s="16">
        <f t="shared" si="11"/>
        <v>0</v>
      </c>
      <c r="M361" s="22">
        <v>45689</v>
      </c>
      <c r="N361" s="44" t="s">
        <v>45</v>
      </c>
      <c r="O361" s="23" t="s">
        <v>26</v>
      </c>
      <c r="P361" s="24" t="s">
        <v>17</v>
      </c>
      <c r="Q361" s="28" t="s">
        <v>484</v>
      </c>
    </row>
    <row r="362" spans="1:17">
      <c r="A362" s="14">
        <v>358</v>
      </c>
      <c r="B362" s="29" t="s">
        <v>485</v>
      </c>
      <c r="C362" s="16">
        <f>'Медикаменты Июль'!L358</f>
        <v>0</v>
      </c>
      <c r="D362" s="17"/>
      <c r="E362" s="14"/>
      <c r="F362" s="18"/>
      <c r="G362" s="19"/>
      <c r="H362" s="20"/>
      <c r="I362" s="21"/>
      <c r="J362" s="14"/>
      <c r="K362" s="14">
        <f t="shared" si="10"/>
        <v>0</v>
      </c>
      <c r="L362" s="16">
        <f t="shared" si="11"/>
        <v>0</v>
      </c>
      <c r="M362" s="22">
        <v>45597</v>
      </c>
      <c r="N362" s="44"/>
      <c r="O362" s="23" t="s">
        <v>16</v>
      </c>
      <c r="P362" s="24"/>
      <c r="Q362" s="28" t="s">
        <v>486</v>
      </c>
    </row>
    <row r="363" spans="1:17">
      <c r="A363" s="14">
        <v>359</v>
      </c>
      <c r="B363" s="29" t="s">
        <v>487</v>
      </c>
      <c r="C363" s="16">
        <f>'Медикаменты Июль'!L359</f>
        <v>0</v>
      </c>
      <c r="D363" s="17"/>
      <c r="E363" s="14"/>
      <c r="F363" s="18"/>
      <c r="G363" s="19"/>
      <c r="H363" s="20"/>
      <c r="I363" s="21"/>
      <c r="J363" s="14"/>
      <c r="K363" s="14">
        <f t="shared" si="10"/>
        <v>0</v>
      </c>
      <c r="L363" s="16">
        <f t="shared" si="11"/>
        <v>0</v>
      </c>
      <c r="M363" s="22"/>
      <c r="N363" s="44"/>
      <c r="O363" s="23" t="s">
        <v>16</v>
      </c>
      <c r="P363" s="24"/>
      <c r="Q363" s="45"/>
    </row>
    <row r="364" spans="1:17">
      <c r="A364" s="14">
        <v>360</v>
      </c>
      <c r="B364" s="29" t="s">
        <v>488</v>
      </c>
      <c r="C364" s="16">
        <f>'Медикаменты Июль'!L360</f>
        <v>0</v>
      </c>
      <c r="D364" s="17"/>
      <c r="E364" s="14"/>
      <c r="F364" s="18"/>
      <c r="G364" s="19"/>
      <c r="H364" s="20"/>
      <c r="I364" s="21"/>
      <c r="J364" s="14"/>
      <c r="K364" s="14">
        <f t="shared" si="10"/>
        <v>0</v>
      </c>
      <c r="L364" s="16">
        <f t="shared" si="11"/>
        <v>0</v>
      </c>
      <c r="M364" s="22">
        <v>45200</v>
      </c>
      <c r="N364" s="44" t="s">
        <v>551</v>
      </c>
      <c r="O364" s="23" t="s">
        <v>16</v>
      </c>
      <c r="P364" s="24" t="s">
        <v>17</v>
      </c>
      <c r="Q364" s="28" t="s">
        <v>489</v>
      </c>
    </row>
    <row r="365" spans="1:17">
      <c r="A365" s="14">
        <v>361</v>
      </c>
      <c r="B365" s="29" t="s">
        <v>490</v>
      </c>
      <c r="C365" s="16">
        <f>'Медикаменты Июль'!L361</f>
        <v>0</v>
      </c>
      <c r="D365" s="17"/>
      <c r="E365" s="14"/>
      <c r="F365" s="18"/>
      <c r="G365" s="19"/>
      <c r="H365" s="20"/>
      <c r="I365" s="21"/>
      <c r="J365" s="14"/>
      <c r="K365" s="14">
        <f t="shared" si="10"/>
        <v>0</v>
      </c>
      <c r="L365" s="16">
        <f t="shared" si="11"/>
        <v>0</v>
      </c>
      <c r="M365" s="22"/>
      <c r="N365" s="44"/>
      <c r="O365" s="23" t="s">
        <v>16</v>
      </c>
      <c r="P365" s="24"/>
      <c r="Q365" s="45"/>
    </row>
    <row r="366" spans="1:17">
      <c r="A366" s="14">
        <v>362</v>
      </c>
      <c r="B366" s="29" t="s">
        <v>614</v>
      </c>
      <c r="C366" s="16">
        <f>'Медикаменты Июль'!L362</f>
        <v>75</v>
      </c>
      <c r="D366" s="17"/>
      <c r="E366" s="14"/>
      <c r="F366" s="18">
        <f>6</f>
        <v>6</v>
      </c>
      <c r="G366" s="19"/>
      <c r="H366" s="20"/>
      <c r="I366" s="21"/>
      <c r="J366" s="14"/>
      <c r="K366" s="14">
        <f t="shared" si="10"/>
        <v>6</v>
      </c>
      <c r="L366" s="16">
        <f t="shared" si="11"/>
        <v>69</v>
      </c>
      <c r="M366" s="22">
        <v>45323</v>
      </c>
      <c r="N366" s="44" t="s">
        <v>551</v>
      </c>
      <c r="O366" s="23" t="s">
        <v>16</v>
      </c>
      <c r="P366" s="24" t="s">
        <v>17</v>
      </c>
      <c r="Q366" s="28" t="s">
        <v>615</v>
      </c>
    </row>
    <row r="367" spans="1:17">
      <c r="A367" s="14">
        <v>363</v>
      </c>
      <c r="B367" s="29" t="s">
        <v>642</v>
      </c>
      <c r="C367" s="16">
        <f>'Медикаменты Июль'!L363</f>
        <v>50</v>
      </c>
      <c r="D367" s="17"/>
      <c r="E367" s="14"/>
      <c r="F367" s="18"/>
      <c r="G367" s="19"/>
      <c r="H367" s="20"/>
      <c r="I367" s="21"/>
      <c r="J367" s="14"/>
      <c r="K367" s="14">
        <f t="shared" si="10"/>
        <v>0</v>
      </c>
      <c r="L367" s="16">
        <f t="shared" si="11"/>
        <v>50</v>
      </c>
      <c r="M367" s="22">
        <v>45231</v>
      </c>
      <c r="N367" s="44" t="s">
        <v>551</v>
      </c>
      <c r="O367" s="23" t="s">
        <v>16</v>
      </c>
      <c r="P367" s="24" t="s">
        <v>17</v>
      </c>
      <c r="Q367" s="28" t="s">
        <v>492</v>
      </c>
    </row>
    <row r="368" spans="1:17">
      <c r="A368" s="14">
        <v>364</v>
      </c>
      <c r="B368" s="29" t="s">
        <v>642</v>
      </c>
      <c r="C368" s="16">
        <f>'Медикаменты Июль'!L364</f>
        <v>345</v>
      </c>
      <c r="D368" s="17"/>
      <c r="E368" s="14"/>
      <c r="F368" s="18"/>
      <c r="G368" s="19"/>
      <c r="H368" s="20"/>
      <c r="I368" s="21"/>
      <c r="J368" s="14"/>
      <c r="K368" s="14">
        <f t="shared" si="10"/>
        <v>0</v>
      </c>
      <c r="L368" s="16">
        <f t="shared" si="11"/>
        <v>345</v>
      </c>
      <c r="M368" s="22">
        <v>44896</v>
      </c>
      <c r="N368" s="44" t="s">
        <v>551</v>
      </c>
      <c r="O368" s="23" t="s">
        <v>16</v>
      </c>
      <c r="P368" s="24" t="s">
        <v>17</v>
      </c>
      <c r="Q368" s="28" t="s">
        <v>492</v>
      </c>
    </row>
    <row r="369" spans="1:17">
      <c r="A369" s="14">
        <v>365</v>
      </c>
      <c r="B369" s="29" t="s">
        <v>643</v>
      </c>
      <c r="C369" s="16">
        <f>'Медикаменты Июль'!L365</f>
        <v>40</v>
      </c>
      <c r="D369" s="17"/>
      <c r="E369" s="14"/>
      <c r="F369" s="18"/>
      <c r="G369" s="19"/>
      <c r="H369" s="20"/>
      <c r="I369" s="21"/>
      <c r="J369" s="14"/>
      <c r="K369" s="14">
        <f t="shared" si="10"/>
        <v>0</v>
      </c>
      <c r="L369" s="16">
        <f t="shared" si="11"/>
        <v>40</v>
      </c>
      <c r="M369" s="22">
        <v>44774</v>
      </c>
      <c r="N369" s="44" t="s">
        <v>551</v>
      </c>
      <c r="O369" s="23" t="s">
        <v>16</v>
      </c>
      <c r="P369" s="24" t="s">
        <v>17</v>
      </c>
      <c r="Q369" s="28" t="s">
        <v>494</v>
      </c>
    </row>
    <row r="370" spans="1:17">
      <c r="A370" s="14">
        <v>366</v>
      </c>
      <c r="B370" s="29" t="s">
        <v>495</v>
      </c>
      <c r="C370" s="16">
        <f>'Медикаменты Июль'!L366</f>
        <v>0</v>
      </c>
      <c r="D370" s="17"/>
      <c r="E370" s="14"/>
      <c r="F370" s="18"/>
      <c r="G370" s="19"/>
      <c r="H370" s="20"/>
      <c r="I370" s="21"/>
      <c r="J370" s="14"/>
      <c r="K370" s="14">
        <f t="shared" si="10"/>
        <v>0</v>
      </c>
      <c r="L370" s="16">
        <f t="shared" si="11"/>
        <v>0</v>
      </c>
      <c r="M370" s="22"/>
      <c r="N370" s="44"/>
      <c r="O370" s="23" t="s">
        <v>16</v>
      </c>
      <c r="P370" s="24"/>
      <c r="Q370" s="45"/>
    </row>
    <row r="371" spans="1:17">
      <c r="A371" s="14">
        <v>367</v>
      </c>
      <c r="B371" s="29" t="s">
        <v>583</v>
      </c>
      <c r="C371" s="16">
        <f>'Медикаменты Июль'!L367</f>
        <v>8</v>
      </c>
      <c r="D371" s="17"/>
      <c r="E371" s="14"/>
      <c r="F371" s="18">
        <f>2</f>
        <v>2</v>
      </c>
      <c r="G371" s="19"/>
      <c r="H371" s="20"/>
      <c r="I371" s="21"/>
      <c r="J371" s="14"/>
      <c r="K371" s="14">
        <f t="shared" si="10"/>
        <v>2</v>
      </c>
      <c r="L371" s="16">
        <f t="shared" si="11"/>
        <v>6</v>
      </c>
      <c r="M371" s="22">
        <v>44896</v>
      </c>
      <c r="N371" s="44" t="s">
        <v>551</v>
      </c>
      <c r="O371" s="23" t="s">
        <v>16</v>
      </c>
      <c r="P371" s="24" t="s">
        <v>17</v>
      </c>
      <c r="Q371" s="28" t="s">
        <v>497</v>
      </c>
    </row>
    <row r="372" spans="1:17">
      <c r="A372" s="14">
        <v>368</v>
      </c>
      <c r="B372" s="29" t="s">
        <v>498</v>
      </c>
      <c r="C372" s="16">
        <f>'Медикаменты Июль'!L368</f>
        <v>100</v>
      </c>
      <c r="D372" s="17"/>
      <c r="E372" s="14"/>
      <c r="F372" s="18"/>
      <c r="G372" s="19"/>
      <c r="H372" s="20"/>
      <c r="I372" s="21"/>
      <c r="J372" s="14"/>
      <c r="K372" s="14">
        <f t="shared" si="10"/>
        <v>0</v>
      </c>
      <c r="L372" s="16">
        <f t="shared" si="11"/>
        <v>100</v>
      </c>
      <c r="M372" s="22">
        <v>44805</v>
      </c>
      <c r="N372" s="44" t="s">
        <v>45</v>
      </c>
      <c r="O372" s="23" t="s">
        <v>16</v>
      </c>
      <c r="P372" s="24" t="s">
        <v>17</v>
      </c>
      <c r="Q372" s="28" t="s">
        <v>499</v>
      </c>
    </row>
    <row r="373" spans="1:17">
      <c r="A373" s="14">
        <v>369</v>
      </c>
      <c r="B373" s="29" t="s">
        <v>500</v>
      </c>
      <c r="C373" s="16">
        <f>'Медикаменты Июль'!L369</f>
        <v>80</v>
      </c>
      <c r="D373" s="17"/>
      <c r="E373" s="14"/>
      <c r="F373" s="18"/>
      <c r="G373" s="19"/>
      <c r="H373" s="20">
        <f>10</f>
        <v>10</v>
      </c>
      <c r="I373" s="21"/>
      <c r="J373" s="14"/>
      <c r="K373" s="14">
        <f t="shared" si="10"/>
        <v>10</v>
      </c>
      <c r="L373" s="16">
        <f t="shared" si="11"/>
        <v>70</v>
      </c>
      <c r="M373" s="22">
        <v>45992</v>
      </c>
      <c r="N373" s="44" t="s">
        <v>551</v>
      </c>
      <c r="O373" s="23" t="s">
        <v>16</v>
      </c>
      <c r="P373" s="24" t="s">
        <v>17</v>
      </c>
      <c r="Q373" s="28" t="s">
        <v>616</v>
      </c>
    </row>
    <row r="374" spans="1:17">
      <c r="A374" s="14">
        <v>370</v>
      </c>
      <c r="B374" s="29" t="s">
        <v>501</v>
      </c>
      <c r="C374" s="16">
        <f>'Медикаменты Июль'!L370</f>
        <v>0</v>
      </c>
      <c r="D374" s="17"/>
      <c r="E374" s="14"/>
      <c r="F374" s="18"/>
      <c r="G374" s="19"/>
      <c r="H374" s="20"/>
      <c r="I374" s="21"/>
      <c r="J374" s="14"/>
      <c r="K374" s="14">
        <f t="shared" si="10"/>
        <v>0</v>
      </c>
      <c r="L374" s="16">
        <f t="shared" si="11"/>
        <v>0</v>
      </c>
      <c r="M374" s="22"/>
      <c r="N374" s="44"/>
      <c r="O374" s="23" t="s">
        <v>16</v>
      </c>
      <c r="P374" s="24"/>
      <c r="Q374" s="45"/>
    </row>
    <row r="375" spans="1:17">
      <c r="A375" s="14">
        <v>371</v>
      </c>
      <c r="B375" s="29" t="s">
        <v>502</v>
      </c>
      <c r="C375" s="16">
        <f>'Медикаменты Июль'!L371</f>
        <v>30</v>
      </c>
      <c r="D375" s="17"/>
      <c r="E375" s="14"/>
      <c r="F375" s="18">
        <f>5+5</f>
        <v>10</v>
      </c>
      <c r="G375" s="19"/>
      <c r="H375" s="20"/>
      <c r="I375" s="21"/>
      <c r="J375" s="14"/>
      <c r="K375" s="14">
        <f t="shared" si="10"/>
        <v>10</v>
      </c>
      <c r="L375" s="16">
        <f t="shared" si="11"/>
        <v>20</v>
      </c>
      <c r="M375" s="22">
        <v>45139</v>
      </c>
      <c r="N375" s="44" t="s">
        <v>551</v>
      </c>
      <c r="O375" s="23" t="s">
        <v>16</v>
      </c>
      <c r="P375" s="24" t="s">
        <v>17</v>
      </c>
      <c r="Q375" s="46" t="s">
        <v>588</v>
      </c>
    </row>
    <row r="376" spans="1:17">
      <c r="A376" s="14">
        <v>372</v>
      </c>
      <c r="B376" s="29" t="s">
        <v>502</v>
      </c>
      <c r="C376" s="16">
        <f>'Медикаменты Июль'!L372</f>
        <v>0</v>
      </c>
      <c r="D376" s="17"/>
      <c r="E376" s="14"/>
      <c r="F376" s="18"/>
      <c r="G376" s="19"/>
      <c r="H376" s="20"/>
      <c r="I376" s="21"/>
      <c r="J376" s="14"/>
      <c r="K376" s="14">
        <f t="shared" si="10"/>
        <v>0</v>
      </c>
      <c r="L376" s="16">
        <f t="shared" si="11"/>
        <v>0</v>
      </c>
      <c r="M376" s="22">
        <v>45139</v>
      </c>
      <c r="N376" s="44" t="s">
        <v>551</v>
      </c>
      <c r="O376" s="23" t="s">
        <v>26</v>
      </c>
      <c r="P376" s="24" t="s">
        <v>17</v>
      </c>
      <c r="Q376" s="46" t="s">
        <v>588</v>
      </c>
    </row>
    <row r="377" spans="1:17">
      <c r="A377" s="14">
        <v>373</v>
      </c>
      <c r="B377" s="29" t="s">
        <v>503</v>
      </c>
      <c r="C377" s="16">
        <f>'Медикаменты Июль'!L373</f>
        <v>43</v>
      </c>
      <c r="D377" s="26"/>
      <c r="E377" s="14"/>
      <c r="F377" s="18">
        <f>5</f>
        <v>5</v>
      </c>
      <c r="G377" s="19"/>
      <c r="H377" s="20"/>
      <c r="I377" s="21"/>
      <c r="J377" s="14"/>
      <c r="K377" s="14">
        <f t="shared" si="10"/>
        <v>5</v>
      </c>
      <c r="L377" s="16">
        <f t="shared" si="11"/>
        <v>38</v>
      </c>
      <c r="M377" s="22">
        <v>44713</v>
      </c>
      <c r="N377" s="44" t="s">
        <v>45</v>
      </c>
      <c r="O377" s="23" t="s">
        <v>16</v>
      </c>
      <c r="P377" s="24" t="s">
        <v>17</v>
      </c>
      <c r="Q377" s="28" t="s">
        <v>504</v>
      </c>
    </row>
    <row r="378" spans="1:17">
      <c r="A378" s="14">
        <v>374</v>
      </c>
      <c r="B378" s="29" t="s">
        <v>505</v>
      </c>
      <c r="C378" s="16">
        <f>'Медикаменты Июль'!L374</f>
        <v>0</v>
      </c>
      <c r="D378" s="17"/>
      <c r="E378" s="14"/>
      <c r="F378" s="18"/>
      <c r="G378" s="19"/>
      <c r="H378" s="20"/>
      <c r="I378" s="21"/>
      <c r="J378" s="14"/>
      <c r="K378" s="14">
        <f t="shared" si="10"/>
        <v>0</v>
      </c>
      <c r="L378" s="16">
        <f t="shared" si="11"/>
        <v>0</v>
      </c>
      <c r="M378" s="22"/>
      <c r="N378" s="44"/>
      <c r="O378" s="23" t="s">
        <v>16</v>
      </c>
      <c r="P378" s="24"/>
      <c r="Q378" s="45"/>
    </row>
    <row r="379" spans="1:17">
      <c r="A379" s="14">
        <v>375</v>
      </c>
      <c r="B379" s="29" t="s">
        <v>506</v>
      </c>
      <c r="C379" s="16">
        <f>'Медикаменты Июль'!L375</f>
        <v>0</v>
      </c>
      <c r="D379" s="26"/>
      <c r="E379" s="14"/>
      <c r="F379" s="18"/>
      <c r="G379" s="19"/>
      <c r="H379" s="20"/>
      <c r="I379" s="21"/>
      <c r="J379" s="14"/>
      <c r="K379" s="14">
        <f t="shared" si="10"/>
        <v>0</v>
      </c>
      <c r="L379" s="16">
        <f t="shared" si="11"/>
        <v>0</v>
      </c>
      <c r="M379" s="22">
        <v>44531</v>
      </c>
      <c r="N379" s="44" t="s">
        <v>45</v>
      </c>
      <c r="O379" s="23" t="s">
        <v>16</v>
      </c>
      <c r="P379" s="24" t="s">
        <v>17</v>
      </c>
      <c r="Q379" s="28" t="s">
        <v>507</v>
      </c>
    </row>
    <row r="380" spans="1:17">
      <c r="A380" s="14">
        <v>376</v>
      </c>
      <c r="B380" s="29" t="s">
        <v>644</v>
      </c>
      <c r="C380" s="16">
        <f>'Медикаменты Июль'!L376</f>
        <v>402</v>
      </c>
      <c r="D380" s="17"/>
      <c r="E380" s="14"/>
      <c r="F380" s="18"/>
      <c r="G380" s="19"/>
      <c r="H380" s="20"/>
      <c r="I380" s="21"/>
      <c r="J380" s="14"/>
      <c r="K380" s="14">
        <f t="shared" si="10"/>
        <v>0</v>
      </c>
      <c r="L380" s="16">
        <f t="shared" si="11"/>
        <v>402</v>
      </c>
      <c r="M380" s="22">
        <v>45108</v>
      </c>
      <c r="N380" s="44" t="s">
        <v>551</v>
      </c>
      <c r="O380" s="23" t="s">
        <v>16</v>
      </c>
      <c r="P380" s="24" t="s">
        <v>17</v>
      </c>
      <c r="Q380" s="28" t="s">
        <v>509</v>
      </c>
    </row>
    <row r="381" spans="1:17">
      <c r="A381" s="14">
        <v>377</v>
      </c>
      <c r="B381" s="29" t="s">
        <v>510</v>
      </c>
      <c r="C381" s="16">
        <f>'Медикаменты Июль'!L377</f>
        <v>105</v>
      </c>
      <c r="D381" s="17"/>
      <c r="E381" s="14"/>
      <c r="F381" s="18"/>
      <c r="G381" s="19"/>
      <c r="H381" s="20"/>
      <c r="I381" s="21"/>
      <c r="J381" s="14"/>
      <c r="K381" s="14">
        <f t="shared" si="10"/>
        <v>0</v>
      </c>
      <c r="L381" s="16">
        <f t="shared" si="11"/>
        <v>105</v>
      </c>
      <c r="M381" s="22">
        <v>44950</v>
      </c>
      <c r="N381" s="44" t="s">
        <v>551</v>
      </c>
      <c r="O381" s="23" t="s">
        <v>16</v>
      </c>
      <c r="P381" s="24" t="s">
        <v>17</v>
      </c>
      <c r="Q381" s="28" t="s">
        <v>589</v>
      </c>
    </row>
    <row r="382" spans="1:17">
      <c r="A382" s="14">
        <v>378</v>
      </c>
      <c r="B382" s="29" t="s">
        <v>511</v>
      </c>
      <c r="C382" s="16">
        <f>'Медикаменты Июль'!L378</f>
        <v>0</v>
      </c>
      <c r="D382" s="17"/>
      <c r="E382" s="14"/>
      <c r="F382" s="18"/>
      <c r="G382" s="19"/>
      <c r="H382" s="20"/>
      <c r="I382" s="21"/>
      <c r="J382" s="14"/>
      <c r="K382" s="14">
        <f t="shared" si="10"/>
        <v>0</v>
      </c>
      <c r="L382" s="16">
        <f t="shared" si="11"/>
        <v>0</v>
      </c>
      <c r="M382" s="22"/>
      <c r="N382" s="44"/>
      <c r="O382" s="23" t="s">
        <v>16</v>
      </c>
      <c r="P382" s="24"/>
      <c r="Q382" s="45"/>
    </row>
    <row r="383" spans="1:17">
      <c r="A383" s="14">
        <v>379</v>
      </c>
      <c r="B383" s="29" t="s">
        <v>512</v>
      </c>
      <c r="C383" s="16">
        <f>'Медикаменты Июль'!L379</f>
        <v>300</v>
      </c>
      <c r="D383" s="17"/>
      <c r="E383" s="14"/>
      <c r="F383" s="18">
        <f>15</f>
        <v>15</v>
      </c>
      <c r="G383" s="19"/>
      <c r="H383" s="20">
        <f>30</f>
        <v>30</v>
      </c>
      <c r="I383" s="21"/>
      <c r="J383" s="14"/>
      <c r="K383" s="14">
        <f t="shared" si="10"/>
        <v>45</v>
      </c>
      <c r="L383" s="16">
        <f t="shared" si="11"/>
        <v>255</v>
      </c>
      <c r="M383" s="22">
        <v>45383</v>
      </c>
      <c r="N383" s="44" t="s">
        <v>551</v>
      </c>
      <c r="O383" s="23" t="s">
        <v>16</v>
      </c>
      <c r="P383" s="24" t="s">
        <v>17</v>
      </c>
      <c r="Q383" s="28" t="s">
        <v>513</v>
      </c>
    </row>
    <row r="384" spans="1:17">
      <c r="A384" s="14">
        <v>380</v>
      </c>
      <c r="B384" s="29" t="s">
        <v>514</v>
      </c>
      <c r="C384" s="16">
        <f>'Медикаменты Июль'!L380</f>
        <v>300</v>
      </c>
      <c r="D384" s="17"/>
      <c r="E384" s="14"/>
      <c r="F384" s="18">
        <f>15</f>
        <v>15</v>
      </c>
      <c r="G384" s="19"/>
      <c r="H384" s="20">
        <f>30</f>
        <v>30</v>
      </c>
      <c r="I384" s="21"/>
      <c r="J384" s="14"/>
      <c r="K384" s="14">
        <f t="shared" si="10"/>
        <v>45</v>
      </c>
      <c r="L384" s="16">
        <f t="shared" si="11"/>
        <v>255</v>
      </c>
      <c r="M384" s="22">
        <v>45199</v>
      </c>
      <c r="N384" s="44" t="s">
        <v>551</v>
      </c>
      <c r="O384" s="23" t="s">
        <v>16</v>
      </c>
      <c r="P384" s="24" t="s">
        <v>17</v>
      </c>
      <c r="Q384" s="28" t="s">
        <v>515</v>
      </c>
    </row>
    <row r="385" spans="1:17">
      <c r="A385" s="14">
        <v>381</v>
      </c>
      <c r="B385" s="29" t="s">
        <v>516</v>
      </c>
      <c r="C385" s="16">
        <f>'Медикаменты Июль'!L381</f>
        <v>0</v>
      </c>
      <c r="D385" s="17"/>
      <c r="E385" s="14"/>
      <c r="F385" s="18"/>
      <c r="G385" s="19"/>
      <c r="H385" s="20"/>
      <c r="I385" s="21"/>
      <c r="J385" s="14"/>
      <c r="K385" s="14">
        <f t="shared" si="10"/>
        <v>0</v>
      </c>
      <c r="L385" s="16">
        <f t="shared" si="11"/>
        <v>0</v>
      </c>
      <c r="M385" s="22"/>
      <c r="N385" s="44"/>
      <c r="O385" s="23" t="s">
        <v>16</v>
      </c>
      <c r="P385" s="24"/>
      <c r="Q385" s="45"/>
    </row>
    <row r="386" spans="1:17">
      <c r="A386" s="14">
        <v>382</v>
      </c>
      <c r="B386" s="29" t="s">
        <v>517</v>
      </c>
      <c r="C386" s="16">
        <f>'Медикаменты Июль'!L382</f>
        <v>0</v>
      </c>
      <c r="D386" s="17"/>
      <c r="E386" s="14"/>
      <c r="F386" s="18"/>
      <c r="G386" s="19"/>
      <c r="H386" s="20"/>
      <c r="I386" s="21"/>
      <c r="J386" s="14"/>
      <c r="K386" s="14">
        <f t="shared" si="10"/>
        <v>0</v>
      </c>
      <c r="L386" s="16">
        <f t="shared" si="11"/>
        <v>0</v>
      </c>
      <c r="M386" s="22">
        <v>44682</v>
      </c>
      <c r="N386" s="44"/>
      <c r="O386" s="23" t="s">
        <v>26</v>
      </c>
      <c r="P386" s="24" t="s">
        <v>17</v>
      </c>
      <c r="Q386" s="28" t="s">
        <v>518</v>
      </c>
    </row>
    <row r="387" spans="1:17">
      <c r="A387" s="14">
        <v>383</v>
      </c>
      <c r="B387" s="29" t="s">
        <v>519</v>
      </c>
      <c r="C387" s="16">
        <f>'Медикаменты Июль'!L383</f>
        <v>0</v>
      </c>
      <c r="D387" s="17"/>
      <c r="E387" s="14"/>
      <c r="F387" s="18"/>
      <c r="G387" s="19"/>
      <c r="H387" s="20"/>
      <c r="I387" s="21"/>
      <c r="J387" s="14"/>
      <c r="K387" s="14">
        <f t="shared" si="10"/>
        <v>0</v>
      </c>
      <c r="L387" s="16">
        <f t="shared" si="11"/>
        <v>0</v>
      </c>
      <c r="M387" s="22">
        <v>44409</v>
      </c>
      <c r="N387" s="44"/>
      <c r="O387" s="23" t="s">
        <v>16</v>
      </c>
      <c r="P387" s="24"/>
      <c r="Q387" s="45"/>
    </row>
    <row r="388" spans="1:17">
      <c r="A388" s="14">
        <v>384</v>
      </c>
      <c r="B388" s="29" t="s">
        <v>520</v>
      </c>
      <c r="C388" s="16">
        <f>'Медикаменты Июль'!L384</f>
        <v>0</v>
      </c>
      <c r="D388" s="17"/>
      <c r="E388" s="14"/>
      <c r="F388" s="18"/>
      <c r="G388" s="19"/>
      <c r="H388" s="20"/>
      <c r="I388" s="21"/>
      <c r="J388" s="14"/>
      <c r="K388" s="14">
        <f t="shared" si="10"/>
        <v>0</v>
      </c>
      <c r="L388" s="16">
        <f t="shared" si="11"/>
        <v>0</v>
      </c>
      <c r="M388" s="22">
        <v>44805</v>
      </c>
      <c r="N388" s="44"/>
      <c r="O388" s="23" t="s">
        <v>26</v>
      </c>
      <c r="P388" s="24" t="s">
        <v>17</v>
      </c>
      <c r="Q388" s="28" t="s">
        <v>521</v>
      </c>
    </row>
    <row r="389" spans="1:17">
      <c r="A389" s="14">
        <v>385</v>
      </c>
      <c r="B389" s="29" t="s">
        <v>522</v>
      </c>
      <c r="C389" s="16">
        <f>'Медикаменты Июль'!L385</f>
        <v>0</v>
      </c>
      <c r="D389" s="17"/>
      <c r="E389" s="14"/>
      <c r="F389" s="18"/>
      <c r="G389" s="19"/>
      <c r="H389" s="20"/>
      <c r="I389" s="21"/>
      <c r="J389" s="14"/>
      <c r="K389" s="14">
        <f t="shared" ref="K389:K452" si="12">SUM(F389:J389)</f>
        <v>0</v>
      </c>
      <c r="L389" s="16">
        <f t="shared" ref="L389:L452" si="13">(C389+E389)-K389</f>
        <v>0</v>
      </c>
      <c r="M389" s="22"/>
      <c r="N389" s="44"/>
      <c r="O389" s="23" t="s">
        <v>16</v>
      </c>
      <c r="P389" s="24"/>
      <c r="Q389" s="45"/>
    </row>
    <row r="390" spans="1:17">
      <c r="A390" s="14">
        <v>386</v>
      </c>
      <c r="B390" s="29" t="s">
        <v>523</v>
      </c>
      <c r="C390" s="16">
        <f>'Медикаменты Июль'!L386</f>
        <v>0</v>
      </c>
      <c r="D390" s="17"/>
      <c r="E390" s="14"/>
      <c r="F390" s="18"/>
      <c r="G390" s="19"/>
      <c r="H390" s="20"/>
      <c r="I390" s="21"/>
      <c r="J390" s="14"/>
      <c r="K390" s="14">
        <f t="shared" si="12"/>
        <v>0</v>
      </c>
      <c r="L390" s="16">
        <f t="shared" si="13"/>
        <v>0</v>
      </c>
      <c r="M390" s="22">
        <v>44228</v>
      </c>
      <c r="N390" s="44"/>
      <c r="O390" s="23" t="s">
        <v>16</v>
      </c>
      <c r="P390" s="24"/>
      <c r="Q390" s="28" t="s">
        <v>524</v>
      </c>
    </row>
    <row r="391" spans="1:17">
      <c r="A391" s="14">
        <v>387</v>
      </c>
      <c r="B391" s="29" t="s">
        <v>525</v>
      </c>
      <c r="C391" s="16">
        <f>'Медикаменты Июль'!L387</f>
        <v>86</v>
      </c>
      <c r="D391" s="17"/>
      <c r="E391" s="14"/>
      <c r="F391" s="18"/>
      <c r="G391" s="19"/>
      <c r="H391" s="20"/>
      <c r="I391" s="21"/>
      <c r="J391" s="14"/>
      <c r="K391" s="14">
        <f t="shared" si="12"/>
        <v>0</v>
      </c>
      <c r="L391" s="16">
        <f t="shared" si="13"/>
        <v>86</v>
      </c>
      <c r="M391" s="22">
        <v>44958</v>
      </c>
      <c r="N391" s="44" t="s">
        <v>45</v>
      </c>
      <c r="O391" s="23" t="s">
        <v>16</v>
      </c>
      <c r="P391" s="24" t="s">
        <v>17</v>
      </c>
      <c r="Q391" s="28" t="s">
        <v>526</v>
      </c>
    </row>
    <row r="392" spans="1:17">
      <c r="A392" s="14">
        <v>388</v>
      </c>
      <c r="B392" s="29" t="s">
        <v>527</v>
      </c>
      <c r="C392" s="16">
        <f>'Медикаменты Июль'!L388</f>
        <v>0</v>
      </c>
      <c r="D392" s="17"/>
      <c r="E392" s="14"/>
      <c r="F392" s="18"/>
      <c r="G392" s="19"/>
      <c r="H392" s="20"/>
      <c r="I392" s="21"/>
      <c r="J392" s="14"/>
      <c r="K392" s="14">
        <f t="shared" si="12"/>
        <v>0</v>
      </c>
      <c r="L392" s="16">
        <f t="shared" si="13"/>
        <v>0</v>
      </c>
      <c r="M392" s="22">
        <v>44652</v>
      </c>
      <c r="N392" s="44" t="s">
        <v>45</v>
      </c>
      <c r="O392" s="23" t="s">
        <v>16</v>
      </c>
      <c r="P392" s="24" t="s">
        <v>17</v>
      </c>
      <c r="Q392" s="28" t="s">
        <v>528</v>
      </c>
    </row>
    <row r="393" spans="1:17">
      <c r="A393" s="14">
        <v>389</v>
      </c>
      <c r="B393" s="29" t="s">
        <v>527</v>
      </c>
      <c r="C393" s="16">
        <f>'Медикаменты Июль'!L389</f>
        <v>25</v>
      </c>
      <c r="D393" s="17"/>
      <c r="E393" s="14"/>
      <c r="F393" s="18"/>
      <c r="G393" s="19"/>
      <c r="H393" s="20"/>
      <c r="I393" s="21"/>
      <c r="J393" s="14"/>
      <c r="K393" s="14">
        <f t="shared" si="12"/>
        <v>0</v>
      </c>
      <c r="L393" s="16">
        <f t="shared" si="13"/>
        <v>25</v>
      </c>
      <c r="M393" s="22">
        <v>44896</v>
      </c>
      <c r="N393" s="44" t="s">
        <v>45</v>
      </c>
      <c r="O393" s="23" t="s">
        <v>16</v>
      </c>
      <c r="P393" s="24" t="s">
        <v>17</v>
      </c>
      <c r="Q393" s="28" t="s">
        <v>528</v>
      </c>
    </row>
  </sheetData>
  <autoFilter ref="A2:Q393"/>
  <mergeCells count="18">
    <mergeCell ref="P2:P4"/>
    <mergeCell ref="Q2:Q4"/>
    <mergeCell ref="A1:Q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2:M4"/>
    <mergeCell ref="N2:N4"/>
    <mergeCell ref="O2:O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FFFF00"/>
  </sheetPr>
  <dimension ref="A1:O26"/>
  <sheetViews>
    <sheetView zoomScaleNormal="100" workbookViewId="0">
      <pane ySplit="4" topLeftCell="A5" activePane="bottomLeft" state="frozen"/>
      <selection pane="bottomLeft" activeCell="C5" sqref="C5"/>
    </sheetView>
  </sheetViews>
  <sheetFormatPr defaultRowHeight="15"/>
  <cols>
    <col min="1" max="1" width="12.5703125" customWidth="1"/>
    <col min="2" max="2" width="45.85546875" customWidth="1"/>
    <col min="3" max="13" width="13.28515625" customWidth="1"/>
    <col min="14" max="14" width="13.7109375" customWidth="1"/>
    <col min="15" max="1022" width="9.140625" customWidth="1"/>
    <col min="1023" max="1025" width="11.5703125" customWidth="1"/>
  </cols>
  <sheetData>
    <row r="1" spans="1:15" ht="51.75" customHeight="1">
      <c r="A1" s="3" t="s">
        <v>529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s="33" customFormat="1" ht="13.9" customHeight="1">
      <c r="A2" s="11" t="s">
        <v>1</v>
      </c>
      <c r="B2" s="10" t="s">
        <v>2</v>
      </c>
      <c r="C2" s="9">
        <v>44409</v>
      </c>
      <c r="D2" s="11" t="s">
        <v>3</v>
      </c>
      <c r="E2" s="11" t="s">
        <v>4</v>
      </c>
      <c r="F2" s="8" t="s">
        <v>5</v>
      </c>
      <c r="G2" s="2" t="s">
        <v>6</v>
      </c>
      <c r="H2" s="6" t="s">
        <v>7</v>
      </c>
      <c r="I2" s="5" t="s">
        <v>8</v>
      </c>
      <c r="J2" s="11" t="s">
        <v>9</v>
      </c>
      <c r="K2" s="11" t="s">
        <v>10</v>
      </c>
      <c r="L2" s="9">
        <v>44439</v>
      </c>
      <c r="M2" s="1" t="s">
        <v>11</v>
      </c>
      <c r="N2" s="1" t="s">
        <v>12</v>
      </c>
      <c r="O2" s="32"/>
    </row>
    <row r="3" spans="1:15" s="33" customFormat="1" ht="14.25">
      <c r="A3" s="11"/>
      <c r="B3" s="10"/>
      <c r="C3" s="9"/>
      <c r="D3" s="9"/>
      <c r="E3" s="9"/>
      <c r="F3" s="8"/>
      <c r="G3" s="2"/>
      <c r="H3" s="6"/>
      <c r="I3" s="5"/>
      <c r="J3" s="11"/>
      <c r="K3" s="11"/>
      <c r="L3" s="11"/>
      <c r="M3" s="1"/>
      <c r="N3" s="1"/>
      <c r="O3" s="32"/>
    </row>
    <row r="4" spans="1:15" s="33" customFormat="1" ht="24.75" customHeight="1">
      <c r="A4" s="11"/>
      <c r="B4" s="10"/>
      <c r="C4" s="9"/>
      <c r="D4" s="9"/>
      <c r="E4" s="9"/>
      <c r="F4" s="8"/>
      <c r="G4" s="2"/>
      <c r="H4" s="6"/>
      <c r="I4" s="5"/>
      <c r="J4" s="11"/>
      <c r="K4" s="11"/>
      <c r="L4" s="11"/>
      <c r="M4" s="1"/>
      <c r="N4" s="1"/>
      <c r="O4" s="32"/>
    </row>
    <row r="5" spans="1:15">
      <c r="A5" s="34">
        <v>1</v>
      </c>
      <c r="B5" s="35" t="s">
        <v>530</v>
      </c>
      <c r="C5" s="14">
        <f>'Перевязочные Июль'!L5</f>
        <v>518</v>
      </c>
      <c r="D5" s="36"/>
      <c r="E5" s="36"/>
      <c r="F5" s="37">
        <f>20</f>
        <v>20</v>
      </c>
      <c r="G5" s="38"/>
      <c r="H5" s="39"/>
      <c r="I5" s="40"/>
      <c r="J5" s="36"/>
      <c r="K5" s="14">
        <f t="shared" ref="K5:K26" si="0">SUM(F5:J5)</f>
        <v>20</v>
      </c>
      <c r="L5" s="16">
        <f t="shared" ref="L5:L26" si="1">(C5+E5)-K5</f>
        <v>498</v>
      </c>
      <c r="M5" s="41">
        <v>44652</v>
      </c>
      <c r="N5" s="42" t="s">
        <v>16</v>
      </c>
      <c r="O5" s="43"/>
    </row>
    <row r="6" spans="1:15">
      <c r="A6" s="34">
        <v>2</v>
      </c>
      <c r="B6" s="35" t="s">
        <v>531</v>
      </c>
      <c r="C6" s="14">
        <f>'Перевязочные Июль'!L6</f>
        <v>85</v>
      </c>
      <c r="D6" s="36"/>
      <c r="E6" s="36"/>
      <c r="F6" s="37"/>
      <c r="G6" s="38"/>
      <c r="H6" s="39"/>
      <c r="I6" s="40"/>
      <c r="J6" s="36"/>
      <c r="K6" s="14">
        <f t="shared" si="0"/>
        <v>0</v>
      </c>
      <c r="L6" s="16">
        <f t="shared" si="1"/>
        <v>85</v>
      </c>
      <c r="M6" s="41">
        <v>45200</v>
      </c>
      <c r="N6" s="42" t="s">
        <v>16</v>
      </c>
      <c r="O6" s="43"/>
    </row>
    <row r="7" spans="1:15">
      <c r="A7" s="34">
        <v>3</v>
      </c>
      <c r="B7" s="35" t="s">
        <v>532</v>
      </c>
      <c r="C7" s="14">
        <f>'Перевязочные Июль'!L7</f>
        <v>10</v>
      </c>
      <c r="D7" s="36"/>
      <c r="E7" s="36"/>
      <c r="F7" s="37"/>
      <c r="G7" s="38"/>
      <c r="H7" s="39"/>
      <c r="I7" s="40"/>
      <c r="J7" s="36"/>
      <c r="K7" s="14">
        <f t="shared" si="0"/>
        <v>0</v>
      </c>
      <c r="L7" s="16">
        <f t="shared" si="1"/>
        <v>10</v>
      </c>
      <c r="M7" s="41">
        <v>44958</v>
      </c>
      <c r="N7" s="42" t="s">
        <v>16</v>
      </c>
      <c r="O7" s="43"/>
    </row>
    <row r="8" spans="1:15">
      <c r="A8" s="34">
        <v>4</v>
      </c>
      <c r="B8" s="35" t="s">
        <v>533</v>
      </c>
      <c r="C8" s="14">
        <f>'Перевязочные Июль'!L8</f>
        <v>0</v>
      </c>
      <c r="D8" s="36"/>
      <c r="E8" s="36"/>
      <c r="F8" s="37"/>
      <c r="G8" s="38"/>
      <c r="H8" s="39"/>
      <c r="I8" s="40"/>
      <c r="J8" s="36"/>
      <c r="K8" s="14">
        <f t="shared" si="0"/>
        <v>0</v>
      </c>
      <c r="L8" s="16">
        <f t="shared" si="1"/>
        <v>0</v>
      </c>
      <c r="M8" s="41"/>
      <c r="N8" s="42" t="s">
        <v>16</v>
      </c>
      <c r="O8" s="43"/>
    </row>
    <row r="9" spans="1:15">
      <c r="A9" s="34">
        <v>5</v>
      </c>
      <c r="B9" s="35" t="s">
        <v>534</v>
      </c>
      <c r="C9" s="14">
        <f>'Перевязочные Июль'!L9</f>
        <v>0</v>
      </c>
      <c r="D9" s="36"/>
      <c r="E9" s="36"/>
      <c r="F9" s="37"/>
      <c r="G9" s="38"/>
      <c r="H9" s="39"/>
      <c r="I9" s="40"/>
      <c r="J9" s="36"/>
      <c r="K9" s="14">
        <f t="shared" si="0"/>
        <v>0</v>
      </c>
      <c r="L9" s="16">
        <f t="shared" si="1"/>
        <v>0</v>
      </c>
      <c r="M9" s="41"/>
      <c r="N9" s="42" t="s">
        <v>16</v>
      </c>
      <c r="O9" s="43"/>
    </row>
    <row r="10" spans="1:15">
      <c r="A10" s="34">
        <v>6</v>
      </c>
      <c r="B10" s="35" t="s">
        <v>535</v>
      </c>
      <c r="C10" s="14">
        <f>'Перевязочные Июль'!L10</f>
        <v>10</v>
      </c>
      <c r="D10" s="36"/>
      <c r="E10" s="36"/>
      <c r="F10" s="37"/>
      <c r="G10" s="38"/>
      <c r="H10" s="39"/>
      <c r="I10" s="40"/>
      <c r="J10" s="36"/>
      <c r="K10" s="14">
        <f t="shared" si="0"/>
        <v>0</v>
      </c>
      <c r="L10" s="16">
        <f t="shared" si="1"/>
        <v>10</v>
      </c>
      <c r="M10" s="41">
        <v>45231</v>
      </c>
      <c r="N10" s="42" t="s">
        <v>16</v>
      </c>
      <c r="O10" s="43"/>
    </row>
    <row r="11" spans="1:15">
      <c r="A11" s="34">
        <v>7</v>
      </c>
      <c r="B11" s="35" t="s">
        <v>536</v>
      </c>
      <c r="C11" s="14">
        <f>'Перевязочные Июль'!L11</f>
        <v>0</v>
      </c>
      <c r="D11" s="36"/>
      <c r="E11" s="36"/>
      <c r="F11" s="37"/>
      <c r="G11" s="38"/>
      <c r="H11" s="39"/>
      <c r="I11" s="40"/>
      <c r="J11" s="36"/>
      <c r="K11" s="14">
        <f t="shared" si="0"/>
        <v>0</v>
      </c>
      <c r="L11" s="16">
        <f t="shared" si="1"/>
        <v>0</v>
      </c>
      <c r="M11" s="41"/>
      <c r="N11" s="42" t="s">
        <v>16</v>
      </c>
      <c r="O11" s="43"/>
    </row>
    <row r="12" spans="1:15">
      <c r="A12" s="34">
        <v>8</v>
      </c>
      <c r="B12" s="35" t="s">
        <v>537</v>
      </c>
      <c r="C12" s="14">
        <f>'Перевязочные Июль'!L12</f>
        <v>12</v>
      </c>
      <c r="D12" s="36"/>
      <c r="E12" s="36"/>
      <c r="F12" s="37"/>
      <c r="G12" s="38"/>
      <c r="H12" s="39"/>
      <c r="I12" s="40"/>
      <c r="J12" s="36"/>
      <c r="K12" s="14">
        <f t="shared" si="0"/>
        <v>0</v>
      </c>
      <c r="L12" s="16">
        <f t="shared" si="1"/>
        <v>12</v>
      </c>
      <c r="M12" s="41">
        <v>45658</v>
      </c>
      <c r="N12" s="42" t="s">
        <v>16</v>
      </c>
      <c r="O12" s="43"/>
    </row>
    <row r="13" spans="1:15">
      <c r="A13" s="34">
        <v>9</v>
      </c>
      <c r="B13" s="35" t="s">
        <v>537</v>
      </c>
      <c r="C13" s="14">
        <f>'Перевязочные Июль'!L13</f>
        <v>50</v>
      </c>
      <c r="D13" s="36"/>
      <c r="E13" s="36"/>
      <c r="F13" s="37"/>
      <c r="G13" s="38"/>
      <c r="H13" s="39"/>
      <c r="I13" s="40"/>
      <c r="J13" s="36"/>
      <c r="K13" s="14">
        <f t="shared" si="0"/>
        <v>0</v>
      </c>
      <c r="L13" s="16">
        <f t="shared" si="1"/>
        <v>50</v>
      </c>
      <c r="M13" s="41">
        <v>45870</v>
      </c>
      <c r="N13" s="42" t="s">
        <v>16</v>
      </c>
      <c r="O13" s="43"/>
    </row>
    <row r="14" spans="1:15">
      <c r="A14" s="34">
        <v>10</v>
      </c>
      <c r="B14" s="35" t="s">
        <v>617</v>
      </c>
      <c r="C14" s="14">
        <f>'Перевязочные Июль'!L14</f>
        <v>20</v>
      </c>
      <c r="D14" s="36"/>
      <c r="E14" s="36"/>
      <c r="F14" s="37"/>
      <c r="G14" s="38"/>
      <c r="H14" s="39"/>
      <c r="I14" s="40"/>
      <c r="J14" s="36"/>
      <c r="K14" s="14">
        <f t="shared" si="0"/>
        <v>0</v>
      </c>
      <c r="L14" s="16">
        <f t="shared" si="1"/>
        <v>20</v>
      </c>
      <c r="M14" s="41">
        <v>45809</v>
      </c>
      <c r="N14" s="42" t="s">
        <v>16</v>
      </c>
      <c r="O14" s="43"/>
    </row>
    <row r="15" spans="1:15">
      <c r="A15" s="34">
        <v>11</v>
      </c>
      <c r="B15" s="35" t="s">
        <v>538</v>
      </c>
      <c r="C15" s="14">
        <f>'Перевязочные Июль'!L15</f>
        <v>640</v>
      </c>
      <c r="D15" s="36"/>
      <c r="E15" s="36"/>
      <c r="F15" s="37"/>
      <c r="G15" s="38"/>
      <c r="H15" s="39">
        <f>40</f>
        <v>40</v>
      </c>
      <c r="I15" s="40"/>
      <c r="J15" s="36"/>
      <c r="K15" s="14">
        <f t="shared" si="0"/>
        <v>40</v>
      </c>
      <c r="L15" s="16">
        <f t="shared" si="1"/>
        <v>600</v>
      </c>
      <c r="M15" s="41">
        <v>44682</v>
      </c>
      <c r="N15" s="42" t="s">
        <v>16</v>
      </c>
      <c r="O15" s="43"/>
    </row>
    <row r="16" spans="1:15">
      <c r="A16" s="34">
        <v>12</v>
      </c>
      <c r="B16" s="35" t="s">
        <v>539</v>
      </c>
      <c r="C16" s="14">
        <f>'Перевязочные Июль'!L16</f>
        <v>362</v>
      </c>
      <c r="D16" s="36"/>
      <c r="E16" s="36"/>
      <c r="F16" s="37">
        <f>24</f>
        <v>24</v>
      </c>
      <c r="G16" s="38"/>
      <c r="H16" s="39">
        <f>20</f>
        <v>20</v>
      </c>
      <c r="I16" s="40"/>
      <c r="J16" s="36"/>
      <c r="K16" s="14">
        <f t="shared" si="0"/>
        <v>44</v>
      </c>
      <c r="L16" s="16">
        <f t="shared" si="1"/>
        <v>318</v>
      </c>
      <c r="M16" s="41">
        <v>45261</v>
      </c>
      <c r="N16" s="42" t="s">
        <v>16</v>
      </c>
      <c r="O16" s="43"/>
    </row>
    <row r="17" spans="1:15">
      <c r="A17" s="34">
        <v>13</v>
      </c>
      <c r="B17" s="35" t="s">
        <v>540</v>
      </c>
      <c r="C17" s="14">
        <f>'Перевязочные Июль'!L17</f>
        <v>141</v>
      </c>
      <c r="D17" s="36"/>
      <c r="E17" s="36"/>
      <c r="F17" s="37"/>
      <c r="G17" s="38"/>
      <c r="H17" s="39"/>
      <c r="I17" s="40"/>
      <c r="J17" s="36"/>
      <c r="K17" s="14">
        <f t="shared" si="0"/>
        <v>0</v>
      </c>
      <c r="L17" s="16">
        <f t="shared" si="1"/>
        <v>141</v>
      </c>
      <c r="M17" s="41">
        <v>44835</v>
      </c>
      <c r="N17" s="42" t="s">
        <v>16</v>
      </c>
      <c r="O17" s="43"/>
    </row>
    <row r="18" spans="1:15" ht="30">
      <c r="A18" s="34">
        <v>14</v>
      </c>
      <c r="B18" s="35" t="s">
        <v>541</v>
      </c>
      <c r="C18" s="14">
        <f>'Перевязочные Июль'!L18</f>
        <v>285</v>
      </c>
      <c r="D18" s="36"/>
      <c r="E18" s="36"/>
      <c r="F18" s="37"/>
      <c r="G18" s="38"/>
      <c r="H18" s="39"/>
      <c r="I18" s="40"/>
      <c r="J18" s="36"/>
      <c r="K18" s="14">
        <f t="shared" si="0"/>
        <v>0</v>
      </c>
      <c r="L18" s="16">
        <f t="shared" si="1"/>
        <v>285</v>
      </c>
      <c r="M18" s="41">
        <v>45616</v>
      </c>
      <c r="N18" s="42" t="s">
        <v>16</v>
      </c>
      <c r="O18" s="43"/>
    </row>
    <row r="19" spans="1:15" ht="45">
      <c r="A19" s="34">
        <v>15</v>
      </c>
      <c r="B19" s="35" t="s">
        <v>542</v>
      </c>
      <c r="C19" s="14">
        <f>'Перевязочные Июль'!L19</f>
        <v>450</v>
      </c>
      <c r="D19" s="36"/>
      <c r="E19" s="36"/>
      <c r="F19" s="37"/>
      <c r="G19" s="38"/>
      <c r="H19" s="39"/>
      <c r="I19" s="40"/>
      <c r="J19" s="36"/>
      <c r="K19" s="14">
        <f t="shared" si="0"/>
        <v>0</v>
      </c>
      <c r="L19" s="16">
        <f t="shared" si="1"/>
        <v>450</v>
      </c>
      <c r="M19" s="41">
        <v>44682</v>
      </c>
      <c r="N19" s="42" t="s">
        <v>16</v>
      </c>
      <c r="O19" s="43"/>
    </row>
    <row r="20" spans="1:15" ht="30">
      <c r="A20" s="34">
        <v>16</v>
      </c>
      <c r="B20" s="35" t="s">
        <v>543</v>
      </c>
      <c r="C20" s="14">
        <f>'Перевязочные Июль'!L20</f>
        <v>0</v>
      </c>
      <c r="D20" s="36"/>
      <c r="E20" s="36"/>
      <c r="F20" s="37"/>
      <c r="G20" s="38"/>
      <c r="H20" s="39"/>
      <c r="I20" s="40"/>
      <c r="J20" s="36"/>
      <c r="K20" s="14">
        <f t="shared" si="0"/>
        <v>0</v>
      </c>
      <c r="L20" s="16">
        <f t="shared" si="1"/>
        <v>0</v>
      </c>
      <c r="M20" s="41">
        <v>45778</v>
      </c>
      <c r="N20" s="42" t="s">
        <v>16</v>
      </c>
      <c r="O20" s="43"/>
    </row>
    <row r="21" spans="1:15" ht="30">
      <c r="A21" s="34">
        <v>17</v>
      </c>
      <c r="B21" s="35" t="s">
        <v>565</v>
      </c>
      <c r="C21" s="14">
        <f>'Перевязочные Июль'!L21</f>
        <v>25050</v>
      </c>
      <c r="D21" s="36"/>
      <c r="E21" s="36"/>
      <c r="F21" s="37"/>
      <c r="G21" s="38"/>
      <c r="H21" s="39"/>
      <c r="I21" s="40"/>
      <c r="J21" s="36"/>
      <c r="K21" s="14">
        <f t="shared" si="0"/>
        <v>0</v>
      </c>
      <c r="L21" s="16">
        <f t="shared" si="1"/>
        <v>25050</v>
      </c>
      <c r="M21" s="41">
        <v>45992</v>
      </c>
      <c r="N21" s="42" t="s">
        <v>16</v>
      </c>
      <c r="O21" s="43"/>
    </row>
    <row r="22" spans="1:15" ht="30">
      <c r="A22" s="34">
        <v>18</v>
      </c>
      <c r="B22" s="35" t="s">
        <v>544</v>
      </c>
      <c r="C22" s="14">
        <f>'Перевязочные Июль'!L22</f>
        <v>38</v>
      </c>
      <c r="D22" s="36"/>
      <c r="E22" s="36"/>
      <c r="F22" s="37"/>
      <c r="G22" s="38"/>
      <c r="H22" s="39"/>
      <c r="I22" s="40"/>
      <c r="J22" s="36"/>
      <c r="K22" s="14">
        <f t="shared" si="0"/>
        <v>0</v>
      </c>
      <c r="L22" s="16">
        <f t="shared" si="1"/>
        <v>38</v>
      </c>
      <c r="M22" s="41"/>
      <c r="N22" s="42" t="s">
        <v>16</v>
      </c>
      <c r="O22" s="43"/>
    </row>
    <row r="23" spans="1:15">
      <c r="A23" s="34">
        <v>19</v>
      </c>
      <c r="B23" s="35" t="s">
        <v>545</v>
      </c>
      <c r="C23" s="14">
        <f>'Перевязочные Июль'!L23</f>
        <v>15</v>
      </c>
      <c r="D23" s="36"/>
      <c r="E23" s="36"/>
      <c r="F23" s="37"/>
      <c r="G23" s="38"/>
      <c r="H23" s="39"/>
      <c r="I23" s="40"/>
      <c r="J23" s="36"/>
      <c r="K23" s="14">
        <f t="shared" si="0"/>
        <v>0</v>
      </c>
      <c r="L23" s="16">
        <f t="shared" si="1"/>
        <v>15</v>
      </c>
      <c r="M23" s="41">
        <v>45292</v>
      </c>
      <c r="N23" s="42" t="s">
        <v>16</v>
      </c>
      <c r="O23" s="43"/>
    </row>
    <row r="24" spans="1:15">
      <c r="A24" s="34">
        <v>20</v>
      </c>
      <c r="B24" s="35" t="s">
        <v>566</v>
      </c>
      <c r="C24" s="14">
        <f>'Перевязочные Июль'!L24</f>
        <v>28</v>
      </c>
      <c r="D24" s="36"/>
      <c r="E24" s="36"/>
      <c r="F24" s="37"/>
      <c r="G24" s="38"/>
      <c r="H24" s="39"/>
      <c r="I24" s="40"/>
      <c r="J24" s="36"/>
      <c r="K24" s="14">
        <f t="shared" si="0"/>
        <v>0</v>
      </c>
      <c r="L24" s="16">
        <f t="shared" si="1"/>
        <v>28</v>
      </c>
      <c r="M24" s="41">
        <v>45717</v>
      </c>
      <c r="N24" s="42" t="s">
        <v>16</v>
      </c>
      <c r="O24" s="43"/>
    </row>
    <row r="25" spans="1:15" ht="30">
      <c r="A25" s="34">
        <v>21</v>
      </c>
      <c r="B25" s="35" t="s">
        <v>546</v>
      </c>
      <c r="C25" s="14">
        <f>'Перевязочные Июль'!L25</f>
        <v>14</v>
      </c>
      <c r="D25" s="36"/>
      <c r="E25" s="36"/>
      <c r="F25" s="37"/>
      <c r="G25" s="38"/>
      <c r="H25" s="39"/>
      <c r="I25" s="40"/>
      <c r="J25" s="36"/>
      <c r="K25" s="14">
        <f t="shared" si="0"/>
        <v>0</v>
      </c>
      <c r="L25" s="16">
        <f t="shared" si="1"/>
        <v>14</v>
      </c>
      <c r="M25" s="41">
        <v>44682</v>
      </c>
      <c r="N25" s="42" t="s">
        <v>16</v>
      </c>
      <c r="O25" s="43"/>
    </row>
    <row r="26" spans="1:15" ht="45">
      <c r="A26" s="34">
        <v>22</v>
      </c>
      <c r="B26" s="35" t="s">
        <v>567</v>
      </c>
      <c r="C26" s="14">
        <f>'Перевязочные Июль'!L26</f>
        <v>20</v>
      </c>
      <c r="D26" s="36"/>
      <c r="E26" s="36"/>
      <c r="F26" s="37">
        <f>6</f>
        <v>6</v>
      </c>
      <c r="G26" s="38"/>
      <c r="H26" s="39"/>
      <c r="I26" s="40"/>
      <c r="J26" s="36"/>
      <c r="K26" s="14">
        <f t="shared" si="0"/>
        <v>6</v>
      </c>
      <c r="L26" s="16">
        <f t="shared" si="1"/>
        <v>14</v>
      </c>
      <c r="M26" s="41">
        <v>45292</v>
      </c>
      <c r="N26" s="42" t="s">
        <v>16</v>
      </c>
      <c r="O26" s="43"/>
    </row>
  </sheetData>
  <autoFilter ref="A2:N4"/>
  <mergeCells count="15">
    <mergeCell ref="A1:N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2:M4"/>
    <mergeCell ref="N2:N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E8A202"/>
  </sheetPr>
  <dimension ref="A1:Q396"/>
  <sheetViews>
    <sheetView zoomScaleNormal="100" workbookViewId="0">
      <pane ySplit="4" topLeftCell="A68" activePane="bottomLeft" state="frozen"/>
      <selection pane="bottomLeft" activeCell="C81" sqref="C81"/>
    </sheetView>
  </sheetViews>
  <sheetFormatPr defaultRowHeight="15"/>
  <cols>
    <col min="1" max="1" width="9.140625" customWidth="1"/>
    <col min="2" max="2" width="40.85546875" customWidth="1"/>
    <col min="3" max="13" width="13.28515625" customWidth="1"/>
    <col min="14" max="14" width="13.28515625" style="13" customWidth="1"/>
    <col min="15" max="15" width="13.28515625" customWidth="1"/>
    <col min="16" max="16" width="13.28515625" style="13" customWidth="1"/>
    <col min="17" max="17" width="43.5703125" customWidth="1"/>
    <col min="18" max="1025" width="9.140625" customWidth="1"/>
  </cols>
  <sheetData>
    <row r="1" spans="1:17" ht="52.5" customHeight="1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ht="13.9" customHeight="1">
      <c r="A2" s="11" t="s">
        <v>1</v>
      </c>
      <c r="B2" s="10" t="s">
        <v>2</v>
      </c>
      <c r="C2" s="9">
        <v>44440</v>
      </c>
      <c r="D2" s="11" t="s">
        <v>3</v>
      </c>
      <c r="E2" s="11" t="s">
        <v>4</v>
      </c>
      <c r="F2" s="8" t="s">
        <v>5</v>
      </c>
      <c r="G2" s="7" t="s">
        <v>6</v>
      </c>
      <c r="H2" s="6" t="s">
        <v>7</v>
      </c>
      <c r="I2" s="5" t="s">
        <v>8</v>
      </c>
      <c r="J2" s="11" t="s">
        <v>9</v>
      </c>
      <c r="K2" s="11" t="s">
        <v>10</v>
      </c>
      <c r="L2" s="9">
        <v>44469</v>
      </c>
      <c r="M2" s="4" t="s">
        <v>11</v>
      </c>
      <c r="N2" s="4" t="s">
        <v>550</v>
      </c>
      <c r="O2" s="4" t="s">
        <v>12</v>
      </c>
      <c r="P2" s="4" t="s">
        <v>13</v>
      </c>
      <c r="Q2" s="4" t="s">
        <v>14</v>
      </c>
    </row>
    <row r="3" spans="1:17">
      <c r="A3" s="11"/>
      <c r="B3" s="10"/>
      <c r="C3" s="9"/>
      <c r="D3" s="9"/>
      <c r="E3" s="9"/>
      <c r="F3" s="8"/>
      <c r="G3" s="7"/>
      <c r="H3" s="6"/>
      <c r="I3" s="5"/>
      <c r="J3" s="11"/>
      <c r="K3" s="11"/>
      <c r="L3" s="11"/>
      <c r="M3" s="4"/>
      <c r="N3" s="4"/>
      <c r="O3" s="4"/>
      <c r="P3" s="4"/>
      <c r="Q3" s="4"/>
    </row>
    <row r="4" spans="1:17" ht="34.5" customHeight="1">
      <c r="A4" s="11"/>
      <c r="B4" s="10"/>
      <c r="C4" s="9"/>
      <c r="D4" s="9"/>
      <c r="E4" s="9"/>
      <c r="F4" s="8"/>
      <c r="G4" s="7"/>
      <c r="H4" s="6"/>
      <c r="I4" s="5"/>
      <c r="J4" s="11"/>
      <c r="K4" s="11"/>
      <c r="L4" s="11"/>
      <c r="M4" s="4"/>
      <c r="N4" s="4"/>
      <c r="O4" s="4"/>
      <c r="P4" s="4"/>
      <c r="Q4" s="4"/>
    </row>
    <row r="5" spans="1:17">
      <c r="A5" s="14">
        <v>1</v>
      </c>
      <c r="B5" s="15" t="s">
        <v>15</v>
      </c>
      <c r="C5" s="16">
        <f>'Медикаменты Август'!L5</f>
        <v>14</v>
      </c>
      <c r="D5" s="17"/>
      <c r="E5" s="14"/>
      <c r="F5" s="18">
        <f>9</f>
        <v>9</v>
      </c>
      <c r="G5" s="19"/>
      <c r="H5" s="20">
        <f>3</f>
        <v>3</v>
      </c>
      <c r="I5" s="21"/>
      <c r="J5" s="14"/>
      <c r="K5" s="14">
        <f t="shared" ref="K5:K68" si="0">SUM(F5:J5)</f>
        <v>12</v>
      </c>
      <c r="L5" s="16">
        <f t="shared" ref="L5:L68" si="1">(C5+E5)-K5</f>
        <v>2</v>
      </c>
      <c r="M5" s="22">
        <v>44531</v>
      </c>
      <c r="N5" s="44" t="s">
        <v>45</v>
      </c>
      <c r="O5" s="23" t="s">
        <v>16</v>
      </c>
      <c r="P5" s="24" t="s">
        <v>17</v>
      </c>
      <c r="Q5" s="28" t="s">
        <v>18</v>
      </c>
    </row>
    <row r="6" spans="1:17">
      <c r="A6" s="14">
        <v>2</v>
      </c>
      <c r="B6" s="15" t="s">
        <v>19</v>
      </c>
      <c r="C6" s="16">
        <f>'Медикаменты Август'!L6</f>
        <v>11</v>
      </c>
      <c r="D6" s="17"/>
      <c r="E6" s="14"/>
      <c r="F6" s="18"/>
      <c r="G6" s="19"/>
      <c r="H6" s="20"/>
      <c r="I6" s="21"/>
      <c r="J6" s="14"/>
      <c r="K6" s="14">
        <f t="shared" si="0"/>
        <v>0</v>
      </c>
      <c r="L6" s="16">
        <f t="shared" si="1"/>
        <v>11</v>
      </c>
      <c r="M6" s="22">
        <v>44593</v>
      </c>
      <c r="N6" s="44" t="s">
        <v>45</v>
      </c>
      <c r="O6" s="23" t="s">
        <v>16</v>
      </c>
      <c r="P6" s="24" t="s">
        <v>17</v>
      </c>
      <c r="Q6" s="28" t="s">
        <v>20</v>
      </c>
    </row>
    <row r="7" spans="1:17">
      <c r="A7" s="14">
        <v>3</v>
      </c>
      <c r="B7" s="15" t="s">
        <v>19</v>
      </c>
      <c r="C7" s="16"/>
      <c r="D7" s="17"/>
      <c r="E7" s="14">
        <f>50</f>
        <v>50</v>
      </c>
      <c r="F7" s="18"/>
      <c r="G7" s="19"/>
      <c r="H7" s="20"/>
      <c r="I7" s="21"/>
      <c r="J7" s="14"/>
      <c r="K7" s="14">
        <f t="shared" si="0"/>
        <v>0</v>
      </c>
      <c r="L7" s="16">
        <f t="shared" si="1"/>
        <v>50</v>
      </c>
      <c r="M7" s="22">
        <v>45231</v>
      </c>
      <c r="N7" s="44" t="s">
        <v>551</v>
      </c>
      <c r="O7" s="23" t="s">
        <v>16</v>
      </c>
      <c r="P7" s="24" t="s">
        <v>17</v>
      </c>
      <c r="Q7" s="28" t="s">
        <v>20</v>
      </c>
    </row>
    <row r="8" spans="1:17">
      <c r="A8" s="14">
        <v>4</v>
      </c>
      <c r="B8" s="15" t="s">
        <v>21</v>
      </c>
      <c r="C8" s="16">
        <f>'Медикаменты Август'!L7</f>
        <v>119</v>
      </c>
      <c r="D8" s="17"/>
      <c r="E8" s="14"/>
      <c r="F8" s="18">
        <f>15+5+5</f>
        <v>25</v>
      </c>
      <c r="G8" s="19"/>
      <c r="H8" s="20">
        <f>10</f>
        <v>10</v>
      </c>
      <c r="I8" s="21"/>
      <c r="J8" s="14"/>
      <c r="K8" s="14">
        <f t="shared" si="0"/>
        <v>35</v>
      </c>
      <c r="L8" s="16">
        <f t="shared" si="1"/>
        <v>84</v>
      </c>
      <c r="M8" s="22">
        <v>45566</v>
      </c>
      <c r="N8" s="44" t="s">
        <v>45</v>
      </c>
      <c r="O8" s="23" t="s">
        <v>16</v>
      </c>
      <c r="P8" s="24" t="s">
        <v>17</v>
      </c>
      <c r="Q8" s="28" t="s">
        <v>22</v>
      </c>
    </row>
    <row r="9" spans="1:17">
      <c r="A9" s="14">
        <v>5</v>
      </c>
      <c r="B9" s="15" t="s">
        <v>590</v>
      </c>
      <c r="C9" s="16">
        <f>'Медикаменты Август'!L8</f>
        <v>50</v>
      </c>
      <c r="D9" s="17"/>
      <c r="E9" s="14"/>
      <c r="F9" s="18"/>
      <c r="G9" s="19"/>
      <c r="H9" s="20"/>
      <c r="I9" s="21"/>
      <c r="J9" s="14">
        <f>2</f>
        <v>2</v>
      </c>
      <c r="K9" s="14">
        <f t="shared" si="0"/>
        <v>2</v>
      </c>
      <c r="L9" s="16">
        <f t="shared" si="1"/>
        <v>48</v>
      </c>
      <c r="M9" s="22">
        <v>45047</v>
      </c>
      <c r="N9" s="44" t="s">
        <v>551</v>
      </c>
      <c r="O9" s="23" t="s">
        <v>16</v>
      </c>
      <c r="P9" s="24" t="s">
        <v>17</v>
      </c>
      <c r="Q9" s="28" t="s">
        <v>591</v>
      </c>
    </row>
    <row r="10" spans="1:17">
      <c r="A10" s="14">
        <v>6</v>
      </c>
      <c r="B10" s="15" t="s">
        <v>23</v>
      </c>
      <c r="C10" s="16">
        <f>'Медикаменты Август'!L9</f>
        <v>0</v>
      </c>
      <c r="D10" s="17"/>
      <c r="E10" s="14"/>
      <c r="F10" s="18"/>
      <c r="G10" s="19"/>
      <c r="H10" s="20"/>
      <c r="I10" s="21"/>
      <c r="J10" s="14"/>
      <c r="K10" s="14">
        <f t="shared" si="0"/>
        <v>0</v>
      </c>
      <c r="L10" s="16">
        <f t="shared" si="1"/>
        <v>0</v>
      </c>
      <c r="M10" s="22"/>
      <c r="N10" s="44"/>
      <c r="O10" s="23" t="s">
        <v>16</v>
      </c>
      <c r="P10" s="24"/>
      <c r="Q10" s="28"/>
    </row>
    <row r="11" spans="1:17">
      <c r="A11" s="14">
        <v>7</v>
      </c>
      <c r="B11" s="15" t="s">
        <v>24</v>
      </c>
      <c r="C11" s="16">
        <f>'Медикаменты Август'!L10</f>
        <v>0</v>
      </c>
      <c r="D11" s="17"/>
      <c r="E11" s="14"/>
      <c r="F11" s="18"/>
      <c r="G11" s="19"/>
      <c r="H11" s="20"/>
      <c r="I11" s="21"/>
      <c r="J11" s="14"/>
      <c r="K11" s="14">
        <f t="shared" si="0"/>
        <v>0</v>
      </c>
      <c r="L11" s="16">
        <f t="shared" si="1"/>
        <v>0</v>
      </c>
      <c r="M11" s="22">
        <v>44866</v>
      </c>
      <c r="N11" s="44"/>
      <c r="O11" s="23" t="s">
        <v>16</v>
      </c>
      <c r="P11" s="24" t="s">
        <v>17</v>
      </c>
      <c r="Q11" s="28" t="s">
        <v>25</v>
      </c>
    </row>
    <row r="12" spans="1:17">
      <c r="A12" s="14">
        <v>8</v>
      </c>
      <c r="B12" s="15" t="s">
        <v>24</v>
      </c>
      <c r="C12" s="16">
        <f>'Медикаменты Август'!L11</f>
        <v>0</v>
      </c>
      <c r="D12" s="17"/>
      <c r="E12" s="14"/>
      <c r="F12" s="18"/>
      <c r="G12" s="19"/>
      <c r="H12" s="20"/>
      <c r="I12" s="21"/>
      <c r="J12" s="14"/>
      <c r="K12" s="14">
        <f t="shared" si="0"/>
        <v>0</v>
      </c>
      <c r="L12" s="16">
        <f t="shared" si="1"/>
        <v>0</v>
      </c>
      <c r="M12" s="22"/>
      <c r="N12" s="44"/>
      <c r="O12" s="23" t="s">
        <v>26</v>
      </c>
      <c r="P12" s="24"/>
      <c r="Q12" s="45"/>
    </row>
    <row r="13" spans="1:17">
      <c r="A13" s="14">
        <v>9</v>
      </c>
      <c r="B13" s="15" t="s">
        <v>27</v>
      </c>
      <c r="C13" s="16">
        <f>'Медикаменты Август'!L12</f>
        <v>0</v>
      </c>
      <c r="D13" s="17"/>
      <c r="E13" s="14"/>
      <c r="F13" s="18"/>
      <c r="G13" s="19"/>
      <c r="H13" s="20"/>
      <c r="I13" s="21"/>
      <c r="J13" s="14"/>
      <c r="K13" s="14">
        <f t="shared" si="0"/>
        <v>0</v>
      </c>
      <c r="L13" s="16">
        <f t="shared" si="1"/>
        <v>0</v>
      </c>
      <c r="M13" s="22">
        <v>44805</v>
      </c>
      <c r="N13" s="44" t="s">
        <v>45</v>
      </c>
      <c r="O13" s="23" t="s">
        <v>16</v>
      </c>
      <c r="P13" s="24" t="s">
        <v>17</v>
      </c>
      <c r="Q13" s="28" t="s">
        <v>28</v>
      </c>
    </row>
    <row r="14" spans="1:17">
      <c r="A14" s="14">
        <v>10</v>
      </c>
      <c r="B14" s="15" t="s">
        <v>27</v>
      </c>
      <c r="C14" s="16">
        <f>'Медикаменты Август'!L13</f>
        <v>0</v>
      </c>
      <c r="D14" s="17"/>
      <c r="E14" s="14"/>
      <c r="F14" s="18"/>
      <c r="G14" s="19"/>
      <c r="H14" s="20"/>
      <c r="I14" s="21"/>
      <c r="J14" s="14"/>
      <c r="K14" s="14">
        <f t="shared" si="0"/>
        <v>0</v>
      </c>
      <c r="L14" s="16">
        <f t="shared" si="1"/>
        <v>0</v>
      </c>
      <c r="M14" s="22"/>
      <c r="N14" s="44"/>
      <c r="O14" s="23" t="s">
        <v>26</v>
      </c>
      <c r="P14" s="24"/>
      <c r="Q14" s="45"/>
    </row>
    <row r="15" spans="1:17">
      <c r="A15" s="14">
        <v>11</v>
      </c>
      <c r="B15" s="15" t="s">
        <v>29</v>
      </c>
      <c r="C15" s="16">
        <f>'Медикаменты Август'!L14</f>
        <v>17</v>
      </c>
      <c r="D15" s="17"/>
      <c r="E15" s="14"/>
      <c r="F15" s="18"/>
      <c r="G15" s="19"/>
      <c r="H15" s="20"/>
      <c r="I15" s="21"/>
      <c r="J15" s="14"/>
      <c r="K15" s="14">
        <f t="shared" si="0"/>
        <v>0</v>
      </c>
      <c r="L15" s="16">
        <f t="shared" si="1"/>
        <v>17</v>
      </c>
      <c r="M15" s="22">
        <v>44835</v>
      </c>
      <c r="N15" s="44" t="s">
        <v>45</v>
      </c>
      <c r="O15" s="23" t="s">
        <v>16</v>
      </c>
      <c r="P15" s="24" t="s">
        <v>17</v>
      </c>
      <c r="Q15" s="28" t="s">
        <v>30</v>
      </c>
    </row>
    <row r="16" spans="1:17">
      <c r="A16" s="14">
        <v>12</v>
      </c>
      <c r="B16" s="15" t="s">
        <v>31</v>
      </c>
      <c r="C16" s="16">
        <f>'Медикаменты Август'!L15</f>
        <v>46</v>
      </c>
      <c r="D16" s="26"/>
      <c r="E16" s="14"/>
      <c r="F16" s="18">
        <f>5+4</f>
        <v>9</v>
      </c>
      <c r="G16" s="19"/>
      <c r="H16" s="20">
        <f>10+5</f>
        <v>15</v>
      </c>
      <c r="I16" s="21"/>
      <c r="J16" s="14"/>
      <c r="K16" s="14">
        <f t="shared" si="0"/>
        <v>24</v>
      </c>
      <c r="L16" s="16">
        <f t="shared" si="1"/>
        <v>22</v>
      </c>
      <c r="M16" s="22">
        <v>44621</v>
      </c>
      <c r="N16" s="44" t="s">
        <v>45</v>
      </c>
      <c r="O16" s="23" t="s">
        <v>16</v>
      </c>
      <c r="P16" s="24" t="s">
        <v>17</v>
      </c>
      <c r="Q16" s="28" t="s">
        <v>32</v>
      </c>
    </row>
    <row r="17" spans="1:17">
      <c r="A17" s="14">
        <v>13</v>
      </c>
      <c r="B17" s="15" t="s">
        <v>31</v>
      </c>
      <c r="C17" s="16">
        <f>'Медикаменты Август'!L16</f>
        <v>0</v>
      </c>
      <c r="D17" s="17"/>
      <c r="E17" s="14"/>
      <c r="F17" s="18"/>
      <c r="G17" s="19"/>
      <c r="H17" s="20"/>
      <c r="I17" s="21"/>
      <c r="J17" s="14"/>
      <c r="K17" s="14">
        <f t="shared" si="0"/>
        <v>0</v>
      </c>
      <c r="L17" s="16">
        <f t="shared" si="1"/>
        <v>0</v>
      </c>
      <c r="M17" s="22"/>
      <c r="N17" s="44"/>
      <c r="O17" s="23" t="s">
        <v>26</v>
      </c>
      <c r="P17" s="24"/>
      <c r="Q17" s="45"/>
    </row>
    <row r="18" spans="1:17" ht="25.5">
      <c r="A18" s="14">
        <v>14</v>
      </c>
      <c r="B18" s="15" t="s">
        <v>33</v>
      </c>
      <c r="C18" s="16">
        <f>'Медикаменты Август'!L17</f>
        <v>3</v>
      </c>
      <c r="D18" s="17"/>
      <c r="E18" s="14"/>
      <c r="F18" s="18">
        <f>2</f>
        <v>2</v>
      </c>
      <c r="G18" s="19"/>
      <c r="H18" s="20">
        <f>1</f>
        <v>1</v>
      </c>
      <c r="I18" s="21"/>
      <c r="J18" s="14"/>
      <c r="K18" s="14">
        <f t="shared" si="0"/>
        <v>3</v>
      </c>
      <c r="L18" s="16">
        <f t="shared" si="1"/>
        <v>0</v>
      </c>
      <c r="M18" s="22">
        <v>44501</v>
      </c>
      <c r="N18" s="44" t="s">
        <v>45</v>
      </c>
      <c r="O18" s="23" t="s">
        <v>16</v>
      </c>
      <c r="P18" s="24" t="s">
        <v>17</v>
      </c>
      <c r="Q18" s="28" t="s">
        <v>34</v>
      </c>
    </row>
    <row r="19" spans="1:17">
      <c r="A19" s="14">
        <v>15</v>
      </c>
      <c r="B19" s="15" t="s">
        <v>35</v>
      </c>
      <c r="C19" s="16">
        <f>'Медикаменты Август'!L18</f>
        <v>27</v>
      </c>
      <c r="D19" s="17"/>
      <c r="E19" s="14"/>
      <c r="F19" s="18">
        <f>5</f>
        <v>5</v>
      </c>
      <c r="G19" s="19"/>
      <c r="H19" s="20"/>
      <c r="I19" s="21"/>
      <c r="J19" s="14"/>
      <c r="K19" s="14">
        <f t="shared" si="0"/>
        <v>5</v>
      </c>
      <c r="L19" s="16">
        <f t="shared" si="1"/>
        <v>22</v>
      </c>
      <c r="M19" s="22">
        <v>44621</v>
      </c>
      <c r="N19" s="44" t="s">
        <v>45</v>
      </c>
      <c r="O19" s="23" t="s">
        <v>16</v>
      </c>
      <c r="P19" s="24" t="s">
        <v>17</v>
      </c>
      <c r="Q19" s="28" t="s">
        <v>36</v>
      </c>
    </row>
    <row r="20" spans="1:17">
      <c r="A20" s="14">
        <v>16</v>
      </c>
      <c r="B20" s="15" t="s">
        <v>37</v>
      </c>
      <c r="C20" s="16">
        <f>'Медикаменты Август'!L19</f>
        <v>95</v>
      </c>
      <c r="D20" s="17"/>
      <c r="E20" s="14"/>
      <c r="F20" s="18"/>
      <c r="G20" s="19"/>
      <c r="H20" s="20"/>
      <c r="I20" s="21"/>
      <c r="J20" s="14"/>
      <c r="K20" s="14">
        <f t="shared" si="0"/>
        <v>0</v>
      </c>
      <c r="L20" s="16">
        <f t="shared" si="1"/>
        <v>95</v>
      </c>
      <c r="M20" s="22">
        <v>44621</v>
      </c>
      <c r="N20" s="44" t="s">
        <v>45</v>
      </c>
      <c r="O20" s="23" t="s">
        <v>16</v>
      </c>
      <c r="P20" s="24" t="s">
        <v>17</v>
      </c>
      <c r="Q20" s="28" t="s">
        <v>38</v>
      </c>
    </row>
    <row r="21" spans="1:17">
      <c r="A21" s="14">
        <v>17</v>
      </c>
      <c r="B21" s="15" t="s">
        <v>39</v>
      </c>
      <c r="C21" s="16">
        <f>'Медикаменты Август'!L20</f>
        <v>0</v>
      </c>
      <c r="D21" s="17"/>
      <c r="E21" s="14"/>
      <c r="F21" s="18"/>
      <c r="G21" s="19"/>
      <c r="H21" s="20"/>
      <c r="I21" s="21"/>
      <c r="J21" s="14"/>
      <c r="K21" s="14">
        <f t="shared" si="0"/>
        <v>0</v>
      </c>
      <c r="L21" s="16">
        <f t="shared" si="1"/>
        <v>0</v>
      </c>
      <c r="M21" s="22">
        <v>44409</v>
      </c>
      <c r="N21" s="44" t="s">
        <v>45</v>
      </c>
      <c r="O21" s="23" t="s">
        <v>16</v>
      </c>
      <c r="P21" s="24" t="s">
        <v>17</v>
      </c>
      <c r="Q21" s="28" t="s">
        <v>40</v>
      </c>
    </row>
    <row r="22" spans="1:17">
      <c r="A22" s="14">
        <v>18</v>
      </c>
      <c r="B22" s="15" t="s">
        <v>618</v>
      </c>
      <c r="C22" s="16">
        <f>'Медикаменты Август'!L21</f>
        <v>0</v>
      </c>
      <c r="D22" s="17"/>
      <c r="E22" s="14"/>
      <c r="F22" s="18"/>
      <c r="G22" s="19"/>
      <c r="H22" s="20"/>
      <c r="I22" s="21"/>
      <c r="J22" s="14"/>
      <c r="K22" s="14">
        <f t="shared" si="0"/>
        <v>0</v>
      </c>
      <c r="L22" s="16">
        <f t="shared" si="1"/>
        <v>0</v>
      </c>
      <c r="M22" s="22">
        <v>44743</v>
      </c>
      <c r="N22" s="44" t="s">
        <v>551</v>
      </c>
      <c r="O22" s="23" t="s">
        <v>16</v>
      </c>
      <c r="P22" s="24" t="s">
        <v>17</v>
      </c>
      <c r="Q22" s="28" t="s">
        <v>42</v>
      </c>
    </row>
    <row r="23" spans="1:17">
      <c r="A23" s="14">
        <v>19</v>
      </c>
      <c r="B23" s="15" t="s">
        <v>43</v>
      </c>
      <c r="C23" s="16">
        <f>'Медикаменты Август'!L22</f>
        <v>0</v>
      </c>
      <c r="D23" s="17"/>
      <c r="E23" s="14"/>
      <c r="F23" s="18"/>
      <c r="G23" s="19"/>
      <c r="H23" s="20"/>
      <c r="I23" s="21"/>
      <c r="J23" s="14"/>
      <c r="K23" s="14">
        <f t="shared" si="0"/>
        <v>0</v>
      </c>
      <c r="L23" s="16">
        <f t="shared" si="1"/>
        <v>0</v>
      </c>
      <c r="M23" s="22"/>
      <c r="N23" s="44"/>
      <c r="O23" s="23" t="s">
        <v>16</v>
      </c>
      <c r="P23" s="24"/>
      <c r="Q23" s="45"/>
    </row>
    <row r="24" spans="1:17">
      <c r="A24" s="14">
        <v>20</v>
      </c>
      <c r="B24" s="15" t="s">
        <v>44</v>
      </c>
      <c r="C24" s="16">
        <f>'Медикаменты Август'!L23</f>
        <v>4</v>
      </c>
      <c r="D24" s="17"/>
      <c r="E24" s="14"/>
      <c r="F24" s="18"/>
      <c r="G24" s="19"/>
      <c r="H24" s="20"/>
      <c r="I24" s="21"/>
      <c r="J24" s="14"/>
      <c r="K24" s="14">
        <f t="shared" si="0"/>
        <v>0</v>
      </c>
      <c r="L24" s="16">
        <f t="shared" si="1"/>
        <v>4</v>
      </c>
      <c r="M24" s="22">
        <v>44621</v>
      </c>
      <c r="N24" s="44" t="s">
        <v>45</v>
      </c>
      <c r="O24" s="23" t="s">
        <v>16</v>
      </c>
      <c r="P24" s="24" t="s">
        <v>45</v>
      </c>
      <c r="Q24" s="28" t="s">
        <v>46</v>
      </c>
    </row>
    <row r="25" spans="1:17">
      <c r="A25" s="14">
        <v>21</v>
      </c>
      <c r="B25" s="15" t="s">
        <v>44</v>
      </c>
      <c r="C25" s="16">
        <f>'Медикаменты Август'!L24</f>
        <v>0</v>
      </c>
      <c r="D25" s="17"/>
      <c r="E25" s="14"/>
      <c r="F25" s="18"/>
      <c r="G25" s="19"/>
      <c r="H25" s="20"/>
      <c r="I25" s="21"/>
      <c r="J25" s="14"/>
      <c r="K25" s="14">
        <f t="shared" si="0"/>
        <v>0</v>
      </c>
      <c r="L25" s="16">
        <f t="shared" si="1"/>
        <v>0</v>
      </c>
      <c r="M25" s="22">
        <v>44621</v>
      </c>
      <c r="N25" s="44"/>
      <c r="O25" s="23" t="s">
        <v>26</v>
      </c>
      <c r="P25" s="24"/>
      <c r="Q25" s="28" t="s">
        <v>46</v>
      </c>
    </row>
    <row r="26" spans="1:17">
      <c r="A26" s="14">
        <v>22</v>
      </c>
      <c r="B26" s="15" t="s">
        <v>47</v>
      </c>
      <c r="C26" s="16">
        <f>'Медикаменты Август'!L25</f>
        <v>74</v>
      </c>
      <c r="D26" s="17"/>
      <c r="E26" s="14"/>
      <c r="F26" s="18">
        <f>3</f>
        <v>3</v>
      </c>
      <c r="G26" s="19"/>
      <c r="H26" s="20"/>
      <c r="I26" s="21"/>
      <c r="J26" s="14">
        <f>1</f>
        <v>1</v>
      </c>
      <c r="K26" s="14">
        <f t="shared" si="0"/>
        <v>4</v>
      </c>
      <c r="L26" s="16">
        <f t="shared" si="1"/>
        <v>70</v>
      </c>
      <c r="M26" s="22">
        <v>44621</v>
      </c>
      <c r="N26" s="44" t="s">
        <v>45</v>
      </c>
      <c r="O26" s="23" t="s">
        <v>16</v>
      </c>
      <c r="P26" s="24" t="s">
        <v>45</v>
      </c>
      <c r="Q26" s="28" t="s">
        <v>48</v>
      </c>
    </row>
    <row r="27" spans="1:17">
      <c r="A27" s="14">
        <v>23</v>
      </c>
      <c r="B27" s="15" t="s">
        <v>49</v>
      </c>
      <c r="C27" s="16">
        <f>'Медикаменты Август'!L26</f>
        <v>0</v>
      </c>
      <c r="D27" s="17"/>
      <c r="E27" s="14"/>
      <c r="F27" s="18"/>
      <c r="G27" s="19"/>
      <c r="H27" s="20"/>
      <c r="I27" s="21"/>
      <c r="J27" s="14"/>
      <c r="K27" s="14">
        <f t="shared" si="0"/>
        <v>0</v>
      </c>
      <c r="L27" s="16">
        <f t="shared" si="1"/>
        <v>0</v>
      </c>
      <c r="M27" s="22">
        <v>44652</v>
      </c>
      <c r="N27" s="44"/>
      <c r="O27" s="23" t="s">
        <v>16</v>
      </c>
      <c r="P27" s="24"/>
      <c r="Q27" s="28" t="s">
        <v>50</v>
      </c>
    </row>
    <row r="28" spans="1:17">
      <c r="A28" s="14">
        <v>24</v>
      </c>
      <c r="B28" s="15" t="s">
        <v>51</v>
      </c>
      <c r="C28" s="16">
        <f>'Медикаменты Август'!L27</f>
        <v>42</v>
      </c>
      <c r="D28" s="17"/>
      <c r="E28" s="14"/>
      <c r="F28" s="18"/>
      <c r="G28" s="19"/>
      <c r="H28" s="20">
        <f>5</f>
        <v>5</v>
      </c>
      <c r="I28" s="21"/>
      <c r="J28" s="14"/>
      <c r="K28" s="14">
        <f t="shared" si="0"/>
        <v>5</v>
      </c>
      <c r="L28" s="16">
        <f t="shared" si="1"/>
        <v>37</v>
      </c>
      <c r="M28" s="22">
        <v>45641</v>
      </c>
      <c r="N28" s="44" t="s">
        <v>551</v>
      </c>
      <c r="O28" s="23" t="s">
        <v>16</v>
      </c>
      <c r="P28" s="24" t="s">
        <v>17</v>
      </c>
      <c r="Q28" s="28" t="s">
        <v>52</v>
      </c>
    </row>
    <row r="29" spans="1:17">
      <c r="A29" s="14">
        <v>25</v>
      </c>
      <c r="B29" s="15" t="s">
        <v>53</v>
      </c>
      <c r="C29" s="16">
        <f>'Медикаменты Август'!L28</f>
        <v>0</v>
      </c>
      <c r="D29" s="17"/>
      <c r="E29" s="14"/>
      <c r="F29" s="18"/>
      <c r="G29" s="19"/>
      <c r="H29" s="20"/>
      <c r="I29" s="21"/>
      <c r="J29" s="14"/>
      <c r="K29" s="14">
        <f t="shared" si="0"/>
        <v>0</v>
      </c>
      <c r="L29" s="16">
        <f t="shared" si="1"/>
        <v>0</v>
      </c>
      <c r="M29" s="22"/>
      <c r="N29" s="44"/>
      <c r="O29" s="23" t="s">
        <v>16</v>
      </c>
      <c r="P29" s="24"/>
      <c r="Q29" s="45"/>
    </row>
    <row r="30" spans="1:17">
      <c r="A30" s="14">
        <v>26</v>
      </c>
      <c r="B30" s="15" t="s">
        <v>54</v>
      </c>
      <c r="C30" s="16">
        <f>'Медикаменты Август'!L29</f>
        <v>0</v>
      </c>
      <c r="D30" s="17"/>
      <c r="E30" s="14"/>
      <c r="F30" s="18"/>
      <c r="G30" s="19"/>
      <c r="H30" s="20"/>
      <c r="I30" s="21"/>
      <c r="J30" s="14"/>
      <c r="K30" s="14">
        <f t="shared" si="0"/>
        <v>0</v>
      </c>
      <c r="L30" s="16">
        <f t="shared" si="1"/>
        <v>0</v>
      </c>
      <c r="M30" s="22"/>
      <c r="N30" s="44"/>
      <c r="O30" s="23" t="s">
        <v>16</v>
      </c>
      <c r="P30" s="24"/>
      <c r="Q30" s="45"/>
    </row>
    <row r="31" spans="1:17">
      <c r="A31" s="14">
        <v>27</v>
      </c>
      <c r="B31" s="15" t="s">
        <v>55</v>
      </c>
      <c r="C31" s="16">
        <f>'Медикаменты Август'!L30</f>
        <v>0</v>
      </c>
      <c r="D31" s="17"/>
      <c r="E31" s="14"/>
      <c r="F31" s="18"/>
      <c r="G31" s="19"/>
      <c r="H31" s="20"/>
      <c r="I31" s="21"/>
      <c r="J31" s="14"/>
      <c r="K31" s="14">
        <f t="shared" si="0"/>
        <v>0</v>
      </c>
      <c r="L31" s="16">
        <f t="shared" si="1"/>
        <v>0</v>
      </c>
      <c r="M31" s="22"/>
      <c r="N31" s="44"/>
      <c r="O31" s="23" t="s">
        <v>16</v>
      </c>
      <c r="P31" s="24"/>
      <c r="Q31" s="45"/>
    </row>
    <row r="32" spans="1:17">
      <c r="A32" s="14">
        <v>28</v>
      </c>
      <c r="B32" s="15" t="s">
        <v>56</v>
      </c>
      <c r="C32" s="16">
        <f>'Медикаменты Август'!L31</f>
        <v>0</v>
      </c>
      <c r="D32" s="17"/>
      <c r="E32" s="14"/>
      <c r="F32" s="18"/>
      <c r="G32" s="19"/>
      <c r="H32" s="20"/>
      <c r="I32" s="21"/>
      <c r="J32" s="14"/>
      <c r="K32" s="14">
        <f t="shared" si="0"/>
        <v>0</v>
      </c>
      <c r="L32" s="16">
        <f t="shared" si="1"/>
        <v>0</v>
      </c>
      <c r="M32" s="22">
        <v>44743</v>
      </c>
      <c r="N32" s="44"/>
      <c r="O32" s="23" t="s">
        <v>16</v>
      </c>
      <c r="P32" s="24"/>
      <c r="Q32" s="45"/>
    </row>
    <row r="33" spans="1:17">
      <c r="A33" s="14">
        <v>29</v>
      </c>
      <c r="B33" s="15" t="s">
        <v>57</v>
      </c>
      <c r="C33" s="16">
        <f>'Медикаменты Август'!L32</f>
        <v>0</v>
      </c>
      <c r="D33" s="17"/>
      <c r="E33" s="14"/>
      <c r="F33" s="18"/>
      <c r="G33" s="19"/>
      <c r="H33" s="20"/>
      <c r="I33" s="21"/>
      <c r="J33" s="14"/>
      <c r="K33" s="14">
        <f t="shared" si="0"/>
        <v>0</v>
      </c>
      <c r="L33" s="16">
        <f t="shared" si="1"/>
        <v>0</v>
      </c>
      <c r="M33" s="22">
        <v>44958</v>
      </c>
      <c r="N33" s="44"/>
      <c r="O33" s="23" t="s">
        <v>16</v>
      </c>
      <c r="P33" s="24"/>
      <c r="Q33" s="28" t="s">
        <v>58</v>
      </c>
    </row>
    <row r="34" spans="1:17" ht="25.5">
      <c r="A34" s="14">
        <v>30</v>
      </c>
      <c r="B34" s="15" t="s">
        <v>59</v>
      </c>
      <c r="C34" s="16">
        <f>'Медикаменты Август'!L33</f>
        <v>20</v>
      </c>
      <c r="D34" s="17"/>
      <c r="E34" s="14"/>
      <c r="F34" s="18">
        <f>5+5+10</f>
        <v>20</v>
      </c>
      <c r="G34" s="19"/>
      <c r="H34" s="20"/>
      <c r="I34" s="21"/>
      <c r="J34" s="14"/>
      <c r="K34" s="14">
        <f t="shared" si="0"/>
        <v>20</v>
      </c>
      <c r="L34" s="16">
        <f t="shared" si="1"/>
        <v>0</v>
      </c>
      <c r="M34" s="22">
        <v>44957</v>
      </c>
      <c r="N34" s="44" t="s">
        <v>551</v>
      </c>
      <c r="O34" s="23" t="s">
        <v>16</v>
      </c>
      <c r="P34" s="24" t="s">
        <v>17</v>
      </c>
      <c r="Q34" s="28" t="s">
        <v>60</v>
      </c>
    </row>
    <row r="35" spans="1:17" ht="25.5">
      <c r="A35" s="14">
        <v>31</v>
      </c>
      <c r="B35" s="15" t="s">
        <v>59</v>
      </c>
      <c r="C35" s="16">
        <f>'Медикаменты Август'!L34</f>
        <v>50</v>
      </c>
      <c r="D35" s="17"/>
      <c r="E35" s="14"/>
      <c r="F35" s="18"/>
      <c r="G35" s="19"/>
      <c r="H35" s="20"/>
      <c r="I35" s="21"/>
      <c r="J35" s="14"/>
      <c r="K35" s="14">
        <f t="shared" si="0"/>
        <v>0</v>
      </c>
      <c r="L35" s="16">
        <f t="shared" si="1"/>
        <v>50</v>
      </c>
      <c r="M35" s="22">
        <v>44957</v>
      </c>
      <c r="N35" s="44" t="s">
        <v>551</v>
      </c>
      <c r="O35" s="23" t="s">
        <v>26</v>
      </c>
      <c r="P35" s="24" t="s">
        <v>17</v>
      </c>
      <c r="Q35" s="28" t="s">
        <v>60</v>
      </c>
    </row>
    <row r="36" spans="1:17">
      <c r="A36" s="14">
        <v>32</v>
      </c>
      <c r="B36" s="15" t="s">
        <v>61</v>
      </c>
      <c r="C36" s="16">
        <f>'Медикаменты Август'!L35</f>
        <v>0</v>
      </c>
      <c r="D36" s="17"/>
      <c r="E36" s="14"/>
      <c r="F36" s="18"/>
      <c r="G36" s="19"/>
      <c r="H36" s="20"/>
      <c r="I36" s="21"/>
      <c r="J36" s="14"/>
      <c r="K36" s="14">
        <f t="shared" si="0"/>
        <v>0</v>
      </c>
      <c r="L36" s="16">
        <f t="shared" si="1"/>
        <v>0</v>
      </c>
      <c r="M36" s="22">
        <v>44713</v>
      </c>
      <c r="N36" s="44"/>
      <c r="O36" s="23" t="s">
        <v>16</v>
      </c>
      <c r="P36" s="24"/>
      <c r="Q36" s="28" t="s">
        <v>62</v>
      </c>
    </row>
    <row r="37" spans="1:17">
      <c r="A37" s="14">
        <v>33</v>
      </c>
      <c r="B37" s="15" t="s">
        <v>63</v>
      </c>
      <c r="C37" s="16">
        <f>'Медикаменты Август'!L36</f>
        <v>0</v>
      </c>
      <c r="D37" s="17"/>
      <c r="E37" s="14"/>
      <c r="F37" s="18"/>
      <c r="G37" s="19"/>
      <c r="H37" s="20"/>
      <c r="I37" s="21"/>
      <c r="J37" s="14"/>
      <c r="K37" s="14">
        <f t="shared" si="0"/>
        <v>0</v>
      </c>
      <c r="L37" s="16">
        <f t="shared" si="1"/>
        <v>0</v>
      </c>
      <c r="M37" s="22"/>
      <c r="N37" s="44"/>
      <c r="O37" s="23" t="s">
        <v>16</v>
      </c>
      <c r="P37" s="24"/>
      <c r="Q37" s="45"/>
    </row>
    <row r="38" spans="1:17" ht="26.25">
      <c r="A38" s="14">
        <v>34</v>
      </c>
      <c r="B38" s="15" t="s">
        <v>592</v>
      </c>
      <c r="C38" s="16">
        <f>'Медикаменты Август'!L37</f>
        <v>20</v>
      </c>
      <c r="D38" s="17"/>
      <c r="E38" s="14"/>
      <c r="F38" s="18"/>
      <c r="G38" s="19"/>
      <c r="H38" s="20"/>
      <c r="I38" s="21"/>
      <c r="J38" s="14"/>
      <c r="K38" s="14">
        <f t="shared" si="0"/>
        <v>0</v>
      </c>
      <c r="L38" s="16">
        <f t="shared" si="1"/>
        <v>20</v>
      </c>
      <c r="M38" s="22">
        <v>44958</v>
      </c>
      <c r="N38" s="44" t="s">
        <v>551</v>
      </c>
      <c r="O38" s="23" t="s">
        <v>16</v>
      </c>
      <c r="P38" s="24" t="s">
        <v>17</v>
      </c>
      <c r="Q38" s="28" t="s">
        <v>593</v>
      </c>
    </row>
    <row r="39" spans="1:17">
      <c r="A39" s="14">
        <v>35</v>
      </c>
      <c r="B39" s="15" t="s">
        <v>64</v>
      </c>
      <c r="C39" s="16">
        <f>'Медикаменты Август'!L38</f>
        <v>0</v>
      </c>
      <c r="D39" s="17"/>
      <c r="E39" s="14"/>
      <c r="F39" s="18"/>
      <c r="G39" s="19"/>
      <c r="H39" s="20"/>
      <c r="I39" s="21"/>
      <c r="J39" s="14"/>
      <c r="K39" s="14">
        <f t="shared" si="0"/>
        <v>0</v>
      </c>
      <c r="L39" s="16">
        <f t="shared" si="1"/>
        <v>0</v>
      </c>
      <c r="M39" s="22"/>
      <c r="N39" s="44"/>
      <c r="O39" s="23" t="s">
        <v>16</v>
      </c>
      <c r="P39" s="24"/>
      <c r="Q39" s="45"/>
    </row>
    <row r="40" spans="1:17">
      <c r="A40" s="14">
        <v>36</v>
      </c>
      <c r="B40" s="15" t="s">
        <v>65</v>
      </c>
      <c r="C40" s="16">
        <f>'Медикаменты Август'!L39</f>
        <v>56</v>
      </c>
      <c r="D40" s="17"/>
      <c r="E40" s="14"/>
      <c r="F40" s="18"/>
      <c r="G40" s="19"/>
      <c r="H40" s="20"/>
      <c r="I40" s="21"/>
      <c r="J40" s="14"/>
      <c r="K40" s="14">
        <f t="shared" si="0"/>
        <v>0</v>
      </c>
      <c r="L40" s="16">
        <f t="shared" si="1"/>
        <v>56</v>
      </c>
      <c r="M40" s="22">
        <v>45261</v>
      </c>
      <c r="N40" s="44" t="s">
        <v>45</v>
      </c>
      <c r="O40" s="23" t="s">
        <v>16</v>
      </c>
      <c r="P40" s="24" t="s">
        <v>17</v>
      </c>
      <c r="Q40" s="28" t="s">
        <v>66</v>
      </c>
    </row>
    <row r="41" spans="1:17">
      <c r="A41" s="14">
        <v>37</v>
      </c>
      <c r="B41" s="15" t="s">
        <v>67</v>
      </c>
      <c r="C41" s="16">
        <f>'Медикаменты Август'!L40</f>
        <v>37</v>
      </c>
      <c r="D41" s="17"/>
      <c r="E41" s="14"/>
      <c r="F41" s="18"/>
      <c r="G41" s="19"/>
      <c r="H41" s="20"/>
      <c r="I41" s="21"/>
      <c r="J41" s="14"/>
      <c r="K41" s="14">
        <f t="shared" si="0"/>
        <v>0</v>
      </c>
      <c r="L41" s="16">
        <f t="shared" si="1"/>
        <v>37</v>
      </c>
      <c r="M41" s="22">
        <v>45200</v>
      </c>
      <c r="N41" s="44" t="s">
        <v>551</v>
      </c>
      <c r="O41" s="23" t="s">
        <v>16</v>
      </c>
      <c r="P41" s="24" t="s">
        <v>17</v>
      </c>
      <c r="Q41" s="46" t="s">
        <v>68</v>
      </c>
    </row>
    <row r="42" spans="1:17">
      <c r="A42" s="14">
        <v>38</v>
      </c>
      <c r="B42" s="15" t="s">
        <v>69</v>
      </c>
      <c r="C42" s="16">
        <f>'Медикаменты Август'!L41</f>
        <v>4</v>
      </c>
      <c r="D42" s="17"/>
      <c r="E42" s="14"/>
      <c r="F42" s="18">
        <f>4</f>
        <v>4</v>
      </c>
      <c r="G42" s="19"/>
      <c r="H42" s="20"/>
      <c r="I42" s="21"/>
      <c r="J42" s="14"/>
      <c r="K42" s="14">
        <f t="shared" si="0"/>
        <v>4</v>
      </c>
      <c r="L42" s="16">
        <f t="shared" si="1"/>
        <v>0</v>
      </c>
      <c r="M42" s="22">
        <v>45383</v>
      </c>
      <c r="N42" s="44" t="s">
        <v>45</v>
      </c>
      <c r="O42" s="23" t="s">
        <v>16</v>
      </c>
      <c r="P42" s="24" t="s">
        <v>17</v>
      </c>
      <c r="Q42" s="28" t="s">
        <v>70</v>
      </c>
    </row>
    <row r="43" spans="1:17" ht="25.5">
      <c r="A43" s="14">
        <v>39</v>
      </c>
      <c r="B43" s="15" t="s">
        <v>594</v>
      </c>
      <c r="C43" s="16">
        <f>'Медикаменты Август'!L42</f>
        <v>150</v>
      </c>
      <c r="D43" s="17"/>
      <c r="E43" s="14"/>
      <c r="F43" s="18">
        <f>10</f>
        <v>10</v>
      </c>
      <c r="G43" s="19"/>
      <c r="H43" s="20"/>
      <c r="I43" s="21"/>
      <c r="J43" s="14"/>
      <c r="K43" s="14">
        <f t="shared" si="0"/>
        <v>10</v>
      </c>
      <c r="L43" s="16">
        <f t="shared" si="1"/>
        <v>140</v>
      </c>
      <c r="M43" s="22">
        <v>44986</v>
      </c>
      <c r="N43" s="44" t="s">
        <v>551</v>
      </c>
      <c r="O43" s="23" t="s">
        <v>16</v>
      </c>
      <c r="P43" s="24" t="s">
        <v>17</v>
      </c>
      <c r="Q43" s="28" t="s">
        <v>595</v>
      </c>
    </row>
    <row r="44" spans="1:17">
      <c r="A44" s="14">
        <v>40</v>
      </c>
      <c r="B44" s="15" t="s">
        <v>71</v>
      </c>
      <c r="C44" s="16">
        <f>'Медикаменты Август'!L43</f>
        <v>0</v>
      </c>
      <c r="D44" s="17"/>
      <c r="E44" s="14"/>
      <c r="F44" s="18"/>
      <c r="G44" s="19"/>
      <c r="H44" s="20"/>
      <c r="I44" s="21"/>
      <c r="J44" s="14"/>
      <c r="K44" s="14">
        <f t="shared" si="0"/>
        <v>0</v>
      </c>
      <c r="L44" s="16">
        <f t="shared" si="1"/>
        <v>0</v>
      </c>
      <c r="M44" s="22"/>
      <c r="N44" s="44"/>
      <c r="O44" s="23" t="s">
        <v>16</v>
      </c>
      <c r="P44" s="24"/>
      <c r="Q44" s="45"/>
    </row>
    <row r="45" spans="1:17">
      <c r="A45" s="14">
        <v>41</v>
      </c>
      <c r="B45" s="15" t="s">
        <v>72</v>
      </c>
      <c r="C45" s="16">
        <f>'Медикаменты Август'!L44</f>
        <v>15</v>
      </c>
      <c r="D45" s="17"/>
      <c r="E45" s="14"/>
      <c r="F45" s="18">
        <f>2</f>
        <v>2</v>
      </c>
      <c r="G45" s="19"/>
      <c r="H45" s="20"/>
      <c r="I45" s="21"/>
      <c r="J45" s="14"/>
      <c r="K45" s="14">
        <f t="shared" si="0"/>
        <v>2</v>
      </c>
      <c r="L45" s="16">
        <f t="shared" si="1"/>
        <v>13</v>
      </c>
      <c r="M45" s="22">
        <v>44652</v>
      </c>
      <c r="N45" s="44" t="s">
        <v>45</v>
      </c>
      <c r="O45" s="23" t="s">
        <v>16</v>
      </c>
      <c r="P45" s="24" t="s">
        <v>17</v>
      </c>
      <c r="Q45" s="28" t="s">
        <v>73</v>
      </c>
    </row>
    <row r="46" spans="1:17">
      <c r="A46" s="14">
        <v>42</v>
      </c>
      <c r="B46" s="15" t="s">
        <v>74</v>
      </c>
      <c r="C46" s="16">
        <f>'Медикаменты Август'!L45</f>
        <v>0</v>
      </c>
      <c r="D46" s="17"/>
      <c r="E46" s="14"/>
      <c r="F46" s="18"/>
      <c r="G46" s="19"/>
      <c r="H46" s="20"/>
      <c r="I46" s="21"/>
      <c r="J46" s="14"/>
      <c r="K46" s="14">
        <f t="shared" si="0"/>
        <v>0</v>
      </c>
      <c r="L46" s="16">
        <f t="shared" si="1"/>
        <v>0</v>
      </c>
      <c r="M46" s="22">
        <v>45108</v>
      </c>
      <c r="N46" s="44" t="s">
        <v>45</v>
      </c>
      <c r="O46" s="23" t="s">
        <v>16</v>
      </c>
      <c r="P46" s="24" t="s">
        <v>17</v>
      </c>
      <c r="Q46" s="28" t="s">
        <v>75</v>
      </c>
    </row>
    <row r="47" spans="1:17">
      <c r="A47" s="14">
        <v>43</v>
      </c>
      <c r="B47" s="15" t="s">
        <v>76</v>
      </c>
      <c r="C47" s="16">
        <f>'Медикаменты Август'!L46</f>
        <v>0</v>
      </c>
      <c r="D47" s="17"/>
      <c r="E47" s="14"/>
      <c r="F47" s="18"/>
      <c r="G47" s="19"/>
      <c r="H47" s="20"/>
      <c r="I47" s="21"/>
      <c r="J47" s="14"/>
      <c r="K47" s="14">
        <f t="shared" si="0"/>
        <v>0</v>
      </c>
      <c r="L47" s="16">
        <f t="shared" si="1"/>
        <v>0</v>
      </c>
      <c r="M47" s="22"/>
      <c r="N47" s="44"/>
      <c r="O47" s="23" t="s">
        <v>16</v>
      </c>
      <c r="P47" s="24"/>
      <c r="Q47" s="45"/>
    </row>
    <row r="48" spans="1:17">
      <c r="A48" s="14">
        <v>44</v>
      </c>
      <c r="B48" s="15" t="s">
        <v>77</v>
      </c>
      <c r="C48" s="16">
        <f>'Медикаменты Август'!L47</f>
        <v>0</v>
      </c>
      <c r="D48" s="17"/>
      <c r="E48" s="14"/>
      <c r="F48" s="18"/>
      <c r="G48" s="19"/>
      <c r="H48" s="20"/>
      <c r="I48" s="21"/>
      <c r="J48" s="14"/>
      <c r="K48" s="14">
        <f t="shared" si="0"/>
        <v>0</v>
      </c>
      <c r="L48" s="16">
        <f t="shared" si="1"/>
        <v>0</v>
      </c>
      <c r="M48" s="22"/>
      <c r="N48" s="44"/>
      <c r="O48" s="23" t="s">
        <v>16</v>
      </c>
      <c r="P48" s="24"/>
      <c r="Q48" s="45"/>
    </row>
    <row r="49" spans="1:17">
      <c r="A49" s="14">
        <v>45</v>
      </c>
      <c r="B49" s="15" t="s">
        <v>619</v>
      </c>
      <c r="C49" s="16">
        <f>'Медикаменты Август'!L48</f>
        <v>20</v>
      </c>
      <c r="D49" s="17"/>
      <c r="E49" s="14"/>
      <c r="F49" s="18"/>
      <c r="G49" s="19"/>
      <c r="H49" s="20">
        <f>8+2</f>
        <v>10</v>
      </c>
      <c r="I49" s="21"/>
      <c r="J49" s="14"/>
      <c r="K49" s="14">
        <f t="shared" si="0"/>
        <v>10</v>
      </c>
      <c r="L49" s="16">
        <f t="shared" si="1"/>
        <v>10</v>
      </c>
      <c r="M49" s="22">
        <v>45413</v>
      </c>
      <c r="N49" s="44" t="s">
        <v>551</v>
      </c>
      <c r="O49" s="23" t="s">
        <v>16</v>
      </c>
      <c r="P49" s="24" t="s">
        <v>17</v>
      </c>
      <c r="Q49" s="28" t="s">
        <v>79</v>
      </c>
    </row>
    <row r="50" spans="1:17">
      <c r="A50" s="14">
        <v>46</v>
      </c>
      <c r="B50" s="15" t="s">
        <v>80</v>
      </c>
      <c r="C50" s="16">
        <f>'Медикаменты Август'!L49</f>
        <v>0</v>
      </c>
      <c r="D50" s="17"/>
      <c r="E50" s="14"/>
      <c r="F50" s="18"/>
      <c r="G50" s="19"/>
      <c r="H50" s="20"/>
      <c r="I50" s="21"/>
      <c r="J50" s="14"/>
      <c r="K50" s="14">
        <f t="shared" si="0"/>
        <v>0</v>
      </c>
      <c r="L50" s="16">
        <f t="shared" si="1"/>
        <v>0</v>
      </c>
      <c r="M50" s="22">
        <v>44317</v>
      </c>
      <c r="N50" s="44"/>
      <c r="O50" s="23" t="s">
        <v>16</v>
      </c>
      <c r="P50" s="24" t="s">
        <v>17</v>
      </c>
      <c r="Q50" s="28" t="s">
        <v>81</v>
      </c>
    </row>
    <row r="51" spans="1:17">
      <c r="A51" s="14">
        <v>47</v>
      </c>
      <c r="B51" s="15" t="s">
        <v>82</v>
      </c>
      <c r="C51" s="16">
        <f>'Медикаменты Август'!L50</f>
        <v>0</v>
      </c>
      <c r="D51" s="17"/>
      <c r="E51" s="14"/>
      <c r="F51" s="18"/>
      <c r="G51" s="19"/>
      <c r="H51" s="20"/>
      <c r="I51" s="21"/>
      <c r="J51" s="14"/>
      <c r="K51" s="14">
        <f t="shared" si="0"/>
        <v>0</v>
      </c>
      <c r="L51" s="16">
        <f t="shared" si="1"/>
        <v>0</v>
      </c>
      <c r="M51" s="22"/>
      <c r="N51" s="44"/>
      <c r="O51" s="23" t="s">
        <v>16</v>
      </c>
      <c r="P51" s="24"/>
      <c r="Q51" s="45"/>
    </row>
    <row r="52" spans="1:17">
      <c r="A52" s="14">
        <v>48</v>
      </c>
      <c r="B52" s="15" t="s">
        <v>83</v>
      </c>
      <c r="C52" s="16">
        <f>'Медикаменты Август'!L51</f>
        <v>0</v>
      </c>
      <c r="D52" s="17"/>
      <c r="E52" s="14"/>
      <c r="F52" s="18"/>
      <c r="G52" s="19"/>
      <c r="H52" s="20"/>
      <c r="I52" s="21"/>
      <c r="J52" s="14"/>
      <c r="K52" s="14">
        <f t="shared" si="0"/>
        <v>0</v>
      </c>
      <c r="L52" s="16">
        <f t="shared" si="1"/>
        <v>0</v>
      </c>
      <c r="M52" s="22">
        <v>44317</v>
      </c>
      <c r="N52" s="44" t="s">
        <v>45</v>
      </c>
      <c r="O52" s="23" t="s">
        <v>16</v>
      </c>
      <c r="P52" s="24" t="s">
        <v>17</v>
      </c>
      <c r="Q52" s="28" t="s">
        <v>84</v>
      </c>
    </row>
    <row r="53" spans="1:17">
      <c r="A53" s="14">
        <v>49</v>
      </c>
      <c r="B53" s="15" t="s">
        <v>85</v>
      </c>
      <c r="C53" s="16">
        <f>'Медикаменты Август'!L52</f>
        <v>0</v>
      </c>
      <c r="D53" s="17"/>
      <c r="E53" s="14"/>
      <c r="F53" s="18"/>
      <c r="G53" s="19"/>
      <c r="H53" s="20"/>
      <c r="I53" s="21"/>
      <c r="J53" s="14"/>
      <c r="K53" s="14">
        <f t="shared" si="0"/>
        <v>0</v>
      </c>
      <c r="L53" s="16">
        <f t="shared" si="1"/>
        <v>0</v>
      </c>
      <c r="M53" s="22">
        <v>44409</v>
      </c>
      <c r="N53" s="44" t="s">
        <v>45</v>
      </c>
      <c r="O53" s="23" t="s">
        <v>16</v>
      </c>
      <c r="P53" s="24" t="s">
        <v>17</v>
      </c>
      <c r="Q53" s="28" t="s">
        <v>86</v>
      </c>
    </row>
    <row r="54" spans="1:17">
      <c r="A54" s="14">
        <v>50</v>
      </c>
      <c r="B54" s="15" t="s">
        <v>87</v>
      </c>
      <c r="C54" s="16">
        <f>'Медикаменты Август'!L53</f>
        <v>0</v>
      </c>
      <c r="D54" s="17"/>
      <c r="E54" s="14"/>
      <c r="F54" s="18"/>
      <c r="G54" s="19"/>
      <c r="H54" s="20"/>
      <c r="I54" s="21"/>
      <c r="J54" s="14"/>
      <c r="K54" s="14">
        <f t="shared" si="0"/>
        <v>0</v>
      </c>
      <c r="L54" s="16">
        <f t="shared" si="1"/>
        <v>0</v>
      </c>
      <c r="M54" s="22">
        <v>44136</v>
      </c>
      <c r="N54" s="44"/>
      <c r="O54" s="23" t="s">
        <v>16</v>
      </c>
      <c r="P54" s="24"/>
      <c r="Q54" s="28" t="s">
        <v>88</v>
      </c>
    </row>
    <row r="55" spans="1:17">
      <c r="A55" s="14">
        <v>51</v>
      </c>
      <c r="B55" s="15" t="s">
        <v>620</v>
      </c>
      <c r="C55" s="16">
        <f>'Медикаменты Август'!L54</f>
        <v>30</v>
      </c>
      <c r="D55" s="17"/>
      <c r="E55" s="14"/>
      <c r="F55" s="18"/>
      <c r="G55" s="19"/>
      <c r="H55" s="20"/>
      <c r="I55" s="21"/>
      <c r="J55" s="14"/>
      <c r="K55" s="14">
        <f t="shared" si="0"/>
        <v>0</v>
      </c>
      <c r="L55" s="16">
        <f t="shared" si="1"/>
        <v>30</v>
      </c>
      <c r="M55" s="22">
        <v>44986</v>
      </c>
      <c r="N55" s="44" t="s">
        <v>551</v>
      </c>
      <c r="O55" s="23" t="s">
        <v>16</v>
      </c>
      <c r="P55" s="24" t="s">
        <v>17</v>
      </c>
      <c r="Q55" s="28" t="s">
        <v>621</v>
      </c>
    </row>
    <row r="56" spans="1:17">
      <c r="A56" s="14">
        <v>52</v>
      </c>
      <c r="B56" s="15" t="s">
        <v>622</v>
      </c>
      <c r="C56" s="16">
        <f>'Медикаменты Август'!L55</f>
        <v>70</v>
      </c>
      <c r="D56" s="17"/>
      <c r="E56" s="14"/>
      <c r="F56" s="18">
        <f>10+5</f>
        <v>15</v>
      </c>
      <c r="G56" s="19"/>
      <c r="H56" s="20">
        <f>10</f>
        <v>10</v>
      </c>
      <c r="I56" s="21"/>
      <c r="J56" s="14"/>
      <c r="K56" s="14">
        <f t="shared" si="0"/>
        <v>25</v>
      </c>
      <c r="L56" s="16">
        <f t="shared" si="1"/>
        <v>45</v>
      </c>
      <c r="M56" s="22">
        <v>45017</v>
      </c>
      <c r="N56" s="44" t="s">
        <v>551</v>
      </c>
      <c r="O56" s="23" t="s">
        <v>16</v>
      </c>
      <c r="P56" s="24" t="s">
        <v>17</v>
      </c>
      <c r="Q56" s="28" t="s">
        <v>623</v>
      </c>
    </row>
    <row r="57" spans="1:17">
      <c r="A57" s="14">
        <v>53</v>
      </c>
      <c r="B57" s="15" t="s">
        <v>91</v>
      </c>
      <c r="C57" s="16">
        <f>'Медикаменты Август'!L56</f>
        <v>0</v>
      </c>
      <c r="D57" s="17"/>
      <c r="E57" s="14"/>
      <c r="F57" s="18"/>
      <c r="G57" s="19"/>
      <c r="H57" s="20"/>
      <c r="I57" s="21"/>
      <c r="J57" s="14"/>
      <c r="K57" s="14">
        <f t="shared" si="0"/>
        <v>0</v>
      </c>
      <c r="L57" s="16">
        <f t="shared" si="1"/>
        <v>0</v>
      </c>
      <c r="M57" s="22">
        <v>44317</v>
      </c>
      <c r="N57" s="44" t="s">
        <v>45</v>
      </c>
      <c r="O57" s="23" t="s">
        <v>16</v>
      </c>
      <c r="P57" s="24" t="s">
        <v>17</v>
      </c>
      <c r="Q57" s="28" t="s">
        <v>92</v>
      </c>
    </row>
    <row r="58" spans="1:17">
      <c r="A58" s="14">
        <v>54</v>
      </c>
      <c r="B58" s="15" t="s">
        <v>596</v>
      </c>
      <c r="C58" s="16">
        <f>'Медикаменты Август'!L57</f>
        <v>35</v>
      </c>
      <c r="D58" s="17"/>
      <c r="E58" s="14"/>
      <c r="F58" s="18"/>
      <c r="G58" s="19"/>
      <c r="H58" s="20"/>
      <c r="I58" s="21"/>
      <c r="J58" s="14"/>
      <c r="K58" s="14">
        <f t="shared" si="0"/>
        <v>0</v>
      </c>
      <c r="L58" s="16">
        <f t="shared" si="1"/>
        <v>35</v>
      </c>
      <c r="M58" s="22">
        <v>45261</v>
      </c>
      <c r="N58" s="44" t="s">
        <v>551</v>
      </c>
      <c r="O58" s="23" t="s">
        <v>16</v>
      </c>
      <c r="P58" s="24" t="s">
        <v>17</v>
      </c>
      <c r="Q58" s="28" t="s">
        <v>597</v>
      </c>
    </row>
    <row r="59" spans="1:17">
      <c r="A59" s="14">
        <v>55</v>
      </c>
      <c r="B59" s="15" t="s">
        <v>93</v>
      </c>
      <c r="C59" s="16">
        <f>'Медикаменты Август'!L58</f>
        <v>0</v>
      </c>
      <c r="D59" s="17"/>
      <c r="E59" s="14"/>
      <c r="F59" s="18"/>
      <c r="G59" s="19"/>
      <c r="H59" s="20"/>
      <c r="I59" s="21"/>
      <c r="J59" s="14"/>
      <c r="K59" s="14">
        <f t="shared" si="0"/>
        <v>0</v>
      </c>
      <c r="L59" s="16">
        <f t="shared" si="1"/>
        <v>0</v>
      </c>
      <c r="M59" s="22">
        <v>44013</v>
      </c>
      <c r="N59" s="44"/>
      <c r="O59" s="23" t="s">
        <v>16</v>
      </c>
      <c r="P59" s="24"/>
      <c r="Q59" s="28" t="s">
        <v>94</v>
      </c>
    </row>
    <row r="60" spans="1:17">
      <c r="A60" s="14">
        <v>56</v>
      </c>
      <c r="B60" s="15" t="s">
        <v>95</v>
      </c>
      <c r="C60" s="16">
        <f>'Медикаменты Август'!L59</f>
        <v>29</v>
      </c>
      <c r="D60" s="17"/>
      <c r="E60" s="14"/>
      <c r="F60" s="18"/>
      <c r="G60" s="19"/>
      <c r="H60" s="20"/>
      <c r="I60" s="21"/>
      <c r="J60" s="14"/>
      <c r="K60" s="14">
        <f t="shared" si="0"/>
        <v>0</v>
      </c>
      <c r="L60" s="16">
        <f t="shared" si="1"/>
        <v>29</v>
      </c>
      <c r="M60" s="22">
        <v>44986</v>
      </c>
      <c r="N60" s="44" t="s">
        <v>45</v>
      </c>
      <c r="O60" s="23" t="s">
        <v>16</v>
      </c>
      <c r="P60" s="24" t="s">
        <v>45</v>
      </c>
      <c r="Q60" s="28" t="s">
        <v>96</v>
      </c>
    </row>
    <row r="61" spans="1:17">
      <c r="A61" s="14">
        <v>57</v>
      </c>
      <c r="B61" s="15" t="s">
        <v>97</v>
      </c>
      <c r="C61" s="16">
        <f>'Медикаменты Август'!L60</f>
        <v>0</v>
      </c>
      <c r="D61" s="17"/>
      <c r="E61" s="14"/>
      <c r="F61" s="18"/>
      <c r="G61" s="19"/>
      <c r="H61" s="20"/>
      <c r="I61" s="21"/>
      <c r="J61" s="14"/>
      <c r="K61" s="14">
        <f t="shared" si="0"/>
        <v>0</v>
      </c>
      <c r="L61" s="16">
        <f t="shared" si="1"/>
        <v>0</v>
      </c>
      <c r="M61" s="22">
        <v>44866</v>
      </c>
      <c r="N61" s="44"/>
      <c r="O61" s="23" t="s">
        <v>16</v>
      </c>
      <c r="P61" s="24"/>
      <c r="Q61" s="28" t="s">
        <v>98</v>
      </c>
    </row>
    <row r="62" spans="1:17">
      <c r="A62" s="14">
        <v>58</v>
      </c>
      <c r="B62" s="15" t="s">
        <v>99</v>
      </c>
      <c r="C62" s="16">
        <f>'Медикаменты Август'!L61</f>
        <v>0</v>
      </c>
      <c r="D62" s="17"/>
      <c r="E62" s="14"/>
      <c r="F62" s="18"/>
      <c r="G62" s="19"/>
      <c r="H62" s="20"/>
      <c r="I62" s="21"/>
      <c r="J62" s="14"/>
      <c r="K62" s="14">
        <f t="shared" si="0"/>
        <v>0</v>
      </c>
      <c r="L62" s="16">
        <f t="shared" si="1"/>
        <v>0</v>
      </c>
      <c r="M62" s="22"/>
      <c r="N62" s="44"/>
      <c r="O62" s="23" t="s">
        <v>16</v>
      </c>
      <c r="P62" s="24"/>
      <c r="Q62" s="45"/>
    </row>
    <row r="63" spans="1:17">
      <c r="A63" s="14">
        <v>59</v>
      </c>
      <c r="B63" s="15" t="s">
        <v>100</v>
      </c>
      <c r="C63" s="16">
        <f>'Медикаменты Август'!L62</f>
        <v>0</v>
      </c>
      <c r="D63" s="17"/>
      <c r="E63" s="14"/>
      <c r="F63" s="18"/>
      <c r="G63" s="19"/>
      <c r="H63" s="20"/>
      <c r="I63" s="21"/>
      <c r="J63" s="14"/>
      <c r="K63" s="14">
        <f t="shared" si="0"/>
        <v>0</v>
      </c>
      <c r="L63" s="16">
        <f t="shared" si="1"/>
        <v>0</v>
      </c>
      <c r="M63" s="22"/>
      <c r="N63" s="44"/>
      <c r="O63" s="23" t="s">
        <v>26</v>
      </c>
      <c r="P63" s="24" t="s">
        <v>17</v>
      </c>
      <c r="Q63" s="28" t="s">
        <v>101</v>
      </c>
    </row>
    <row r="64" spans="1:17">
      <c r="A64" s="14">
        <v>60</v>
      </c>
      <c r="B64" s="15" t="s">
        <v>102</v>
      </c>
      <c r="C64" s="16">
        <f>'Медикаменты Август'!L63</f>
        <v>11</v>
      </c>
      <c r="D64" s="17"/>
      <c r="E64" s="14"/>
      <c r="F64" s="18">
        <f>4+2+5</f>
        <v>11</v>
      </c>
      <c r="G64" s="19"/>
      <c r="H64" s="20"/>
      <c r="I64" s="21"/>
      <c r="J64" s="14"/>
      <c r="K64" s="14">
        <f t="shared" si="0"/>
        <v>11</v>
      </c>
      <c r="L64" s="16">
        <f t="shared" si="1"/>
        <v>0</v>
      </c>
      <c r="M64" s="22">
        <v>44866</v>
      </c>
      <c r="N64" s="44" t="s">
        <v>45</v>
      </c>
      <c r="O64" s="23" t="s">
        <v>16</v>
      </c>
      <c r="P64" s="24" t="s">
        <v>45</v>
      </c>
      <c r="Q64" s="28" t="s">
        <v>103</v>
      </c>
    </row>
    <row r="65" spans="1:17">
      <c r="A65" s="14">
        <v>61</v>
      </c>
      <c r="B65" s="15" t="s">
        <v>102</v>
      </c>
      <c r="C65" s="16">
        <f>'Медикаменты Август'!L64</f>
        <v>0</v>
      </c>
      <c r="D65" s="17"/>
      <c r="E65" s="14"/>
      <c r="F65" s="18"/>
      <c r="G65" s="19"/>
      <c r="H65" s="20"/>
      <c r="I65" s="21"/>
      <c r="J65" s="14"/>
      <c r="K65" s="14">
        <f t="shared" si="0"/>
        <v>0</v>
      </c>
      <c r="L65" s="16">
        <f t="shared" si="1"/>
        <v>0</v>
      </c>
      <c r="M65" s="22">
        <v>44866</v>
      </c>
      <c r="N65" s="44"/>
      <c r="O65" s="23" t="s">
        <v>26</v>
      </c>
      <c r="P65" s="24"/>
      <c r="Q65" s="28" t="s">
        <v>103</v>
      </c>
    </row>
    <row r="66" spans="1:17">
      <c r="A66" s="14">
        <v>62</v>
      </c>
      <c r="B66" s="15" t="s">
        <v>104</v>
      </c>
      <c r="C66" s="16">
        <f>'Медикаменты Август'!L65</f>
        <v>0</v>
      </c>
      <c r="D66" s="17"/>
      <c r="E66" s="14"/>
      <c r="F66" s="18"/>
      <c r="G66" s="19"/>
      <c r="H66" s="20"/>
      <c r="I66" s="21"/>
      <c r="J66" s="14"/>
      <c r="K66" s="14">
        <f t="shared" si="0"/>
        <v>0</v>
      </c>
      <c r="L66" s="16">
        <f t="shared" si="1"/>
        <v>0</v>
      </c>
      <c r="M66" s="22"/>
      <c r="N66" s="44"/>
      <c r="O66" s="23" t="s">
        <v>16</v>
      </c>
      <c r="P66" s="24"/>
      <c r="Q66" s="45"/>
    </row>
    <row r="67" spans="1:17">
      <c r="A67" s="14">
        <v>63</v>
      </c>
      <c r="B67" s="15" t="s">
        <v>104</v>
      </c>
      <c r="C67" s="16">
        <f>'Медикаменты Август'!L66</f>
        <v>0</v>
      </c>
      <c r="D67" s="17"/>
      <c r="E67" s="14"/>
      <c r="F67" s="18"/>
      <c r="G67" s="19"/>
      <c r="H67" s="20"/>
      <c r="I67" s="21"/>
      <c r="J67" s="14"/>
      <c r="K67" s="14">
        <f t="shared" si="0"/>
        <v>0</v>
      </c>
      <c r="L67" s="16">
        <f t="shared" si="1"/>
        <v>0</v>
      </c>
      <c r="M67" s="22"/>
      <c r="N67" s="44"/>
      <c r="O67" s="23" t="s">
        <v>26</v>
      </c>
      <c r="P67" s="24"/>
      <c r="Q67" s="45"/>
    </row>
    <row r="68" spans="1:17">
      <c r="A68" s="14">
        <v>64</v>
      </c>
      <c r="B68" s="15" t="s">
        <v>624</v>
      </c>
      <c r="C68" s="16">
        <f>'Медикаменты Август'!L67</f>
        <v>50</v>
      </c>
      <c r="D68" s="17"/>
      <c r="E68" s="14"/>
      <c r="F68" s="18"/>
      <c r="G68" s="19"/>
      <c r="H68" s="20"/>
      <c r="I68" s="21"/>
      <c r="J68" s="14"/>
      <c r="K68" s="14">
        <f t="shared" si="0"/>
        <v>0</v>
      </c>
      <c r="L68" s="16">
        <f t="shared" si="1"/>
        <v>50</v>
      </c>
      <c r="M68" s="22">
        <v>46054</v>
      </c>
      <c r="N68" s="44" t="s">
        <v>551</v>
      </c>
      <c r="O68" s="23" t="s">
        <v>16</v>
      </c>
      <c r="P68" s="24" t="s">
        <v>17</v>
      </c>
      <c r="Q68" s="28" t="s">
        <v>625</v>
      </c>
    </row>
    <row r="69" spans="1:17">
      <c r="A69" s="14">
        <v>65</v>
      </c>
      <c r="B69" s="15" t="s">
        <v>105</v>
      </c>
      <c r="C69" s="16">
        <f>'Медикаменты Август'!L68</f>
        <v>50</v>
      </c>
      <c r="D69" s="17"/>
      <c r="E69" s="14"/>
      <c r="F69" s="18">
        <f>10</f>
        <v>10</v>
      </c>
      <c r="G69" s="19"/>
      <c r="H69" s="20"/>
      <c r="I69" s="21"/>
      <c r="J69" s="14"/>
      <c r="K69" s="14">
        <f t="shared" ref="K69:K132" si="2">SUM(F69:J69)</f>
        <v>10</v>
      </c>
      <c r="L69" s="16">
        <f t="shared" ref="L69:L132" si="3">(C69+E69)-K69</f>
        <v>40</v>
      </c>
      <c r="M69" s="22">
        <v>45017</v>
      </c>
      <c r="N69" s="44" t="s">
        <v>551</v>
      </c>
      <c r="O69" s="23" t="s">
        <v>16</v>
      </c>
      <c r="P69" s="24" t="s">
        <v>17</v>
      </c>
      <c r="Q69" s="28" t="s">
        <v>106</v>
      </c>
    </row>
    <row r="70" spans="1:17">
      <c r="A70" s="14">
        <v>66</v>
      </c>
      <c r="B70" s="15" t="s">
        <v>105</v>
      </c>
      <c r="C70" s="16">
        <f>'Медикаменты Август'!L69</f>
        <v>0</v>
      </c>
      <c r="D70" s="17"/>
      <c r="E70" s="14"/>
      <c r="F70" s="18"/>
      <c r="G70" s="19"/>
      <c r="H70" s="20"/>
      <c r="I70" s="21"/>
      <c r="J70" s="14"/>
      <c r="K70" s="14">
        <f t="shared" si="2"/>
        <v>0</v>
      </c>
      <c r="L70" s="16">
        <f t="shared" si="3"/>
        <v>0</v>
      </c>
      <c r="M70" s="22">
        <v>44531</v>
      </c>
      <c r="N70" s="44" t="s">
        <v>45</v>
      </c>
      <c r="O70" s="23" t="s">
        <v>16</v>
      </c>
      <c r="P70" s="24" t="s">
        <v>17</v>
      </c>
      <c r="Q70" s="28" t="s">
        <v>106</v>
      </c>
    </row>
    <row r="71" spans="1:17">
      <c r="A71" s="14">
        <v>67</v>
      </c>
      <c r="B71" s="15" t="s">
        <v>107</v>
      </c>
      <c r="C71" s="16">
        <f>'Медикаменты Август'!L70</f>
        <v>100</v>
      </c>
      <c r="D71" s="17"/>
      <c r="E71" s="14"/>
      <c r="F71" s="18">
        <f>5</f>
        <v>5</v>
      </c>
      <c r="G71" s="19"/>
      <c r="H71" s="20">
        <f>10</f>
        <v>10</v>
      </c>
      <c r="I71" s="21"/>
      <c r="J71" s="14"/>
      <c r="K71" s="14">
        <f t="shared" si="2"/>
        <v>15</v>
      </c>
      <c r="L71" s="16">
        <f t="shared" si="3"/>
        <v>85</v>
      </c>
      <c r="M71" s="22">
        <v>45077</v>
      </c>
      <c r="N71" s="44" t="s">
        <v>551</v>
      </c>
      <c r="O71" s="23" t="s">
        <v>16</v>
      </c>
      <c r="P71" s="24" t="s">
        <v>17</v>
      </c>
      <c r="Q71" s="28" t="s">
        <v>108</v>
      </c>
    </row>
    <row r="72" spans="1:17">
      <c r="A72" s="14">
        <v>68</v>
      </c>
      <c r="B72" s="15" t="s">
        <v>109</v>
      </c>
      <c r="C72" s="16">
        <f>'Медикаменты Август'!L71</f>
        <v>0</v>
      </c>
      <c r="D72" s="17"/>
      <c r="E72" s="14"/>
      <c r="F72" s="18"/>
      <c r="G72" s="19"/>
      <c r="H72" s="20"/>
      <c r="I72" s="21"/>
      <c r="J72" s="14"/>
      <c r="K72" s="14">
        <f t="shared" si="2"/>
        <v>0</v>
      </c>
      <c r="L72" s="16">
        <f t="shared" si="3"/>
        <v>0</v>
      </c>
      <c r="M72" s="22"/>
      <c r="N72" s="44"/>
      <c r="O72" s="23" t="s">
        <v>16</v>
      </c>
      <c r="P72" s="24"/>
      <c r="Q72" s="45"/>
    </row>
    <row r="73" spans="1:17">
      <c r="A73" s="14">
        <v>69</v>
      </c>
      <c r="B73" s="15" t="s">
        <v>110</v>
      </c>
      <c r="C73" s="16">
        <f>'Медикаменты Август'!L72</f>
        <v>0</v>
      </c>
      <c r="D73" s="17"/>
      <c r="E73" s="14"/>
      <c r="F73" s="18"/>
      <c r="G73" s="19"/>
      <c r="H73" s="20"/>
      <c r="I73" s="21"/>
      <c r="J73" s="14"/>
      <c r="K73" s="14">
        <f t="shared" si="2"/>
        <v>0</v>
      </c>
      <c r="L73" s="16">
        <f t="shared" si="3"/>
        <v>0</v>
      </c>
      <c r="M73" s="22">
        <v>44682</v>
      </c>
      <c r="N73" s="44"/>
      <c r="O73" s="23" t="s">
        <v>16</v>
      </c>
      <c r="P73" s="24"/>
      <c r="Q73" s="45"/>
    </row>
    <row r="74" spans="1:17">
      <c r="A74" s="14">
        <v>70</v>
      </c>
      <c r="B74" s="15" t="s">
        <v>111</v>
      </c>
      <c r="C74" s="16">
        <f>'Медикаменты Август'!L73</f>
        <v>52</v>
      </c>
      <c r="D74" s="17"/>
      <c r="E74" s="14"/>
      <c r="F74" s="18">
        <f>10+10</f>
        <v>20</v>
      </c>
      <c r="G74" s="19"/>
      <c r="H74" s="20">
        <f>20</f>
        <v>20</v>
      </c>
      <c r="I74" s="21"/>
      <c r="J74" s="14"/>
      <c r="K74" s="14">
        <f t="shared" si="2"/>
        <v>40</v>
      </c>
      <c r="L74" s="16">
        <f t="shared" si="3"/>
        <v>12</v>
      </c>
      <c r="M74" s="22">
        <v>44958</v>
      </c>
      <c r="N74" s="44" t="s">
        <v>45</v>
      </c>
      <c r="O74" s="23" t="s">
        <v>16</v>
      </c>
      <c r="P74" s="24" t="s">
        <v>17</v>
      </c>
      <c r="Q74" s="28" t="s">
        <v>112</v>
      </c>
    </row>
    <row r="75" spans="1:17">
      <c r="A75" s="14">
        <v>71</v>
      </c>
      <c r="B75" s="15" t="s">
        <v>111</v>
      </c>
      <c r="C75" s="16">
        <f>'Медикаменты Август'!L74</f>
        <v>300</v>
      </c>
      <c r="D75" s="17"/>
      <c r="E75" s="14"/>
      <c r="F75" s="18"/>
      <c r="G75" s="19"/>
      <c r="H75" s="20"/>
      <c r="I75" s="21"/>
      <c r="J75" s="14"/>
      <c r="K75" s="14">
        <f t="shared" si="2"/>
        <v>0</v>
      </c>
      <c r="L75" s="16">
        <f t="shared" si="3"/>
        <v>300</v>
      </c>
      <c r="M75" s="22">
        <v>45323</v>
      </c>
      <c r="N75" s="44" t="s">
        <v>551</v>
      </c>
      <c r="O75" s="23" t="s">
        <v>16</v>
      </c>
      <c r="P75" s="24" t="s">
        <v>17</v>
      </c>
      <c r="Q75" s="28" t="s">
        <v>112</v>
      </c>
    </row>
    <row r="76" spans="1:17">
      <c r="A76" s="14">
        <v>72</v>
      </c>
      <c r="B76" s="15" t="s">
        <v>113</v>
      </c>
      <c r="C76" s="16">
        <f>'Медикаменты Август'!L75</f>
        <v>85</v>
      </c>
      <c r="D76" s="17"/>
      <c r="E76" s="14"/>
      <c r="F76" s="18"/>
      <c r="G76" s="19"/>
      <c r="H76" s="20"/>
      <c r="I76" s="21"/>
      <c r="J76" s="14"/>
      <c r="K76" s="14">
        <f t="shared" si="2"/>
        <v>0</v>
      </c>
      <c r="L76" s="16">
        <f t="shared" si="3"/>
        <v>85</v>
      </c>
      <c r="M76" s="22">
        <v>44986</v>
      </c>
      <c r="N76" s="44" t="s">
        <v>45</v>
      </c>
      <c r="O76" s="23" t="s">
        <v>16</v>
      </c>
      <c r="P76" s="24" t="s">
        <v>17</v>
      </c>
      <c r="Q76" s="28" t="s">
        <v>114</v>
      </c>
    </row>
    <row r="77" spans="1:17">
      <c r="A77" s="14">
        <v>73</v>
      </c>
      <c r="B77" s="15" t="s">
        <v>113</v>
      </c>
      <c r="C77" s="16">
        <f>'Медикаменты Август'!L76</f>
        <v>0</v>
      </c>
      <c r="D77" s="17"/>
      <c r="E77" s="14"/>
      <c r="F77" s="18"/>
      <c r="G77" s="19"/>
      <c r="H77" s="20"/>
      <c r="I77" s="21"/>
      <c r="J77" s="14"/>
      <c r="K77" s="14">
        <f t="shared" si="2"/>
        <v>0</v>
      </c>
      <c r="L77" s="16">
        <f t="shared" si="3"/>
        <v>0</v>
      </c>
      <c r="M77" s="22">
        <v>44986</v>
      </c>
      <c r="N77" s="44"/>
      <c r="O77" s="23" t="s">
        <v>26</v>
      </c>
      <c r="P77" s="24"/>
      <c r="Q77" s="28" t="s">
        <v>114</v>
      </c>
    </row>
    <row r="78" spans="1:17" ht="26.25">
      <c r="A78" s="14">
        <v>74</v>
      </c>
      <c r="B78" s="15" t="s">
        <v>115</v>
      </c>
      <c r="C78" s="16">
        <f>'Медикаменты Август'!L77</f>
        <v>50</v>
      </c>
      <c r="D78" s="17"/>
      <c r="E78" s="14"/>
      <c r="F78" s="18">
        <f>20</f>
        <v>20</v>
      </c>
      <c r="G78" s="19"/>
      <c r="H78" s="20">
        <f>10</f>
        <v>10</v>
      </c>
      <c r="I78" s="21"/>
      <c r="J78" s="14"/>
      <c r="K78" s="14">
        <f t="shared" si="2"/>
        <v>30</v>
      </c>
      <c r="L78" s="16">
        <f t="shared" si="3"/>
        <v>20</v>
      </c>
      <c r="M78" s="22">
        <v>46082</v>
      </c>
      <c r="N78" s="44" t="s">
        <v>551</v>
      </c>
      <c r="O78" s="23" t="s">
        <v>16</v>
      </c>
      <c r="P78" s="24" t="s">
        <v>17</v>
      </c>
      <c r="Q78" s="28" t="s">
        <v>116</v>
      </c>
    </row>
    <row r="79" spans="1:17" ht="26.25">
      <c r="A79" s="14">
        <v>75</v>
      </c>
      <c r="B79" s="15" t="s">
        <v>115</v>
      </c>
      <c r="C79" s="16">
        <f>'Медикаменты Август'!L78</f>
        <v>0</v>
      </c>
      <c r="D79" s="17"/>
      <c r="E79" s="14"/>
      <c r="F79" s="18"/>
      <c r="G79" s="19"/>
      <c r="H79" s="20"/>
      <c r="I79" s="21"/>
      <c r="J79" s="14"/>
      <c r="K79" s="14">
        <f t="shared" si="2"/>
        <v>0</v>
      </c>
      <c r="L79" s="16">
        <f t="shared" si="3"/>
        <v>0</v>
      </c>
      <c r="M79" s="22">
        <v>45901</v>
      </c>
      <c r="N79" s="44" t="s">
        <v>551</v>
      </c>
      <c r="O79" s="23" t="s">
        <v>26</v>
      </c>
      <c r="P79" s="24" t="s">
        <v>17</v>
      </c>
      <c r="Q79" s="28" t="s">
        <v>116</v>
      </c>
    </row>
    <row r="80" spans="1:17">
      <c r="A80" s="14">
        <v>76</v>
      </c>
      <c r="B80" s="15" t="s">
        <v>117</v>
      </c>
      <c r="C80" s="16">
        <f>'Медикаменты Август'!L79</f>
        <v>0</v>
      </c>
      <c r="D80" s="17"/>
      <c r="E80" s="14"/>
      <c r="F80" s="18"/>
      <c r="G80" s="19"/>
      <c r="H80" s="20"/>
      <c r="I80" s="21"/>
      <c r="J80" s="14"/>
      <c r="K80" s="14">
        <f t="shared" si="2"/>
        <v>0</v>
      </c>
      <c r="L80" s="16">
        <f t="shared" si="3"/>
        <v>0</v>
      </c>
      <c r="M80" s="22">
        <v>44440</v>
      </c>
      <c r="N80" s="44"/>
      <c r="O80" s="23" t="s">
        <v>16</v>
      </c>
      <c r="P80" s="24"/>
      <c r="Q80" s="28" t="s">
        <v>118</v>
      </c>
    </row>
    <row r="81" spans="1:17">
      <c r="A81" s="14">
        <v>77</v>
      </c>
      <c r="B81" s="15" t="s">
        <v>117</v>
      </c>
      <c r="C81" s="16">
        <f>'Медикаменты Август'!L80</f>
        <v>190</v>
      </c>
      <c r="D81" s="17"/>
      <c r="E81" s="14"/>
      <c r="F81" s="18">
        <f>5+5</f>
        <v>10</v>
      </c>
      <c r="G81" s="19"/>
      <c r="H81" s="20">
        <f>30</f>
        <v>30</v>
      </c>
      <c r="I81" s="21"/>
      <c r="J81" s="14"/>
      <c r="K81" s="14">
        <f t="shared" si="2"/>
        <v>40</v>
      </c>
      <c r="L81" s="16">
        <f t="shared" si="3"/>
        <v>150</v>
      </c>
      <c r="M81" s="22">
        <v>44682</v>
      </c>
      <c r="N81" s="44" t="s">
        <v>45</v>
      </c>
      <c r="O81" s="23" t="s">
        <v>16</v>
      </c>
      <c r="P81" s="24" t="s">
        <v>17</v>
      </c>
      <c r="Q81" s="28" t="s">
        <v>118</v>
      </c>
    </row>
    <row r="82" spans="1:17">
      <c r="A82" s="14">
        <v>78</v>
      </c>
      <c r="B82" s="15" t="s">
        <v>117</v>
      </c>
      <c r="C82" s="16">
        <f>'Медикаменты Август'!L81</f>
        <v>0</v>
      </c>
      <c r="D82" s="17"/>
      <c r="E82" s="14">
        <f>50</f>
        <v>50</v>
      </c>
      <c r="F82" s="18"/>
      <c r="G82" s="19"/>
      <c r="H82" s="20"/>
      <c r="I82" s="21"/>
      <c r="J82" s="14"/>
      <c r="K82" s="14">
        <f t="shared" si="2"/>
        <v>0</v>
      </c>
      <c r="L82" s="16">
        <f t="shared" si="3"/>
        <v>50</v>
      </c>
      <c r="M82" s="22">
        <v>45017</v>
      </c>
      <c r="N82" s="44" t="s">
        <v>551</v>
      </c>
      <c r="O82" s="23" t="s">
        <v>26</v>
      </c>
      <c r="P82" s="24" t="s">
        <v>17</v>
      </c>
      <c r="Q82" s="28" t="s">
        <v>118</v>
      </c>
    </row>
    <row r="83" spans="1:17">
      <c r="A83" s="14">
        <v>79</v>
      </c>
      <c r="B83" s="15" t="s">
        <v>119</v>
      </c>
      <c r="C83" s="16">
        <f>'Медикаменты Август'!L82</f>
        <v>0</v>
      </c>
      <c r="D83" s="17"/>
      <c r="E83" s="14"/>
      <c r="F83" s="18"/>
      <c r="G83" s="19"/>
      <c r="H83" s="20"/>
      <c r="I83" s="21"/>
      <c r="J83" s="14"/>
      <c r="K83" s="14">
        <f t="shared" si="2"/>
        <v>0</v>
      </c>
      <c r="L83" s="16">
        <f t="shared" si="3"/>
        <v>0</v>
      </c>
      <c r="M83" s="22"/>
      <c r="N83" s="44"/>
      <c r="O83" s="23" t="s">
        <v>16</v>
      </c>
      <c r="P83" s="24"/>
      <c r="Q83" s="45"/>
    </row>
    <row r="84" spans="1:17">
      <c r="A84" s="14">
        <v>80</v>
      </c>
      <c r="B84" s="15" t="s">
        <v>120</v>
      </c>
      <c r="C84" s="16">
        <f>'Медикаменты Август'!L83</f>
        <v>0</v>
      </c>
      <c r="D84" s="17"/>
      <c r="E84" s="14"/>
      <c r="F84" s="18"/>
      <c r="G84" s="19"/>
      <c r="H84" s="20"/>
      <c r="I84" s="21"/>
      <c r="J84" s="14"/>
      <c r="K84" s="14">
        <f t="shared" si="2"/>
        <v>0</v>
      </c>
      <c r="L84" s="16">
        <f t="shared" si="3"/>
        <v>0</v>
      </c>
      <c r="M84" s="22">
        <v>45444</v>
      </c>
      <c r="N84" s="44"/>
      <c r="O84" s="23" t="s">
        <v>26</v>
      </c>
      <c r="P84" s="24"/>
      <c r="Q84" s="28" t="s">
        <v>121</v>
      </c>
    </row>
    <row r="85" spans="1:17">
      <c r="A85" s="14">
        <v>81</v>
      </c>
      <c r="B85" s="29" t="s">
        <v>122</v>
      </c>
      <c r="C85" s="16">
        <f>'Медикаменты Август'!L84</f>
        <v>25</v>
      </c>
      <c r="D85" s="17"/>
      <c r="E85" s="14"/>
      <c r="F85" s="18">
        <f>5</f>
        <v>5</v>
      </c>
      <c r="G85" s="19"/>
      <c r="H85" s="20"/>
      <c r="I85" s="21"/>
      <c r="J85" s="14"/>
      <c r="K85" s="14">
        <f t="shared" si="2"/>
        <v>5</v>
      </c>
      <c r="L85" s="16">
        <f t="shared" si="3"/>
        <v>20</v>
      </c>
      <c r="M85" s="22">
        <v>44986</v>
      </c>
      <c r="N85" s="44" t="s">
        <v>45</v>
      </c>
      <c r="O85" s="23" t="s">
        <v>16</v>
      </c>
      <c r="P85" s="24" t="s">
        <v>17</v>
      </c>
      <c r="Q85" s="28" t="s">
        <v>123</v>
      </c>
    </row>
    <row r="86" spans="1:17">
      <c r="A86" s="14">
        <v>82</v>
      </c>
      <c r="B86" s="15" t="s">
        <v>124</v>
      </c>
      <c r="C86" s="16">
        <f>'Медикаменты Август'!L85</f>
        <v>0</v>
      </c>
      <c r="D86" s="17"/>
      <c r="E86" s="14"/>
      <c r="F86" s="18"/>
      <c r="G86" s="19"/>
      <c r="H86" s="20"/>
      <c r="I86" s="21"/>
      <c r="J86" s="14"/>
      <c r="K86" s="14">
        <f t="shared" si="2"/>
        <v>0</v>
      </c>
      <c r="L86" s="16">
        <f t="shared" si="3"/>
        <v>0</v>
      </c>
      <c r="M86" s="22"/>
      <c r="N86" s="44"/>
      <c r="O86" s="23" t="s">
        <v>16</v>
      </c>
      <c r="P86" s="24"/>
      <c r="Q86" s="45"/>
    </row>
    <row r="87" spans="1:17">
      <c r="A87" s="14">
        <v>83</v>
      </c>
      <c r="B87" s="15" t="s">
        <v>125</v>
      </c>
      <c r="C87" s="16">
        <f>'Медикаменты Август'!L86</f>
        <v>5</v>
      </c>
      <c r="D87" s="17"/>
      <c r="E87" s="14"/>
      <c r="F87" s="18">
        <f>5</f>
        <v>5</v>
      </c>
      <c r="G87" s="19"/>
      <c r="H87" s="20"/>
      <c r="I87" s="21"/>
      <c r="J87" s="14"/>
      <c r="K87" s="14">
        <f t="shared" si="2"/>
        <v>5</v>
      </c>
      <c r="L87" s="16">
        <f t="shared" si="3"/>
        <v>0</v>
      </c>
      <c r="M87" s="22">
        <v>44531</v>
      </c>
      <c r="N87" s="44" t="s">
        <v>45</v>
      </c>
      <c r="O87" s="23" t="s">
        <v>16</v>
      </c>
      <c r="P87" s="24" t="s">
        <v>17</v>
      </c>
      <c r="Q87" s="28" t="s">
        <v>126</v>
      </c>
    </row>
    <row r="88" spans="1:17">
      <c r="A88" s="14">
        <v>84</v>
      </c>
      <c r="B88" s="15" t="s">
        <v>127</v>
      </c>
      <c r="C88" s="16">
        <f>'Медикаменты Август'!L87</f>
        <v>7</v>
      </c>
      <c r="D88" s="17"/>
      <c r="E88" s="14"/>
      <c r="F88" s="18">
        <f>6</f>
        <v>6</v>
      </c>
      <c r="G88" s="19"/>
      <c r="H88" s="20">
        <f>1</f>
        <v>1</v>
      </c>
      <c r="I88" s="21"/>
      <c r="J88" s="14"/>
      <c r="K88" s="14">
        <f t="shared" si="2"/>
        <v>7</v>
      </c>
      <c r="L88" s="16">
        <f t="shared" si="3"/>
        <v>0</v>
      </c>
      <c r="M88" s="22">
        <v>44501</v>
      </c>
      <c r="N88" s="44" t="s">
        <v>45</v>
      </c>
      <c r="O88" s="23" t="s">
        <v>16</v>
      </c>
      <c r="P88" s="24" t="s">
        <v>45</v>
      </c>
      <c r="Q88" s="28" t="s">
        <v>128</v>
      </c>
    </row>
    <row r="89" spans="1:17" ht="25.5">
      <c r="A89" s="14">
        <v>85</v>
      </c>
      <c r="B89" s="15" t="s">
        <v>129</v>
      </c>
      <c r="C89" s="16">
        <f>'Медикаменты Август'!L88</f>
        <v>0</v>
      </c>
      <c r="D89" s="17"/>
      <c r="E89" s="14"/>
      <c r="F89" s="18"/>
      <c r="G89" s="19"/>
      <c r="H89" s="20"/>
      <c r="I89" s="21"/>
      <c r="J89" s="14"/>
      <c r="K89" s="14">
        <f t="shared" si="2"/>
        <v>0</v>
      </c>
      <c r="L89" s="16">
        <f t="shared" si="3"/>
        <v>0</v>
      </c>
      <c r="M89" s="22">
        <v>44713</v>
      </c>
      <c r="N89" s="44" t="s">
        <v>45</v>
      </c>
      <c r="O89" s="23" t="s">
        <v>16</v>
      </c>
      <c r="P89" s="24" t="s">
        <v>17</v>
      </c>
      <c r="Q89" s="28" t="s">
        <v>130</v>
      </c>
    </row>
    <row r="90" spans="1:17" ht="25.5">
      <c r="A90" s="14">
        <v>86</v>
      </c>
      <c r="B90" s="15" t="s">
        <v>129</v>
      </c>
      <c r="C90" s="16">
        <f>'Медикаменты Август'!L89</f>
        <v>0</v>
      </c>
      <c r="D90" s="17"/>
      <c r="E90" s="14"/>
      <c r="F90" s="18"/>
      <c r="G90" s="19"/>
      <c r="H90" s="20"/>
      <c r="I90" s="21"/>
      <c r="J90" s="14"/>
      <c r="K90" s="14">
        <f t="shared" si="2"/>
        <v>0</v>
      </c>
      <c r="L90" s="16">
        <f t="shared" si="3"/>
        <v>0</v>
      </c>
      <c r="M90" s="22">
        <v>44713</v>
      </c>
      <c r="N90" s="44"/>
      <c r="O90" s="23" t="s">
        <v>26</v>
      </c>
      <c r="P90" s="24"/>
      <c r="Q90" s="28" t="s">
        <v>130</v>
      </c>
    </row>
    <row r="91" spans="1:17" ht="25.5">
      <c r="A91" s="14">
        <v>87</v>
      </c>
      <c r="B91" s="15" t="s">
        <v>131</v>
      </c>
      <c r="C91" s="16">
        <f>'Медикаменты Август'!L90</f>
        <v>0</v>
      </c>
      <c r="D91" s="17"/>
      <c r="E91" s="14"/>
      <c r="F91" s="18"/>
      <c r="G91" s="19"/>
      <c r="H91" s="20"/>
      <c r="I91" s="21"/>
      <c r="J91" s="14"/>
      <c r="K91" s="14">
        <f t="shared" si="2"/>
        <v>0</v>
      </c>
      <c r="L91" s="16">
        <f t="shared" si="3"/>
        <v>0</v>
      </c>
      <c r="M91" s="22"/>
      <c r="N91" s="44"/>
      <c r="O91" s="23" t="s">
        <v>16</v>
      </c>
      <c r="P91" s="24"/>
      <c r="Q91" s="45"/>
    </row>
    <row r="92" spans="1:17">
      <c r="A92" s="14">
        <v>88</v>
      </c>
      <c r="B92" s="15" t="s">
        <v>626</v>
      </c>
      <c r="C92" s="16">
        <f>'Медикаменты Август'!L91</f>
        <v>85</v>
      </c>
      <c r="D92" s="17"/>
      <c r="E92" s="14">
        <f>200</f>
        <v>200</v>
      </c>
      <c r="F92" s="18">
        <f>5+13+10</f>
        <v>28</v>
      </c>
      <c r="G92" s="19"/>
      <c r="H92" s="20"/>
      <c r="I92" s="21"/>
      <c r="J92" s="14"/>
      <c r="K92" s="14">
        <f t="shared" si="2"/>
        <v>28</v>
      </c>
      <c r="L92" s="16">
        <f t="shared" si="3"/>
        <v>257</v>
      </c>
      <c r="M92" s="22">
        <v>45017</v>
      </c>
      <c r="N92" s="44" t="s">
        <v>551</v>
      </c>
      <c r="O92" s="23" t="s">
        <v>16</v>
      </c>
      <c r="P92" s="24" t="s">
        <v>17</v>
      </c>
      <c r="Q92" s="28" t="s">
        <v>133</v>
      </c>
    </row>
    <row r="93" spans="1:17">
      <c r="A93" s="14">
        <v>89</v>
      </c>
      <c r="B93" s="15" t="s">
        <v>626</v>
      </c>
      <c r="C93" s="16">
        <f>'Медикаменты Август'!L92</f>
        <v>100</v>
      </c>
      <c r="D93" s="17"/>
      <c r="E93" s="14"/>
      <c r="F93" s="18"/>
      <c r="G93" s="19"/>
      <c r="H93" s="20"/>
      <c r="I93" s="21"/>
      <c r="J93" s="14"/>
      <c r="K93" s="14">
        <f t="shared" si="2"/>
        <v>0</v>
      </c>
      <c r="L93" s="16">
        <f t="shared" si="3"/>
        <v>100</v>
      </c>
      <c r="M93" s="22">
        <v>45017</v>
      </c>
      <c r="N93" s="44" t="s">
        <v>551</v>
      </c>
      <c r="O93" s="23" t="s">
        <v>26</v>
      </c>
      <c r="P93" s="24" t="s">
        <v>17</v>
      </c>
      <c r="Q93" s="28" t="s">
        <v>133</v>
      </c>
    </row>
    <row r="94" spans="1:17">
      <c r="A94" s="14">
        <v>90</v>
      </c>
      <c r="B94" s="15" t="s">
        <v>134</v>
      </c>
      <c r="C94" s="16">
        <f>'Медикаменты Август'!L93</f>
        <v>0</v>
      </c>
      <c r="D94" s="17"/>
      <c r="E94" s="14"/>
      <c r="F94" s="18"/>
      <c r="G94" s="19"/>
      <c r="H94" s="20"/>
      <c r="I94" s="21"/>
      <c r="J94" s="14"/>
      <c r="K94" s="14">
        <f t="shared" si="2"/>
        <v>0</v>
      </c>
      <c r="L94" s="16">
        <f t="shared" si="3"/>
        <v>0</v>
      </c>
      <c r="M94" s="22">
        <v>44228</v>
      </c>
      <c r="N94" s="44"/>
      <c r="O94" s="23" t="s">
        <v>16</v>
      </c>
      <c r="P94" s="24" t="s">
        <v>17</v>
      </c>
      <c r="Q94" s="28" t="s">
        <v>135</v>
      </c>
    </row>
    <row r="95" spans="1:17">
      <c r="A95" s="14">
        <v>91</v>
      </c>
      <c r="B95" s="15" t="s">
        <v>136</v>
      </c>
      <c r="C95" s="16">
        <f>'Медикаменты Август'!L94</f>
        <v>0</v>
      </c>
      <c r="D95" s="17"/>
      <c r="E95" s="14"/>
      <c r="F95" s="18"/>
      <c r="G95" s="19"/>
      <c r="H95" s="20"/>
      <c r="I95" s="21"/>
      <c r="J95" s="14"/>
      <c r="K95" s="14">
        <f t="shared" si="2"/>
        <v>0</v>
      </c>
      <c r="L95" s="16">
        <f t="shared" si="3"/>
        <v>0</v>
      </c>
      <c r="M95" s="22">
        <v>45778</v>
      </c>
      <c r="N95" s="44" t="s">
        <v>45</v>
      </c>
      <c r="O95" s="23" t="s">
        <v>16</v>
      </c>
      <c r="P95" s="24" t="s">
        <v>17</v>
      </c>
      <c r="Q95" s="28" t="s">
        <v>137</v>
      </c>
    </row>
    <row r="96" spans="1:17">
      <c r="A96" s="14">
        <v>92</v>
      </c>
      <c r="B96" s="15" t="s">
        <v>138</v>
      </c>
      <c r="C96" s="16">
        <f>'Медикаменты Август'!L95</f>
        <v>75</v>
      </c>
      <c r="D96" s="30"/>
      <c r="E96" s="14"/>
      <c r="F96" s="18"/>
      <c r="G96" s="19"/>
      <c r="H96" s="20"/>
      <c r="I96" s="21"/>
      <c r="J96" s="14"/>
      <c r="K96" s="14">
        <f t="shared" si="2"/>
        <v>0</v>
      </c>
      <c r="L96" s="16">
        <f t="shared" si="3"/>
        <v>75</v>
      </c>
      <c r="M96" s="22">
        <v>44927</v>
      </c>
      <c r="N96" s="44" t="s">
        <v>551</v>
      </c>
      <c r="O96" s="23" t="s">
        <v>16</v>
      </c>
      <c r="P96" s="24" t="s">
        <v>17</v>
      </c>
      <c r="Q96" s="28" t="s">
        <v>568</v>
      </c>
    </row>
    <row r="97" spans="1:17">
      <c r="A97" s="14">
        <v>93</v>
      </c>
      <c r="B97" s="15" t="s">
        <v>138</v>
      </c>
      <c r="C97" s="16">
        <f>'Медикаменты Август'!L96</f>
        <v>0</v>
      </c>
      <c r="D97" s="30"/>
      <c r="E97" s="14"/>
      <c r="F97" s="18"/>
      <c r="G97" s="19"/>
      <c r="H97" s="20"/>
      <c r="I97" s="21"/>
      <c r="J97" s="14"/>
      <c r="K97" s="14">
        <f t="shared" si="2"/>
        <v>0</v>
      </c>
      <c r="L97" s="16">
        <f t="shared" si="3"/>
        <v>0</v>
      </c>
      <c r="M97" s="22">
        <v>44927</v>
      </c>
      <c r="N97" s="44" t="s">
        <v>551</v>
      </c>
      <c r="O97" s="23" t="s">
        <v>26</v>
      </c>
      <c r="P97" s="24" t="s">
        <v>17</v>
      </c>
      <c r="Q97" s="28" t="s">
        <v>568</v>
      </c>
    </row>
    <row r="98" spans="1:17">
      <c r="A98" s="14">
        <v>94</v>
      </c>
      <c r="B98" s="15" t="s">
        <v>569</v>
      </c>
      <c r="C98" s="16">
        <f>'Медикаменты Август'!L97</f>
        <v>3</v>
      </c>
      <c r="D98" s="17"/>
      <c r="E98" s="14"/>
      <c r="F98" s="18"/>
      <c r="G98" s="19"/>
      <c r="H98" s="20"/>
      <c r="I98" s="21"/>
      <c r="J98" s="14"/>
      <c r="K98" s="14">
        <f t="shared" si="2"/>
        <v>0</v>
      </c>
      <c r="L98" s="16">
        <f t="shared" si="3"/>
        <v>3</v>
      </c>
      <c r="M98" s="22">
        <v>45108</v>
      </c>
      <c r="N98" s="44" t="s">
        <v>551</v>
      </c>
      <c r="O98" s="23" t="s">
        <v>16</v>
      </c>
      <c r="P98" s="24" t="s">
        <v>17</v>
      </c>
      <c r="Q98" s="28" t="s">
        <v>585</v>
      </c>
    </row>
    <row r="99" spans="1:17">
      <c r="A99" s="14">
        <v>95</v>
      </c>
      <c r="B99" s="15" t="s">
        <v>569</v>
      </c>
      <c r="C99" s="16">
        <f>'Медикаменты Август'!L98</f>
        <v>0</v>
      </c>
      <c r="D99" s="17"/>
      <c r="E99" s="14"/>
      <c r="F99" s="18"/>
      <c r="G99" s="19"/>
      <c r="H99" s="20"/>
      <c r="I99" s="21"/>
      <c r="J99" s="14"/>
      <c r="K99" s="14">
        <f t="shared" si="2"/>
        <v>0</v>
      </c>
      <c r="L99" s="16">
        <f t="shared" si="3"/>
        <v>0</v>
      </c>
      <c r="M99" s="22">
        <v>45108</v>
      </c>
      <c r="N99" s="44" t="s">
        <v>551</v>
      </c>
      <c r="O99" s="23" t="s">
        <v>26</v>
      </c>
      <c r="P99" s="24" t="s">
        <v>17</v>
      </c>
      <c r="Q99" s="28" t="s">
        <v>585</v>
      </c>
    </row>
    <row r="100" spans="1:17">
      <c r="A100" s="14">
        <v>96</v>
      </c>
      <c r="B100" s="15" t="s">
        <v>140</v>
      </c>
      <c r="C100" s="16">
        <f>'Медикаменты Август'!L99</f>
        <v>0</v>
      </c>
      <c r="D100" s="17"/>
      <c r="E100" s="14"/>
      <c r="F100" s="18"/>
      <c r="G100" s="19"/>
      <c r="H100" s="20"/>
      <c r="I100" s="21"/>
      <c r="J100" s="14"/>
      <c r="K100" s="14">
        <f t="shared" si="2"/>
        <v>0</v>
      </c>
      <c r="L100" s="16">
        <f t="shared" si="3"/>
        <v>0</v>
      </c>
      <c r="M100" s="22">
        <v>44682</v>
      </c>
      <c r="N100" s="44" t="s">
        <v>45</v>
      </c>
      <c r="O100" s="23" t="s">
        <v>16</v>
      </c>
      <c r="P100" s="24" t="s">
        <v>45</v>
      </c>
      <c r="Q100" s="28" t="s">
        <v>141</v>
      </c>
    </row>
    <row r="101" spans="1:17">
      <c r="A101" s="14">
        <v>97</v>
      </c>
      <c r="B101" s="15" t="s">
        <v>142</v>
      </c>
      <c r="C101" s="16">
        <f>'Медикаменты Август'!L100</f>
        <v>0</v>
      </c>
      <c r="D101" s="17"/>
      <c r="E101" s="14"/>
      <c r="F101" s="18"/>
      <c r="G101" s="19"/>
      <c r="H101" s="20"/>
      <c r="I101" s="21"/>
      <c r="J101" s="14"/>
      <c r="K101" s="14">
        <f t="shared" si="2"/>
        <v>0</v>
      </c>
      <c r="L101" s="16">
        <f t="shared" si="3"/>
        <v>0</v>
      </c>
      <c r="M101" s="22">
        <v>45352</v>
      </c>
      <c r="N101" s="44"/>
      <c r="O101" s="23" t="s">
        <v>16</v>
      </c>
      <c r="P101" s="24"/>
      <c r="Q101" s="28" t="s">
        <v>143</v>
      </c>
    </row>
    <row r="102" spans="1:17">
      <c r="A102" s="14">
        <v>98</v>
      </c>
      <c r="B102" s="15" t="s">
        <v>144</v>
      </c>
      <c r="C102" s="16">
        <f>'Медикаменты Август'!L101</f>
        <v>0</v>
      </c>
      <c r="D102" s="17"/>
      <c r="E102" s="14"/>
      <c r="F102" s="18"/>
      <c r="G102" s="19"/>
      <c r="H102" s="20"/>
      <c r="I102" s="21"/>
      <c r="J102" s="14"/>
      <c r="K102" s="14">
        <f t="shared" si="2"/>
        <v>0</v>
      </c>
      <c r="L102" s="16">
        <f t="shared" si="3"/>
        <v>0</v>
      </c>
      <c r="M102" s="22">
        <v>44228</v>
      </c>
      <c r="N102" s="44"/>
      <c r="O102" s="23" t="s">
        <v>16</v>
      </c>
      <c r="P102" s="24"/>
      <c r="Q102" s="28" t="s">
        <v>145</v>
      </c>
    </row>
    <row r="103" spans="1:17">
      <c r="A103" s="14">
        <v>99</v>
      </c>
      <c r="B103" s="15" t="s">
        <v>146</v>
      </c>
      <c r="C103" s="16">
        <f>'Медикаменты Август'!L102</f>
        <v>0</v>
      </c>
      <c r="D103" s="17"/>
      <c r="E103" s="14"/>
      <c r="F103" s="18"/>
      <c r="G103" s="19"/>
      <c r="H103" s="20"/>
      <c r="I103" s="21"/>
      <c r="J103" s="14"/>
      <c r="K103" s="14">
        <f t="shared" si="2"/>
        <v>0</v>
      </c>
      <c r="L103" s="16">
        <f t="shared" si="3"/>
        <v>0</v>
      </c>
      <c r="M103" s="22">
        <v>45474</v>
      </c>
      <c r="N103" s="44"/>
      <c r="O103" s="23" t="s">
        <v>16</v>
      </c>
      <c r="P103" s="24" t="s">
        <v>45</v>
      </c>
      <c r="Q103" s="28" t="s">
        <v>147</v>
      </c>
    </row>
    <row r="104" spans="1:17">
      <c r="A104" s="14">
        <v>100</v>
      </c>
      <c r="B104" s="15" t="s">
        <v>148</v>
      </c>
      <c r="C104" s="16">
        <f>'Медикаменты Август'!L103</f>
        <v>0</v>
      </c>
      <c r="D104" s="17"/>
      <c r="E104" s="14"/>
      <c r="F104" s="18"/>
      <c r="G104" s="19"/>
      <c r="H104" s="20"/>
      <c r="I104" s="21"/>
      <c r="J104" s="14"/>
      <c r="K104" s="14">
        <f t="shared" si="2"/>
        <v>0</v>
      </c>
      <c r="L104" s="16">
        <f t="shared" si="3"/>
        <v>0</v>
      </c>
      <c r="M104" s="22"/>
      <c r="N104" s="44"/>
      <c r="O104" s="23" t="s">
        <v>16</v>
      </c>
      <c r="P104" s="24"/>
      <c r="Q104" s="45"/>
    </row>
    <row r="105" spans="1:17">
      <c r="A105" s="14">
        <v>101</v>
      </c>
      <c r="B105" s="15" t="s">
        <v>149</v>
      </c>
      <c r="C105" s="16">
        <f>'Медикаменты Август'!L104</f>
        <v>0</v>
      </c>
      <c r="D105" s="17"/>
      <c r="E105" s="14"/>
      <c r="F105" s="18"/>
      <c r="G105" s="19"/>
      <c r="H105" s="20"/>
      <c r="I105" s="21"/>
      <c r="J105" s="14"/>
      <c r="K105" s="14">
        <f t="shared" si="2"/>
        <v>0</v>
      </c>
      <c r="L105" s="16">
        <f t="shared" si="3"/>
        <v>0</v>
      </c>
      <c r="M105" s="22">
        <v>44348</v>
      </c>
      <c r="N105" s="44"/>
      <c r="O105" s="23" t="s">
        <v>16</v>
      </c>
      <c r="P105" s="24"/>
      <c r="Q105" s="28" t="s">
        <v>150</v>
      </c>
    </row>
    <row r="106" spans="1:17">
      <c r="A106" s="14">
        <v>102</v>
      </c>
      <c r="B106" s="15" t="s">
        <v>151</v>
      </c>
      <c r="C106" s="16">
        <f>'Медикаменты Август'!L105</f>
        <v>0</v>
      </c>
      <c r="D106" s="17"/>
      <c r="E106" s="14"/>
      <c r="F106" s="18"/>
      <c r="G106" s="19"/>
      <c r="H106" s="20"/>
      <c r="I106" s="21"/>
      <c r="J106" s="14"/>
      <c r="K106" s="14">
        <f t="shared" si="2"/>
        <v>0</v>
      </c>
      <c r="L106" s="16">
        <f t="shared" si="3"/>
        <v>0</v>
      </c>
      <c r="M106" s="22">
        <v>44743</v>
      </c>
      <c r="N106" s="44" t="s">
        <v>45</v>
      </c>
      <c r="O106" s="23" t="s">
        <v>16</v>
      </c>
      <c r="P106" s="24" t="s">
        <v>45</v>
      </c>
      <c r="Q106" s="28" t="s">
        <v>152</v>
      </c>
    </row>
    <row r="107" spans="1:17">
      <c r="A107" s="14">
        <v>103</v>
      </c>
      <c r="B107" s="15" t="s">
        <v>153</v>
      </c>
      <c r="C107" s="16">
        <f>'Медикаменты Август'!L106</f>
        <v>0</v>
      </c>
      <c r="D107" s="17"/>
      <c r="E107" s="14"/>
      <c r="F107" s="18"/>
      <c r="G107" s="19"/>
      <c r="H107" s="20"/>
      <c r="I107" s="21"/>
      <c r="J107" s="14"/>
      <c r="K107" s="14">
        <f t="shared" si="2"/>
        <v>0</v>
      </c>
      <c r="L107" s="16">
        <f t="shared" si="3"/>
        <v>0</v>
      </c>
      <c r="M107" s="22">
        <v>44256</v>
      </c>
      <c r="N107" s="44"/>
      <c r="O107" s="23" t="s">
        <v>16</v>
      </c>
      <c r="P107" s="24"/>
      <c r="Q107" s="28" t="s">
        <v>154</v>
      </c>
    </row>
    <row r="108" spans="1:17">
      <c r="A108" s="14">
        <v>104</v>
      </c>
      <c r="B108" s="15" t="s">
        <v>155</v>
      </c>
      <c r="C108" s="16">
        <f>'Медикаменты Август'!L107</f>
        <v>0</v>
      </c>
      <c r="D108" s="17"/>
      <c r="E108" s="14"/>
      <c r="F108" s="18"/>
      <c r="G108" s="19"/>
      <c r="H108" s="20"/>
      <c r="I108" s="21"/>
      <c r="J108" s="14"/>
      <c r="K108" s="14">
        <f t="shared" si="2"/>
        <v>0</v>
      </c>
      <c r="L108" s="16">
        <f t="shared" si="3"/>
        <v>0</v>
      </c>
      <c r="M108" s="22"/>
      <c r="N108" s="44"/>
      <c r="O108" s="23" t="s">
        <v>16</v>
      </c>
      <c r="P108" s="24"/>
      <c r="Q108" s="45"/>
    </row>
    <row r="109" spans="1:17">
      <c r="A109" s="14">
        <v>105</v>
      </c>
      <c r="B109" s="15" t="s">
        <v>156</v>
      </c>
      <c r="C109" s="16">
        <f>'Медикаменты Август'!L108</f>
        <v>0</v>
      </c>
      <c r="D109" s="17"/>
      <c r="E109" s="14"/>
      <c r="F109" s="18"/>
      <c r="G109" s="19"/>
      <c r="H109" s="20"/>
      <c r="I109" s="21"/>
      <c r="J109" s="14"/>
      <c r="K109" s="14">
        <f t="shared" si="2"/>
        <v>0</v>
      </c>
      <c r="L109" s="16">
        <f t="shared" si="3"/>
        <v>0</v>
      </c>
      <c r="M109" s="22">
        <v>44197</v>
      </c>
      <c r="N109" s="44"/>
      <c r="O109" s="23" t="s">
        <v>16</v>
      </c>
      <c r="P109" s="24"/>
      <c r="Q109" s="28" t="s">
        <v>157</v>
      </c>
    </row>
    <row r="110" spans="1:17">
      <c r="A110" s="14">
        <v>106</v>
      </c>
      <c r="B110" s="15" t="s">
        <v>158</v>
      </c>
      <c r="C110" s="16">
        <f>'Медикаменты Август'!L109</f>
        <v>5</v>
      </c>
      <c r="D110" s="17"/>
      <c r="E110" s="14"/>
      <c r="F110" s="18"/>
      <c r="G110" s="19"/>
      <c r="H110" s="20"/>
      <c r="I110" s="21"/>
      <c r="J110" s="14"/>
      <c r="K110" s="14">
        <f t="shared" si="2"/>
        <v>0</v>
      </c>
      <c r="L110" s="16">
        <f t="shared" si="3"/>
        <v>5</v>
      </c>
      <c r="M110" s="22">
        <v>44774</v>
      </c>
      <c r="N110" s="44" t="s">
        <v>45</v>
      </c>
      <c r="O110" s="23" t="s">
        <v>16</v>
      </c>
      <c r="P110" s="24" t="s">
        <v>17</v>
      </c>
      <c r="Q110" s="28" t="s">
        <v>159</v>
      </c>
    </row>
    <row r="111" spans="1:17">
      <c r="A111" s="14">
        <v>107</v>
      </c>
      <c r="B111" s="15" t="s">
        <v>160</v>
      </c>
      <c r="C111" s="16">
        <f>'Медикаменты Август'!L110</f>
        <v>83</v>
      </c>
      <c r="D111" s="17"/>
      <c r="E111" s="14"/>
      <c r="F111" s="18"/>
      <c r="G111" s="19"/>
      <c r="H111" s="20"/>
      <c r="I111" s="21"/>
      <c r="J111" s="14"/>
      <c r="K111" s="14">
        <f t="shared" si="2"/>
        <v>0</v>
      </c>
      <c r="L111" s="16">
        <f t="shared" si="3"/>
        <v>83</v>
      </c>
      <c r="M111" s="22">
        <v>44805</v>
      </c>
      <c r="N111" s="44" t="s">
        <v>45</v>
      </c>
      <c r="O111" s="23" t="s">
        <v>16</v>
      </c>
      <c r="P111" s="24" t="s">
        <v>17</v>
      </c>
      <c r="Q111" s="28" t="s">
        <v>161</v>
      </c>
    </row>
    <row r="112" spans="1:17">
      <c r="A112" s="14">
        <v>108</v>
      </c>
      <c r="B112" s="15" t="s">
        <v>162</v>
      </c>
      <c r="C112" s="16">
        <f>'Медикаменты Август'!L111</f>
        <v>91</v>
      </c>
      <c r="D112" s="17"/>
      <c r="E112" s="14"/>
      <c r="F112" s="18">
        <f>5+5</f>
        <v>10</v>
      </c>
      <c r="G112" s="19"/>
      <c r="H112" s="20"/>
      <c r="I112" s="21"/>
      <c r="J112" s="14"/>
      <c r="K112" s="14">
        <f t="shared" si="2"/>
        <v>10</v>
      </c>
      <c r="L112" s="16">
        <f t="shared" si="3"/>
        <v>81</v>
      </c>
      <c r="M112" s="22">
        <v>44742</v>
      </c>
      <c r="N112" s="44" t="s">
        <v>45</v>
      </c>
      <c r="O112" s="23" t="s">
        <v>16</v>
      </c>
      <c r="P112" s="24" t="s">
        <v>17</v>
      </c>
      <c r="Q112" s="28" t="s">
        <v>163</v>
      </c>
    </row>
    <row r="113" spans="1:17">
      <c r="A113" s="14">
        <v>109</v>
      </c>
      <c r="B113" s="15" t="s">
        <v>645</v>
      </c>
      <c r="C113" s="16">
        <f>'Медикаменты Август'!L113</f>
        <v>0</v>
      </c>
      <c r="D113" s="17"/>
      <c r="E113" s="14">
        <f>40</f>
        <v>40</v>
      </c>
      <c r="F113" s="18"/>
      <c r="G113" s="19"/>
      <c r="H113" s="20"/>
      <c r="I113" s="21"/>
      <c r="J113" s="14"/>
      <c r="K113" s="14">
        <f t="shared" si="2"/>
        <v>0</v>
      </c>
      <c r="L113" s="16">
        <f t="shared" si="3"/>
        <v>40</v>
      </c>
      <c r="M113" s="22">
        <v>45261</v>
      </c>
      <c r="N113" s="44" t="s">
        <v>551</v>
      </c>
      <c r="O113" s="23" t="s">
        <v>16</v>
      </c>
      <c r="P113" s="24" t="s">
        <v>17</v>
      </c>
      <c r="Q113" s="28" t="s">
        <v>646</v>
      </c>
    </row>
    <row r="114" spans="1:17">
      <c r="A114" s="14">
        <v>110</v>
      </c>
      <c r="B114" s="15" t="s">
        <v>167</v>
      </c>
      <c r="C114" s="16">
        <f>'Медикаменты Август'!L114</f>
        <v>0</v>
      </c>
      <c r="D114" s="17"/>
      <c r="E114" s="14"/>
      <c r="F114" s="18"/>
      <c r="G114" s="19"/>
      <c r="H114" s="20"/>
      <c r="I114" s="21"/>
      <c r="J114" s="14"/>
      <c r="K114" s="14">
        <f t="shared" si="2"/>
        <v>0</v>
      </c>
      <c r="L114" s="16">
        <f t="shared" si="3"/>
        <v>0</v>
      </c>
      <c r="M114" s="22">
        <v>44256</v>
      </c>
      <c r="N114" s="44"/>
      <c r="O114" s="23" t="s">
        <v>16</v>
      </c>
      <c r="P114" s="24" t="s">
        <v>17</v>
      </c>
      <c r="Q114" s="28" t="s">
        <v>168</v>
      </c>
    </row>
    <row r="115" spans="1:17">
      <c r="A115" s="14">
        <v>111</v>
      </c>
      <c r="B115" s="15" t="s">
        <v>169</v>
      </c>
      <c r="C115" s="16">
        <f>'Медикаменты Август'!L115</f>
        <v>0</v>
      </c>
      <c r="D115" s="17"/>
      <c r="E115" s="14"/>
      <c r="F115" s="18"/>
      <c r="G115" s="19"/>
      <c r="H115" s="20"/>
      <c r="I115" s="21"/>
      <c r="J115" s="14"/>
      <c r="K115" s="14">
        <f t="shared" si="2"/>
        <v>0</v>
      </c>
      <c r="L115" s="16">
        <f t="shared" si="3"/>
        <v>0</v>
      </c>
      <c r="M115" s="22">
        <v>44197</v>
      </c>
      <c r="N115" s="44"/>
      <c r="O115" s="23" t="s">
        <v>16</v>
      </c>
      <c r="P115" s="24"/>
      <c r="Q115" s="28" t="s">
        <v>170</v>
      </c>
    </row>
    <row r="116" spans="1:17">
      <c r="A116" s="14">
        <v>112</v>
      </c>
      <c r="B116" s="15" t="s">
        <v>171</v>
      </c>
      <c r="C116" s="16">
        <f>'Медикаменты Август'!L116</f>
        <v>0</v>
      </c>
      <c r="D116" s="17"/>
      <c r="E116" s="14"/>
      <c r="F116" s="18"/>
      <c r="G116" s="19"/>
      <c r="H116" s="20"/>
      <c r="I116" s="21"/>
      <c r="J116" s="14"/>
      <c r="K116" s="14">
        <f t="shared" si="2"/>
        <v>0</v>
      </c>
      <c r="L116" s="16">
        <f t="shared" si="3"/>
        <v>0</v>
      </c>
      <c r="M116" s="22"/>
      <c r="N116" s="44"/>
      <c r="O116" s="23" t="s">
        <v>16</v>
      </c>
      <c r="P116" s="24"/>
      <c r="Q116" s="45"/>
    </row>
    <row r="117" spans="1:17">
      <c r="A117" s="14">
        <v>113</v>
      </c>
      <c r="B117" s="15" t="s">
        <v>172</v>
      </c>
      <c r="C117" s="16">
        <f>'Медикаменты Август'!L117</f>
        <v>0</v>
      </c>
      <c r="D117" s="17"/>
      <c r="E117" s="14"/>
      <c r="F117" s="18"/>
      <c r="G117" s="19"/>
      <c r="H117" s="20"/>
      <c r="I117" s="21"/>
      <c r="J117" s="14"/>
      <c r="K117" s="14">
        <f t="shared" si="2"/>
        <v>0</v>
      </c>
      <c r="L117" s="16">
        <f t="shared" si="3"/>
        <v>0</v>
      </c>
      <c r="M117" s="22">
        <v>44287</v>
      </c>
      <c r="N117" s="44"/>
      <c r="O117" s="23" t="s">
        <v>26</v>
      </c>
      <c r="P117" s="24" t="s">
        <v>17</v>
      </c>
      <c r="Q117" s="28" t="s">
        <v>173</v>
      </c>
    </row>
    <row r="118" spans="1:17">
      <c r="A118" s="14">
        <v>114</v>
      </c>
      <c r="B118" s="15" t="s">
        <v>172</v>
      </c>
      <c r="C118" s="16">
        <f>'Медикаменты Август'!L118</f>
        <v>42</v>
      </c>
      <c r="D118" s="17"/>
      <c r="E118" s="14"/>
      <c r="F118" s="18">
        <f>5</f>
        <v>5</v>
      </c>
      <c r="G118" s="19"/>
      <c r="H118" s="20">
        <f>5</f>
        <v>5</v>
      </c>
      <c r="I118" s="21"/>
      <c r="J118" s="14"/>
      <c r="K118" s="14">
        <f t="shared" si="2"/>
        <v>10</v>
      </c>
      <c r="L118" s="16">
        <f t="shared" si="3"/>
        <v>32</v>
      </c>
      <c r="M118" s="22">
        <v>44805</v>
      </c>
      <c r="N118" s="44" t="s">
        <v>45</v>
      </c>
      <c r="O118" s="23" t="s">
        <v>26</v>
      </c>
      <c r="P118" s="24" t="s">
        <v>17</v>
      </c>
      <c r="Q118" s="28" t="s">
        <v>173</v>
      </c>
    </row>
    <row r="119" spans="1:17">
      <c r="A119" s="14">
        <v>115</v>
      </c>
      <c r="B119" s="15" t="s">
        <v>174</v>
      </c>
      <c r="C119" s="16">
        <f>'Медикаменты Август'!L119</f>
        <v>54</v>
      </c>
      <c r="D119" s="17"/>
      <c r="E119" s="14"/>
      <c r="F119" s="18"/>
      <c r="G119" s="19"/>
      <c r="H119" s="20"/>
      <c r="I119" s="21"/>
      <c r="J119" s="14"/>
      <c r="K119" s="14">
        <f t="shared" si="2"/>
        <v>0</v>
      </c>
      <c r="L119" s="16">
        <f t="shared" si="3"/>
        <v>54</v>
      </c>
      <c r="M119" s="22">
        <v>46054</v>
      </c>
      <c r="N119" s="44" t="s">
        <v>551</v>
      </c>
      <c r="O119" s="23" t="s">
        <v>26</v>
      </c>
      <c r="P119" s="24" t="s">
        <v>17</v>
      </c>
      <c r="Q119" s="28" t="s">
        <v>571</v>
      </c>
    </row>
    <row r="120" spans="1:17">
      <c r="A120" s="14">
        <v>116</v>
      </c>
      <c r="B120" s="15" t="s">
        <v>547</v>
      </c>
      <c r="C120" s="16">
        <f>'Медикаменты Август'!L120</f>
        <v>0</v>
      </c>
      <c r="D120" s="17"/>
      <c r="E120" s="14"/>
      <c r="F120" s="18"/>
      <c r="G120" s="19"/>
      <c r="H120" s="20"/>
      <c r="I120" s="21"/>
      <c r="J120" s="14"/>
      <c r="K120" s="14">
        <f t="shared" si="2"/>
        <v>0</v>
      </c>
      <c r="L120" s="16">
        <f t="shared" si="3"/>
        <v>0</v>
      </c>
      <c r="M120" s="22">
        <v>44317</v>
      </c>
      <c r="N120" s="44" t="s">
        <v>45</v>
      </c>
      <c r="O120" s="23" t="s">
        <v>16</v>
      </c>
      <c r="P120" s="24" t="s">
        <v>17</v>
      </c>
      <c r="Q120" s="28" t="s">
        <v>176</v>
      </c>
    </row>
    <row r="121" spans="1:17">
      <c r="A121" s="14">
        <v>117</v>
      </c>
      <c r="B121" s="15" t="s">
        <v>177</v>
      </c>
      <c r="C121" s="16">
        <f>'Медикаменты Август'!L121</f>
        <v>0</v>
      </c>
      <c r="D121" s="17"/>
      <c r="E121" s="14"/>
      <c r="F121" s="18"/>
      <c r="G121" s="19"/>
      <c r="H121" s="20"/>
      <c r="I121" s="21"/>
      <c r="J121" s="14"/>
      <c r="K121" s="14">
        <f t="shared" si="2"/>
        <v>0</v>
      </c>
      <c r="L121" s="16">
        <f t="shared" si="3"/>
        <v>0</v>
      </c>
      <c r="M121" s="22"/>
      <c r="N121" s="44"/>
      <c r="O121" s="23" t="s">
        <v>16</v>
      </c>
      <c r="P121" s="24"/>
      <c r="Q121" s="45"/>
    </row>
    <row r="122" spans="1:17">
      <c r="A122" s="14">
        <v>118</v>
      </c>
      <c r="B122" s="15" t="s">
        <v>627</v>
      </c>
      <c r="C122" s="16">
        <f>'Медикаменты Август'!L122</f>
        <v>100</v>
      </c>
      <c r="D122" s="17"/>
      <c r="E122" s="14"/>
      <c r="F122" s="18">
        <f>20+5+10</f>
        <v>35</v>
      </c>
      <c r="G122" s="19"/>
      <c r="H122" s="20">
        <f>10</f>
        <v>10</v>
      </c>
      <c r="I122" s="21"/>
      <c r="J122" s="14"/>
      <c r="K122" s="14">
        <f t="shared" si="2"/>
        <v>45</v>
      </c>
      <c r="L122" s="16">
        <f t="shared" si="3"/>
        <v>55</v>
      </c>
      <c r="M122" s="22">
        <v>45474</v>
      </c>
      <c r="N122" s="44" t="s">
        <v>551</v>
      </c>
      <c r="O122" s="23" t="s">
        <v>16</v>
      </c>
      <c r="P122" s="24" t="s">
        <v>17</v>
      </c>
      <c r="Q122" s="28" t="s">
        <v>628</v>
      </c>
    </row>
    <row r="123" spans="1:17">
      <c r="A123" s="14">
        <v>119</v>
      </c>
      <c r="B123" s="15" t="s">
        <v>572</v>
      </c>
      <c r="C123" s="16">
        <f>'Медикаменты Август'!L123</f>
        <v>18</v>
      </c>
      <c r="D123" s="17"/>
      <c r="E123" s="14"/>
      <c r="F123" s="18">
        <f>5+3</f>
        <v>8</v>
      </c>
      <c r="G123" s="19"/>
      <c r="H123" s="20"/>
      <c r="I123" s="21"/>
      <c r="J123" s="14"/>
      <c r="K123" s="14">
        <f t="shared" si="2"/>
        <v>8</v>
      </c>
      <c r="L123" s="16">
        <f t="shared" si="3"/>
        <v>10</v>
      </c>
      <c r="M123" s="22">
        <v>45200</v>
      </c>
      <c r="N123" s="44" t="s">
        <v>551</v>
      </c>
      <c r="O123" s="23" t="s">
        <v>16</v>
      </c>
      <c r="P123" s="24" t="s">
        <v>17</v>
      </c>
      <c r="Q123" s="28" t="s">
        <v>181</v>
      </c>
    </row>
    <row r="124" spans="1:17">
      <c r="A124" s="14">
        <v>120</v>
      </c>
      <c r="B124" s="15" t="s">
        <v>182</v>
      </c>
      <c r="C124" s="16">
        <f>'Медикаменты Август'!L124</f>
        <v>0</v>
      </c>
      <c r="D124" s="17"/>
      <c r="E124" s="14"/>
      <c r="F124" s="18"/>
      <c r="G124" s="19"/>
      <c r="H124" s="20"/>
      <c r="I124" s="21"/>
      <c r="J124" s="14"/>
      <c r="K124" s="14">
        <f t="shared" si="2"/>
        <v>0</v>
      </c>
      <c r="L124" s="16">
        <f t="shared" si="3"/>
        <v>0</v>
      </c>
      <c r="M124" s="22">
        <v>44409</v>
      </c>
      <c r="N124" s="44"/>
      <c r="O124" s="23" t="s">
        <v>16</v>
      </c>
      <c r="P124" s="24"/>
      <c r="Q124" s="28" t="s">
        <v>183</v>
      </c>
    </row>
    <row r="125" spans="1:17">
      <c r="A125" s="14">
        <v>121</v>
      </c>
      <c r="B125" s="15" t="s">
        <v>184</v>
      </c>
      <c r="C125" s="16">
        <f>'Медикаменты Август'!L125</f>
        <v>35</v>
      </c>
      <c r="D125" s="17"/>
      <c r="E125" s="14"/>
      <c r="F125" s="18">
        <f>3</f>
        <v>3</v>
      </c>
      <c r="G125" s="19"/>
      <c r="H125" s="20"/>
      <c r="I125" s="21"/>
      <c r="J125" s="14"/>
      <c r="K125" s="14">
        <f t="shared" si="2"/>
        <v>3</v>
      </c>
      <c r="L125" s="16">
        <f t="shared" si="3"/>
        <v>32</v>
      </c>
      <c r="M125" s="22">
        <v>45323</v>
      </c>
      <c r="N125" s="44" t="s">
        <v>551</v>
      </c>
      <c r="O125" s="23" t="s">
        <v>16</v>
      </c>
      <c r="P125" s="24" t="s">
        <v>17</v>
      </c>
      <c r="Q125" s="28" t="s">
        <v>598</v>
      </c>
    </row>
    <row r="126" spans="1:17">
      <c r="A126" s="14">
        <v>122</v>
      </c>
      <c r="B126" s="15" t="s">
        <v>186</v>
      </c>
      <c r="C126" s="16">
        <f>'Медикаменты Август'!L126</f>
        <v>0</v>
      </c>
      <c r="D126" s="17"/>
      <c r="E126" s="14"/>
      <c r="F126" s="18"/>
      <c r="G126" s="19"/>
      <c r="H126" s="20"/>
      <c r="I126" s="21"/>
      <c r="J126" s="14"/>
      <c r="K126" s="14">
        <f t="shared" si="2"/>
        <v>0</v>
      </c>
      <c r="L126" s="16">
        <f t="shared" si="3"/>
        <v>0</v>
      </c>
      <c r="M126" s="22">
        <v>44743</v>
      </c>
      <c r="N126" s="44" t="s">
        <v>45</v>
      </c>
      <c r="O126" s="23" t="s">
        <v>16</v>
      </c>
      <c r="P126" s="24" t="s">
        <v>17</v>
      </c>
      <c r="Q126" s="28" t="s">
        <v>187</v>
      </c>
    </row>
    <row r="127" spans="1:17">
      <c r="A127" s="14">
        <v>123</v>
      </c>
      <c r="B127" s="15" t="s">
        <v>188</v>
      </c>
      <c r="C127" s="16">
        <f>'Медикаменты Август'!L127</f>
        <v>0</v>
      </c>
      <c r="D127" s="17"/>
      <c r="E127" s="14"/>
      <c r="F127" s="18"/>
      <c r="G127" s="19"/>
      <c r="H127" s="20"/>
      <c r="I127" s="21"/>
      <c r="J127" s="14"/>
      <c r="K127" s="14">
        <f t="shared" si="2"/>
        <v>0</v>
      </c>
      <c r="L127" s="16">
        <f t="shared" si="3"/>
        <v>0</v>
      </c>
      <c r="M127" s="22"/>
      <c r="N127" s="44"/>
      <c r="O127" s="23" t="s">
        <v>16</v>
      </c>
      <c r="P127" s="24"/>
      <c r="Q127" s="45"/>
    </row>
    <row r="128" spans="1:17">
      <c r="A128" s="14">
        <v>124</v>
      </c>
      <c r="B128" s="15" t="s">
        <v>189</v>
      </c>
      <c r="C128" s="16">
        <f>'Медикаменты Август'!L128</f>
        <v>0</v>
      </c>
      <c r="D128" s="17"/>
      <c r="E128" s="14"/>
      <c r="F128" s="18"/>
      <c r="G128" s="19"/>
      <c r="H128" s="20"/>
      <c r="I128" s="21"/>
      <c r="J128" s="14"/>
      <c r="K128" s="14">
        <f t="shared" si="2"/>
        <v>0</v>
      </c>
      <c r="L128" s="16">
        <f t="shared" si="3"/>
        <v>0</v>
      </c>
      <c r="M128" s="22">
        <v>44348</v>
      </c>
      <c r="N128" s="44"/>
      <c r="O128" s="23" t="s">
        <v>16</v>
      </c>
      <c r="P128" s="24" t="s">
        <v>45</v>
      </c>
      <c r="Q128" s="28" t="s">
        <v>190</v>
      </c>
    </row>
    <row r="129" spans="1:17">
      <c r="A129" s="14">
        <v>125</v>
      </c>
      <c r="B129" s="15" t="s">
        <v>191</v>
      </c>
      <c r="C129" s="16">
        <f>'Медикаменты Август'!L129</f>
        <v>0</v>
      </c>
      <c r="D129" s="17"/>
      <c r="E129" s="14"/>
      <c r="F129" s="18"/>
      <c r="G129" s="19"/>
      <c r="H129" s="20"/>
      <c r="I129" s="21"/>
      <c r="J129" s="14"/>
      <c r="K129" s="14">
        <f t="shared" si="2"/>
        <v>0</v>
      </c>
      <c r="L129" s="16">
        <f t="shared" si="3"/>
        <v>0</v>
      </c>
      <c r="M129" s="22"/>
      <c r="N129" s="44"/>
      <c r="O129" s="23" t="s">
        <v>16</v>
      </c>
      <c r="P129" s="24"/>
      <c r="Q129" s="45"/>
    </row>
    <row r="130" spans="1:17">
      <c r="A130" s="14">
        <v>126</v>
      </c>
      <c r="B130" s="15" t="s">
        <v>192</v>
      </c>
      <c r="C130" s="16">
        <f>'Медикаменты Август'!L130</f>
        <v>110</v>
      </c>
      <c r="D130" s="17"/>
      <c r="E130" s="14"/>
      <c r="F130" s="18"/>
      <c r="G130" s="19"/>
      <c r="H130" s="20"/>
      <c r="I130" s="21"/>
      <c r="J130" s="14"/>
      <c r="K130" s="14">
        <f t="shared" si="2"/>
        <v>0</v>
      </c>
      <c r="L130" s="16">
        <f t="shared" si="3"/>
        <v>110</v>
      </c>
      <c r="M130" s="22">
        <v>45047</v>
      </c>
      <c r="N130" s="44" t="s">
        <v>45</v>
      </c>
      <c r="O130" s="23" t="s">
        <v>16</v>
      </c>
      <c r="P130" s="24" t="s">
        <v>17</v>
      </c>
      <c r="Q130" s="28" t="s">
        <v>193</v>
      </c>
    </row>
    <row r="131" spans="1:17">
      <c r="A131" s="14">
        <v>127</v>
      </c>
      <c r="B131" s="15" t="s">
        <v>192</v>
      </c>
      <c r="C131" s="16">
        <f>'Медикаменты Август'!L131</f>
        <v>0</v>
      </c>
      <c r="D131" s="17"/>
      <c r="E131" s="14"/>
      <c r="F131" s="18"/>
      <c r="G131" s="19"/>
      <c r="H131" s="20"/>
      <c r="I131" s="21"/>
      <c r="J131" s="14"/>
      <c r="K131" s="14">
        <f t="shared" si="2"/>
        <v>0</v>
      </c>
      <c r="L131" s="16">
        <f t="shared" si="3"/>
        <v>0</v>
      </c>
      <c r="M131" s="22">
        <v>45047</v>
      </c>
      <c r="N131" s="44"/>
      <c r="O131" s="23" t="s">
        <v>26</v>
      </c>
      <c r="P131" s="24"/>
      <c r="Q131" s="28" t="s">
        <v>193</v>
      </c>
    </row>
    <row r="132" spans="1:17">
      <c r="A132" s="14">
        <v>128</v>
      </c>
      <c r="B132" s="15" t="s">
        <v>194</v>
      </c>
      <c r="C132" s="16">
        <f>'Медикаменты Август'!L132</f>
        <v>10</v>
      </c>
      <c r="D132" s="17"/>
      <c r="E132" s="14"/>
      <c r="F132" s="18"/>
      <c r="G132" s="19"/>
      <c r="H132" s="20"/>
      <c r="I132" s="21"/>
      <c r="J132" s="14"/>
      <c r="K132" s="14">
        <f t="shared" si="2"/>
        <v>0</v>
      </c>
      <c r="L132" s="16">
        <f t="shared" si="3"/>
        <v>10</v>
      </c>
      <c r="M132" s="22">
        <v>45658</v>
      </c>
      <c r="N132" s="44" t="s">
        <v>45</v>
      </c>
      <c r="O132" s="23" t="s">
        <v>16</v>
      </c>
      <c r="P132" s="24" t="s">
        <v>45</v>
      </c>
      <c r="Q132" s="28" t="s">
        <v>195</v>
      </c>
    </row>
    <row r="133" spans="1:17">
      <c r="A133" s="14">
        <v>129</v>
      </c>
      <c r="B133" s="15" t="s">
        <v>196</v>
      </c>
      <c r="C133" s="16">
        <f>'Медикаменты Август'!L133</f>
        <v>46</v>
      </c>
      <c r="D133" s="17"/>
      <c r="E133" s="14"/>
      <c r="F133" s="18"/>
      <c r="G133" s="19"/>
      <c r="H133" s="20"/>
      <c r="I133" s="21"/>
      <c r="J133" s="14"/>
      <c r="K133" s="14">
        <f t="shared" ref="K133:K196" si="4">SUM(F133:J133)</f>
        <v>0</v>
      </c>
      <c r="L133" s="16">
        <f t="shared" ref="L133:L196" si="5">(C133+E133)-K133</f>
        <v>46</v>
      </c>
      <c r="M133" s="22">
        <v>44593</v>
      </c>
      <c r="N133" s="44" t="s">
        <v>45</v>
      </c>
      <c r="O133" s="23" t="s">
        <v>16</v>
      </c>
      <c r="P133" s="24" t="s">
        <v>17</v>
      </c>
      <c r="Q133" s="28" t="s">
        <v>197</v>
      </c>
    </row>
    <row r="134" spans="1:17">
      <c r="A134" s="14">
        <v>130</v>
      </c>
      <c r="B134" s="15" t="s">
        <v>198</v>
      </c>
      <c r="C134" s="16">
        <f>'Медикаменты Август'!L134</f>
        <v>0</v>
      </c>
      <c r="D134" s="17"/>
      <c r="E134" s="14"/>
      <c r="F134" s="18"/>
      <c r="G134" s="19"/>
      <c r="H134" s="20"/>
      <c r="I134" s="21"/>
      <c r="J134" s="14"/>
      <c r="K134" s="14">
        <f t="shared" si="4"/>
        <v>0</v>
      </c>
      <c r="L134" s="16">
        <f t="shared" si="5"/>
        <v>0</v>
      </c>
      <c r="M134" s="22"/>
      <c r="N134" s="44"/>
      <c r="O134" s="23" t="s">
        <v>16</v>
      </c>
      <c r="P134" s="24"/>
      <c r="Q134" s="45"/>
    </row>
    <row r="135" spans="1:17">
      <c r="A135" s="14">
        <v>131</v>
      </c>
      <c r="B135" s="15" t="s">
        <v>599</v>
      </c>
      <c r="C135" s="16">
        <f>'Медикаменты Август'!L135</f>
        <v>80</v>
      </c>
      <c r="D135" s="17"/>
      <c r="E135" s="14"/>
      <c r="F135" s="18">
        <f>2</f>
        <v>2</v>
      </c>
      <c r="G135" s="19"/>
      <c r="H135" s="20"/>
      <c r="I135" s="21"/>
      <c r="J135" s="14"/>
      <c r="K135" s="14">
        <f t="shared" si="4"/>
        <v>2</v>
      </c>
      <c r="L135" s="16">
        <f t="shared" si="5"/>
        <v>78</v>
      </c>
      <c r="M135" s="22">
        <v>45383</v>
      </c>
      <c r="N135" s="44" t="s">
        <v>551</v>
      </c>
      <c r="O135" s="23" t="s">
        <v>16</v>
      </c>
      <c r="P135" s="24" t="s">
        <v>17</v>
      </c>
      <c r="Q135" s="28" t="s">
        <v>600</v>
      </c>
    </row>
    <row r="136" spans="1:17">
      <c r="A136" s="14">
        <v>132</v>
      </c>
      <c r="B136" s="15" t="s">
        <v>548</v>
      </c>
      <c r="C136" s="16">
        <f>'Медикаменты Август'!L136</f>
        <v>28</v>
      </c>
      <c r="D136" s="17"/>
      <c r="E136" s="14"/>
      <c r="F136" s="18">
        <f>10+5+3</f>
        <v>18</v>
      </c>
      <c r="G136" s="19"/>
      <c r="H136" s="20">
        <f>10</f>
        <v>10</v>
      </c>
      <c r="I136" s="21"/>
      <c r="J136" s="14"/>
      <c r="K136" s="14">
        <f t="shared" si="4"/>
        <v>28</v>
      </c>
      <c r="L136" s="16">
        <f t="shared" si="5"/>
        <v>0</v>
      </c>
      <c r="M136" s="22">
        <v>45658</v>
      </c>
      <c r="N136" s="44" t="s">
        <v>45</v>
      </c>
      <c r="O136" s="23" t="s">
        <v>26</v>
      </c>
      <c r="P136" s="24" t="s">
        <v>17</v>
      </c>
      <c r="Q136" s="28" t="s">
        <v>201</v>
      </c>
    </row>
    <row r="137" spans="1:17">
      <c r="A137" s="14">
        <v>133</v>
      </c>
      <c r="B137" s="15" t="s">
        <v>202</v>
      </c>
      <c r="C137" s="16">
        <f>'Медикаменты Август'!L137</f>
        <v>0</v>
      </c>
      <c r="D137" s="17"/>
      <c r="E137" s="14"/>
      <c r="F137" s="18"/>
      <c r="G137" s="19"/>
      <c r="H137" s="20"/>
      <c r="I137" s="21"/>
      <c r="J137" s="14"/>
      <c r="K137" s="14">
        <f t="shared" si="4"/>
        <v>0</v>
      </c>
      <c r="L137" s="16">
        <f t="shared" si="5"/>
        <v>0</v>
      </c>
      <c r="M137" s="22"/>
      <c r="N137" s="44"/>
      <c r="O137" s="23" t="s">
        <v>16</v>
      </c>
      <c r="P137" s="24"/>
      <c r="Q137" s="45"/>
    </row>
    <row r="138" spans="1:17">
      <c r="A138" s="14">
        <v>134</v>
      </c>
      <c r="B138" s="15" t="s">
        <v>203</v>
      </c>
      <c r="C138" s="16">
        <f>'Медикаменты Август'!L138</f>
        <v>0</v>
      </c>
      <c r="D138" s="17"/>
      <c r="E138" s="14"/>
      <c r="F138" s="18"/>
      <c r="G138" s="19"/>
      <c r="H138" s="20"/>
      <c r="I138" s="21"/>
      <c r="J138" s="14"/>
      <c r="K138" s="14">
        <f t="shared" si="4"/>
        <v>0</v>
      </c>
      <c r="L138" s="16">
        <f t="shared" si="5"/>
        <v>0</v>
      </c>
      <c r="M138" s="22">
        <v>44287</v>
      </c>
      <c r="N138" s="44"/>
      <c r="O138" s="23" t="s">
        <v>16</v>
      </c>
      <c r="P138" s="24"/>
      <c r="Q138" s="28" t="s">
        <v>204</v>
      </c>
    </row>
    <row r="139" spans="1:17">
      <c r="A139" s="14">
        <v>135</v>
      </c>
      <c r="B139" s="15" t="s">
        <v>205</v>
      </c>
      <c r="C139" s="16">
        <f>'Медикаменты Август'!L139</f>
        <v>0</v>
      </c>
      <c r="D139" s="17"/>
      <c r="E139" s="14"/>
      <c r="F139" s="18"/>
      <c r="G139" s="19"/>
      <c r="H139" s="20"/>
      <c r="I139" s="21"/>
      <c r="J139" s="14"/>
      <c r="K139" s="14">
        <f t="shared" si="4"/>
        <v>0</v>
      </c>
      <c r="L139" s="16">
        <f t="shared" si="5"/>
        <v>0</v>
      </c>
      <c r="M139" s="22"/>
      <c r="N139" s="44"/>
      <c r="O139" s="23" t="s">
        <v>16</v>
      </c>
      <c r="P139" s="24"/>
      <c r="Q139" s="45"/>
    </row>
    <row r="140" spans="1:17">
      <c r="A140" s="14">
        <v>136</v>
      </c>
      <c r="B140" s="15" t="s">
        <v>206</v>
      </c>
      <c r="C140" s="16">
        <f>'Медикаменты Август'!L140</f>
        <v>0</v>
      </c>
      <c r="D140" s="17"/>
      <c r="E140" s="14"/>
      <c r="F140" s="18"/>
      <c r="G140" s="19"/>
      <c r="H140" s="20"/>
      <c r="I140" s="21"/>
      <c r="J140" s="14"/>
      <c r="K140" s="14">
        <f t="shared" si="4"/>
        <v>0</v>
      </c>
      <c r="L140" s="16">
        <f t="shared" si="5"/>
        <v>0</v>
      </c>
      <c r="M140" s="22"/>
      <c r="N140" s="44"/>
      <c r="O140" s="23" t="s">
        <v>16</v>
      </c>
      <c r="P140" s="24"/>
      <c r="Q140" s="45"/>
    </row>
    <row r="141" spans="1:17">
      <c r="A141" s="14">
        <v>137</v>
      </c>
      <c r="B141" s="15" t="s">
        <v>207</v>
      </c>
      <c r="C141" s="16">
        <f>'Медикаменты Август'!L141</f>
        <v>0</v>
      </c>
      <c r="D141" s="17"/>
      <c r="E141" s="14"/>
      <c r="F141" s="18"/>
      <c r="G141" s="19"/>
      <c r="H141" s="20"/>
      <c r="I141" s="21"/>
      <c r="J141" s="14"/>
      <c r="K141" s="14">
        <f t="shared" si="4"/>
        <v>0</v>
      </c>
      <c r="L141" s="16">
        <f t="shared" si="5"/>
        <v>0</v>
      </c>
      <c r="M141" s="22"/>
      <c r="N141" s="44"/>
      <c r="O141" s="23" t="s">
        <v>16</v>
      </c>
      <c r="P141" s="24"/>
      <c r="Q141" s="45"/>
    </row>
    <row r="142" spans="1:17">
      <c r="A142" s="14">
        <v>138</v>
      </c>
      <c r="B142" s="15" t="s">
        <v>208</v>
      </c>
      <c r="C142" s="16">
        <f>'Медикаменты Август'!L142</f>
        <v>45</v>
      </c>
      <c r="D142" s="17"/>
      <c r="E142" s="14"/>
      <c r="F142" s="18">
        <f>5+5+5</f>
        <v>15</v>
      </c>
      <c r="G142" s="19"/>
      <c r="H142" s="20">
        <f>10</f>
        <v>10</v>
      </c>
      <c r="I142" s="21"/>
      <c r="J142" s="14"/>
      <c r="K142" s="14">
        <f t="shared" si="4"/>
        <v>25</v>
      </c>
      <c r="L142" s="16">
        <f t="shared" si="5"/>
        <v>20</v>
      </c>
      <c r="M142" s="22">
        <v>44986</v>
      </c>
      <c r="N142" s="44" t="s">
        <v>551</v>
      </c>
      <c r="O142" s="23" t="s">
        <v>16</v>
      </c>
      <c r="P142" s="24" t="s">
        <v>17</v>
      </c>
      <c r="Q142" s="28" t="s">
        <v>209</v>
      </c>
    </row>
    <row r="143" spans="1:17">
      <c r="A143" s="14">
        <v>139</v>
      </c>
      <c r="B143" s="15" t="s">
        <v>210</v>
      </c>
      <c r="C143" s="16">
        <f>'Медикаменты Август'!L143</f>
        <v>0</v>
      </c>
      <c r="D143" s="17"/>
      <c r="E143" s="14"/>
      <c r="F143" s="18"/>
      <c r="G143" s="19"/>
      <c r="H143" s="20"/>
      <c r="I143" s="21"/>
      <c r="J143" s="14"/>
      <c r="K143" s="14">
        <f t="shared" si="4"/>
        <v>0</v>
      </c>
      <c r="L143" s="16">
        <f t="shared" si="5"/>
        <v>0</v>
      </c>
      <c r="M143" s="22">
        <v>45413</v>
      </c>
      <c r="N143" s="44" t="s">
        <v>45</v>
      </c>
      <c r="O143" s="23" t="s">
        <v>16</v>
      </c>
      <c r="P143" s="24" t="s">
        <v>17</v>
      </c>
      <c r="Q143" s="28" t="s">
        <v>211</v>
      </c>
    </row>
    <row r="144" spans="1:17">
      <c r="A144" s="14">
        <v>140</v>
      </c>
      <c r="B144" s="15" t="s">
        <v>210</v>
      </c>
      <c r="C144" s="16">
        <f>'Медикаменты Август'!L144</f>
        <v>0</v>
      </c>
      <c r="D144" s="17"/>
      <c r="E144" s="14"/>
      <c r="F144" s="18"/>
      <c r="G144" s="19"/>
      <c r="H144" s="20"/>
      <c r="I144" s="21"/>
      <c r="J144" s="14"/>
      <c r="K144" s="14">
        <f t="shared" si="4"/>
        <v>0</v>
      </c>
      <c r="L144" s="16">
        <f t="shared" si="5"/>
        <v>0</v>
      </c>
      <c r="M144" s="22">
        <v>45413</v>
      </c>
      <c r="N144" s="44" t="s">
        <v>45</v>
      </c>
      <c r="O144" s="23" t="s">
        <v>26</v>
      </c>
      <c r="P144" s="24" t="s">
        <v>17</v>
      </c>
      <c r="Q144" s="28" t="s">
        <v>211</v>
      </c>
    </row>
    <row r="145" spans="1:17">
      <c r="A145" s="14">
        <v>141</v>
      </c>
      <c r="B145" s="15" t="s">
        <v>212</v>
      </c>
      <c r="C145" s="16">
        <f>'Медикаменты Август'!L145</f>
        <v>0</v>
      </c>
      <c r="D145" s="17"/>
      <c r="E145" s="14"/>
      <c r="F145" s="18"/>
      <c r="G145" s="19"/>
      <c r="H145" s="20"/>
      <c r="I145" s="21"/>
      <c r="J145" s="14"/>
      <c r="K145" s="14">
        <f t="shared" si="4"/>
        <v>0</v>
      </c>
      <c r="L145" s="16">
        <f t="shared" si="5"/>
        <v>0</v>
      </c>
      <c r="M145" s="22"/>
      <c r="N145" s="44"/>
      <c r="O145" s="23" t="s">
        <v>16</v>
      </c>
      <c r="P145" s="24"/>
      <c r="Q145" s="45"/>
    </row>
    <row r="146" spans="1:17" ht="26.25">
      <c r="A146" s="14">
        <v>142</v>
      </c>
      <c r="B146" s="15" t="s">
        <v>215</v>
      </c>
      <c r="C146" s="16">
        <f>'Медикаменты Август'!L146</f>
        <v>70</v>
      </c>
      <c r="D146" s="17"/>
      <c r="E146" s="14"/>
      <c r="F146" s="18">
        <f>20</f>
        <v>20</v>
      </c>
      <c r="G146" s="19"/>
      <c r="H146" s="20">
        <f>5+5</f>
        <v>10</v>
      </c>
      <c r="I146" s="21"/>
      <c r="J146" s="14"/>
      <c r="K146" s="14">
        <f t="shared" si="4"/>
        <v>30</v>
      </c>
      <c r="L146" s="16">
        <f t="shared" si="5"/>
        <v>40</v>
      </c>
      <c r="M146" s="22">
        <v>44986</v>
      </c>
      <c r="N146" s="44" t="s">
        <v>551</v>
      </c>
      <c r="O146" s="23" t="s">
        <v>16</v>
      </c>
      <c r="P146" s="24" t="s">
        <v>17</v>
      </c>
      <c r="Q146" s="28" t="s">
        <v>214</v>
      </c>
    </row>
    <row r="147" spans="1:17" ht="26.25">
      <c r="A147" s="14">
        <v>143</v>
      </c>
      <c r="B147" s="15" t="s">
        <v>215</v>
      </c>
      <c r="C147" s="16">
        <f>'Медикаменты Август'!L147</f>
        <v>5</v>
      </c>
      <c r="D147" s="17"/>
      <c r="E147" s="14"/>
      <c r="F147" s="18"/>
      <c r="G147" s="19"/>
      <c r="H147" s="20"/>
      <c r="I147" s="21"/>
      <c r="J147" s="14"/>
      <c r="K147" s="14">
        <f t="shared" si="4"/>
        <v>0</v>
      </c>
      <c r="L147" s="16">
        <f t="shared" si="5"/>
        <v>5</v>
      </c>
      <c r="M147" s="22">
        <v>44986</v>
      </c>
      <c r="N147" s="44" t="s">
        <v>551</v>
      </c>
      <c r="O147" s="23" t="s">
        <v>26</v>
      </c>
      <c r="P147" s="24" t="s">
        <v>17</v>
      </c>
      <c r="Q147" s="28" t="s">
        <v>214</v>
      </c>
    </row>
    <row r="148" spans="1:17" ht="26.25">
      <c r="A148" s="14">
        <v>144</v>
      </c>
      <c r="B148" s="15" t="s">
        <v>216</v>
      </c>
      <c r="C148" s="16">
        <f>'Медикаменты Август'!L148</f>
        <v>0</v>
      </c>
      <c r="D148" s="17"/>
      <c r="E148" s="14"/>
      <c r="F148" s="18"/>
      <c r="G148" s="19"/>
      <c r="H148" s="20"/>
      <c r="I148" s="21"/>
      <c r="J148" s="14"/>
      <c r="K148" s="14">
        <f t="shared" si="4"/>
        <v>0</v>
      </c>
      <c r="L148" s="16">
        <f t="shared" si="5"/>
        <v>0</v>
      </c>
      <c r="M148" s="22">
        <v>44805</v>
      </c>
      <c r="N148" s="44" t="s">
        <v>45</v>
      </c>
      <c r="O148" s="23" t="s">
        <v>16</v>
      </c>
      <c r="P148" s="24" t="s">
        <v>17</v>
      </c>
      <c r="Q148" s="28" t="s">
        <v>217</v>
      </c>
    </row>
    <row r="149" spans="1:17" ht="26.25">
      <c r="A149" s="14">
        <v>145</v>
      </c>
      <c r="B149" s="15" t="s">
        <v>216</v>
      </c>
      <c r="C149" s="16">
        <f>'Медикаменты Август'!L149</f>
        <v>16</v>
      </c>
      <c r="D149" s="17"/>
      <c r="E149" s="14"/>
      <c r="F149" s="18">
        <f>1+5</f>
        <v>6</v>
      </c>
      <c r="G149" s="19"/>
      <c r="H149" s="20">
        <f>5</f>
        <v>5</v>
      </c>
      <c r="I149" s="21"/>
      <c r="J149" s="14"/>
      <c r="K149" s="14">
        <f t="shared" si="4"/>
        <v>11</v>
      </c>
      <c r="L149" s="16">
        <f t="shared" si="5"/>
        <v>5</v>
      </c>
      <c r="M149" s="22">
        <v>45292</v>
      </c>
      <c r="N149" s="44" t="s">
        <v>551</v>
      </c>
      <c r="O149" s="23" t="s">
        <v>16</v>
      </c>
      <c r="P149" s="24" t="s">
        <v>17</v>
      </c>
      <c r="Q149" s="28" t="s">
        <v>217</v>
      </c>
    </row>
    <row r="150" spans="1:17">
      <c r="A150" s="14">
        <v>146</v>
      </c>
      <c r="B150" s="15" t="s">
        <v>218</v>
      </c>
      <c r="C150" s="16">
        <f>'Медикаменты Август'!L150</f>
        <v>0</v>
      </c>
      <c r="D150" s="17"/>
      <c r="E150" s="14"/>
      <c r="F150" s="18"/>
      <c r="G150" s="19"/>
      <c r="H150" s="20"/>
      <c r="I150" s="21"/>
      <c r="J150" s="14"/>
      <c r="K150" s="14">
        <f t="shared" si="4"/>
        <v>0</v>
      </c>
      <c r="L150" s="16">
        <f t="shared" si="5"/>
        <v>0</v>
      </c>
      <c r="M150" s="22"/>
      <c r="N150" s="44"/>
      <c r="O150" s="23" t="s">
        <v>16</v>
      </c>
      <c r="P150" s="24"/>
      <c r="Q150" s="45"/>
    </row>
    <row r="151" spans="1:17">
      <c r="A151" s="14">
        <v>147</v>
      </c>
      <c r="B151" s="15" t="s">
        <v>219</v>
      </c>
      <c r="C151" s="16">
        <f>'Медикаменты Август'!L151</f>
        <v>0</v>
      </c>
      <c r="D151" s="17"/>
      <c r="E151" s="14"/>
      <c r="F151" s="18"/>
      <c r="G151" s="19"/>
      <c r="H151" s="20"/>
      <c r="I151" s="21"/>
      <c r="J151" s="14"/>
      <c r="K151" s="14">
        <f t="shared" si="4"/>
        <v>0</v>
      </c>
      <c r="L151" s="16">
        <f t="shared" si="5"/>
        <v>0</v>
      </c>
      <c r="M151" s="22"/>
      <c r="N151" s="44"/>
      <c r="O151" s="23" t="s">
        <v>16</v>
      </c>
      <c r="P151" s="24"/>
      <c r="Q151" s="45"/>
    </row>
    <row r="152" spans="1:17">
      <c r="A152" s="14">
        <v>148</v>
      </c>
      <c r="B152" s="15" t="s">
        <v>220</v>
      </c>
      <c r="C152" s="16">
        <f>'Медикаменты Август'!L152</f>
        <v>80</v>
      </c>
      <c r="D152" s="17"/>
      <c r="E152" s="14"/>
      <c r="F152" s="18"/>
      <c r="G152" s="19"/>
      <c r="H152" s="20"/>
      <c r="I152" s="21"/>
      <c r="J152" s="14"/>
      <c r="K152" s="14">
        <f t="shared" si="4"/>
        <v>0</v>
      </c>
      <c r="L152" s="16">
        <f t="shared" si="5"/>
        <v>80</v>
      </c>
      <c r="M152" s="22">
        <v>44927</v>
      </c>
      <c r="N152" s="44" t="s">
        <v>551</v>
      </c>
      <c r="O152" s="23" t="s">
        <v>16</v>
      </c>
      <c r="P152" s="24" t="s">
        <v>17</v>
      </c>
      <c r="Q152" s="28" t="s">
        <v>221</v>
      </c>
    </row>
    <row r="153" spans="1:17">
      <c r="A153" s="14">
        <v>149</v>
      </c>
      <c r="B153" s="15" t="s">
        <v>222</v>
      </c>
      <c r="C153" s="16">
        <f>'Медикаменты Август'!L153</f>
        <v>30</v>
      </c>
      <c r="D153" s="17"/>
      <c r="E153" s="14"/>
      <c r="F153" s="18"/>
      <c r="G153" s="19"/>
      <c r="H153" s="20"/>
      <c r="I153" s="21"/>
      <c r="J153" s="14"/>
      <c r="K153" s="14">
        <f t="shared" si="4"/>
        <v>0</v>
      </c>
      <c r="L153" s="16">
        <f t="shared" si="5"/>
        <v>30</v>
      </c>
      <c r="M153" s="22">
        <v>44866</v>
      </c>
      <c r="N153" s="44" t="s">
        <v>551</v>
      </c>
      <c r="O153" s="23" t="s">
        <v>16</v>
      </c>
      <c r="P153" s="24" t="s">
        <v>17</v>
      </c>
      <c r="Q153" s="28" t="s">
        <v>223</v>
      </c>
    </row>
    <row r="154" spans="1:17">
      <c r="A154" s="14">
        <v>150</v>
      </c>
      <c r="B154" s="15" t="s">
        <v>224</v>
      </c>
      <c r="C154" s="16">
        <f>'Медикаменты Август'!L154</f>
        <v>40</v>
      </c>
      <c r="D154" s="17"/>
      <c r="E154" s="14"/>
      <c r="F154" s="18"/>
      <c r="G154" s="19"/>
      <c r="H154" s="20"/>
      <c r="I154" s="21"/>
      <c r="J154" s="14"/>
      <c r="K154" s="14">
        <f t="shared" si="4"/>
        <v>0</v>
      </c>
      <c r="L154" s="16">
        <f t="shared" si="5"/>
        <v>40</v>
      </c>
      <c r="M154" s="22">
        <v>46023</v>
      </c>
      <c r="N154" s="44" t="s">
        <v>551</v>
      </c>
      <c r="O154" s="23" t="s">
        <v>16</v>
      </c>
      <c r="P154" s="24" t="s">
        <v>17</v>
      </c>
      <c r="Q154" s="28" t="s">
        <v>225</v>
      </c>
    </row>
    <row r="155" spans="1:17">
      <c r="A155" s="14">
        <v>151</v>
      </c>
      <c r="B155" s="15" t="s">
        <v>226</v>
      </c>
      <c r="C155" s="16">
        <f>'Медикаменты Август'!L155</f>
        <v>0</v>
      </c>
      <c r="D155" s="17"/>
      <c r="E155" s="14"/>
      <c r="F155" s="18"/>
      <c r="G155" s="19"/>
      <c r="H155" s="20"/>
      <c r="I155" s="21"/>
      <c r="J155" s="14"/>
      <c r="K155" s="14">
        <f t="shared" si="4"/>
        <v>0</v>
      </c>
      <c r="L155" s="16">
        <f t="shared" si="5"/>
        <v>0</v>
      </c>
      <c r="M155" s="22"/>
      <c r="N155" s="44"/>
      <c r="O155" s="23" t="s">
        <v>16</v>
      </c>
      <c r="P155" s="24"/>
      <c r="Q155" s="45"/>
    </row>
    <row r="156" spans="1:17">
      <c r="A156" s="14">
        <v>152</v>
      </c>
      <c r="B156" s="15" t="s">
        <v>227</v>
      </c>
      <c r="C156" s="16">
        <f>'Медикаменты Август'!L156</f>
        <v>0</v>
      </c>
      <c r="D156" s="17"/>
      <c r="E156" s="14"/>
      <c r="F156" s="18"/>
      <c r="G156" s="19"/>
      <c r="H156" s="20"/>
      <c r="I156" s="21"/>
      <c r="J156" s="14"/>
      <c r="K156" s="14">
        <f t="shared" si="4"/>
        <v>0</v>
      </c>
      <c r="L156" s="16">
        <f t="shared" si="5"/>
        <v>0</v>
      </c>
      <c r="M156" s="22">
        <v>44562</v>
      </c>
      <c r="N156" s="44"/>
      <c r="O156" s="23" t="s">
        <v>16</v>
      </c>
      <c r="P156" s="24"/>
      <c r="Q156" s="28" t="s">
        <v>228</v>
      </c>
    </row>
    <row r="157" spans="1:17">
      <c r="A157" s="14">
        <v>153</v>
      </c>
      <c r="B157" s="15" t="s">
        <v>229</v>
      </c>
      <c r="C157" s="16">
        <f>'Медикаменты Август'!L157</f>
        <v>15</v>
      </c>
      <c r="D157" s="17"/>
      <c r="E157" s="14"/>
      <c r="F157" s="18"/>
      <c r="G157" s="19"/>
      <c r="H157" s="20"/>
      <c r="I157" s="21"/>
      <c r="J157" s="14"/>
      <c r="K157" s="14">
        <f t="shared" si="4"/>
        <v>0</v>
      </c>
      <c r="L157" s="16">
        <f t="shared" si="5"/>
        <v>15</v>
      </c>
      <c r="M157" s="22">
        <v>44986</v>
      </c>
      <c r="N157" s="44" t="s">
        <v>45</v>
      </c>
      <c r="O157" s="23" t="s">
        <v>16</v>
      </c>
      <c r="P157" s="24" t="s">
        <v>17</v>
      </c>
      <c r="Q157" s="28" t="s">
        <v>230</v>
      </c>
    </row>
    <row r="158" spans="1:17">
      <c r="A158" s="14">
        <v>154</v>
      </c>
      <c r="B158" s="15" t="s">
        <v>231</v>
      </c>
      <c r="C158" s="16">
        <f>'Медикаменты Август'!L158</f>
        <v>0</v>
      </c>
      <c r="D158" s="17"/>
      <c r="E158" s="14"/>
      <c r="F158" s="18"/>
      <c r="G158" s="19"/>
      <c r="H158" s="20"/>
      <c r="I158" s="21"/>
      <c r="J158" s="14"/>
      <c r="K158" s="14">
        <f t="shared" si="4"/>
        <v>0</v>
      </c>
      <c r="L158" s="16">
        <f t="shared" si="5"/>
        <v>0</v>
      </c>
      <c r="M158" s="22"/>
      <c r="N158" s="44"/>
      <c r="O158" s="23" t="s">
        <v>16</v>
      </c>
      <c r="P158" s="24"/>
      <c r="Q158" s="45"/>
    </row>
    <row r="159" spans="1:17">
      <c r="A159" s="14">
        <v>155</v>
      </c>
      <c r="B159" s="15" t="s">
        <v>232</v>
      </c>
      <c r="C159" s="16">
        <f>'Медикаменты Август'!L159</f>
        <v>0</v>
      </c>
      <c r="D159" s="17"/>
      <c r="E159" s="14"/>
      <c r="F159" s="18"/>
      <c r="G159" s="19"/>
      <c r="H159" s="20"/>
      <c r="I159" s="21"/>
      <c r="J159" s="14"/>
      <c r="K159" s="14">
        <f t="shared" si="4"/>
        <v>0</v>
      </c>
      <c r="L159" s="16">
        <f t="shared" si="5"/>
        <v>0</v>
      </c>
      <c r="M159" s="22"/>
      <c r="N159" s="44"/>
      <c r="O159" s="23" t="s">
        <v>16</v>
      </c>
      <c r="P159" s="24"/>
      <c r="Q159" s="45"/>
    </row>
    <row r="160" spans="1:17">
      <c r="A160" s="14">
        <v>156</v>
      </c>
      <c r="B160" s="15" t="s">
        <v>233</v>
      </c>
      <c r="C160" s="16">
        <f>'Медикаменты Август'!L160</f>
        <v>0</v>
      </c>
      <c r="D160" s="17"/>
      <c r="E160" s="14"/>
      <c r="F160" s="18"/>
      <c r="G160" s="19"/>
      <c r="H160" s="20"/>
      <c r="I160" s="21"/>
      <c r="J160" s="14"/>
      <c r="K160" s="14">
        <f t="shared" si="4"/>
        <v>0</v>
      </c>
      <c r="L160" s="16">
        <f t="shared" si="5"/>
        <v>0</v>
      </c>
      <c r="M160" s="22">
        <v>44287</v>
      </c>
      <c r="N160" s="44"/>
      <c r="O160" s="23" t="s">
        <v>16</v>
      </c>
      <c r="P160" s="24" t="s">
        <v>45</v>
      </c>
      <c r="Q160" s="28" t="s">
        <v>234</v>
      </c>
    </row>
    <row r="161" spans="1:17">
      <c r="A161" s="14">
        <v>157</v>
      </c>
      <c r="B161" s="15" t="s">
        <v>235</v>
      </c>
      <c r="C161" s="16">
        <f>'Медикаменты Август'!L161</f>
        <v>0</v>
      </c>
      <c r="D161" s="17"/>
      <c r="E161" s="14"/>
      <c r="F161" s="18"/>
      <c r="G161" s="19"/>
      <c r="H161" s="20"/>
      <c r="I161" s="21"/>
      <c r="J161" s="14"/>
      <c r="K161" s="14">
        <f t="shared" si="4"/>
        <v>0</v>
      </c>
      <c r="L161" s="16">
        <f t="shared" si="5"/>
        <v>0</v>
      </c>
      <c r="M161" s="22"/>
      <c r="N161" s="44"/>
      <c r="O161" s="23" t="s">
        <v>16</v>
      </c>
      <c r="P161" s="24"/>
      <c r="Q161" s="45"/>
    </row>
    <row r="162" spans="1:17">
      <c r="A162" s="14">
        <v>158</v>
      </c>
      <c r="B162" s="15" t="s">
        <v>236</v>
      </c>
      <c r="C162" s="16">
        <f>'Медикаменты Август'!L162</f>
        <v>67</v>
      </c>
      <c r="D162" s="17"/>
      <c r="E162" s="14"/>
      <c r="F162" s="18"/>
      <c r="G162" s="19"/>
      <c r="H162" s="20"/>
      <c r="I162" s="21"/>
      <c r="J162" s="14"/>
      <c r="K162" s="14">
        <f t="shared" si="4"/>
        <v>0</v>
      </c>
      <c r="L162" s="16">
        <f t="shared" si="5"/>
        <v>67</v>
      </c>
      <c r="M162" s="22">
        <v>44593</v>
      </c>
      <c r="N162" s="44" t="s">
        <v>45</v>
      </c>
      <c r="O162" s="23" t="s">
        <v>16</v>
      </c>
      <c r="P162" s="24" t="s">
        <v>45</v>
      </c>
      <c r="Q162" s="28" t="s">
        <v>237</v>
      </c>
    </row>
    <row r="163" spans="1:17">
      <c r="A163" s="14">
        <v>159</v>
      </c>
      <c r="B163" s="15" t="s">
        <v>238</v>
      </c>
      <c r="C163" s="16">
        <f>'Медикаменты Август'!L163</f>
        <v>0</v>
      </c>
      <c r="D163" s="17"/>
      <c r="E163" s="14"/>
      <c r="F163" s="18"/>
      <c r="G163" s="19"/>
      <c r="H163" s="20"/>
      <c r="I163" s="21"/>
      <c r="J163" s="14"/>
      <c r="K163" s="14">
        <f t="shared" si="4"/>
        <v>0</v>
      </c>
      <c r="L163" s="16">
        <f t="shared" si="5"/>
        <v>0</v>
      </c>
      <c r="M163" s="22"/>
      <c r="N163" s="44"/>
      <c r="O163" s="23" t="s">
        <v>16</v>
      </c>
      <c r="P163" s="24"/>
      <c r="Q163" s="45"/>
    </row>
    <row r="164" spans="1:17">
      <c r="A164" s="14">
        <v>160</v>
      </c>
      <c r="B164" s="15" t="s">
        <v>239</v>
      </c>
      <c r="C164" s="16">
        <f>'Медикаменты Август'!L164</f>
        <v>21</v>
      </c>
      <c r="D164" s="17"/>
      <c r="E164" s="14"/>
      <c r="F164" s="18">
        <f>5</f>
        <v>5</v>
      </c>
      <c r="G164" s="19"/>
      <c r="H164" s="20"/>
      <c r="I164" s="21"/>
      <c r="J164" s="14"/>
      <c r="K164" s="14">
        <f t="shared" si="4"/>
        <v>5</v>
      </c>
      <c r="L164" s="16">
        <f t="shared" si="5"/>
        <v>16</v>
      </c>
      <c r="M164" s="22">
        <v>45413</v>
      </c>
      <c r="N164" s="44" t="s">
        <v>551</v>
      </c>
      <c r="O164" s="23" t="s">
        <v>16</v>
      </c>
      <c r="P164" s="24" t="s">
        <v>17</v>
      </c>
      <c r="Q164" s="28" t="s">
        <v>629</v>
      </c>
    </row>
    <row r="165" spans="1:17">
      <c r="A165" s="14">
        <v>161</v>
      </c>
      <c r="B165" s="15" t="s">
        <v>239</v>
      </c>
      <c r="C165" s="16">
        <f>'Медикаменты Август'!L165</f>
        <v>42</v>
      </c>
      <c r="D165" s="17"/>
      <c r="E165" s="14"/>
      <c r="F165" s="18">
        <f>5+5</f>
        <v>10</v>
      </c>
      <c r="G165" s="19"/>
      <c r="H165" s="20">
        <f>10</f>
        <v>10</v>
      </c>
      <c r="I165" s="21"/>
      <c r="J165" s="14"/>
      <c r="K165" s="14">
        <f t="shared" si="4"/>
        <v>20</v>
      </c>
      <c r="L165" s="16">
        <f t="shared" si="5"/>
        <v>22</v>
      </c>
      <c r="M165" s="22">
        <v>45413</v>
      </c>
      <c r="N165" s="44" t="s">
        <v>551</v>
      </c>
      <c r="O165" s="23" t="s">
        <v>26</v>
      </c>
      <c r="P165" s="24" t="s">
        <v>17</v>
      </c>
      <c r="Q165" s="28" t="s">
        <v>629</v>
      </c>
    </row>
    <row r="166" spans="1:17">
      <c r="A166" s="14">
        <v>162</v>
      </c>
      <c r="B166" s="15" t="s">
        <v>240</v>
      </c>
      <c r="C166" s="16">
        <f>'Медикаменты Август'!L166</f>
        <v>95</v>
      </c>
      <c r="D166" s="17"/>
      <c r="E166" s="14"/>
      <c r="F166" s="18">
        <f>10+5+10</f>
        <v>25</v>
      </c>
      <c r="G166" s="19"/>
      <c r="H166" s="20"/>
      <c r="I166" s="21"/>
      <c r="J166" s="14"/>
      <c r="K166" s="14">
        <f t="shared" si="4"/>
        <v>25</v>
      </c>
      <c r="L166" s="16">
        <f t="shared" si="5"/>
        <v>70</v>
      </c>
      <c r="M166" s="22">
        <v>44652</v>
      </c>
      <c r="N166" s="44" t="s">
        <v>45</v>
      </c>
      <c r="O166" s="23" t="s">
        <v>16</v>
      </c>
      <c r="P166" s="24" t="s">
        <v>17</v>
      </c>
      <c r="Q166" s="28" t="s">
        <v>241</v>
      </c>
    </row>
    <row r="167" spans="1:17">
      <c r="A167" s="14">
        <v>163</v>
      </c>
      <c r="B167" s="15" t="s">
        <v>242</v>
      </c>
      <c r="C167" s="16">
        <f>'Медикаменты Август'!L167</f>
        <v>0</v>
      </c>
      <c r="D167" s="17"/>
      <c r="E167" s="14"/>
      <c r="F167" s="18"/>
      <c r="G167" s="19"/>
      <c r="H167" s="20"/>
      <c r="I167" s="21"/>
      <c r="J167" s="14"/>
      <c r="K167" s="14">
        <f t="shared" si="4"/>
        <v>0</v>
      </c>
      <c r="L167" s="16">
        <f t="shared" si="5"/>
        <v>0</v>
      </c>
      <c r="M167" s="22"/>
      <c r="N167" s="44"/>
      <c r="O167" s="23" t="s">
        <v>16</v>
      </c>
      <c r="P167" s="24"/>
      <c r="Q167" s="45"/>
    </row>
    <row r="168" spans="1:17" ht="26.25">
      <c r="A168" s="14">
        <v>164</v>
      </c>
      <c r="B168" s="15" t="s">
        <v>243</v>
      </c>
      <c r="C168" s="16">
        <f>'Медикаменты Август'!L168</f>
        <v>146</v>
      </c>
      <c r="D168" s="17"/>
      <c r="E168" s="14"/>
      <c r="F168" s="18">
        <f>15</f>
        <v>15</v>
      </c>
      <c r="G168" s="19"/>
      <c r="H168" s="20">
        <f>5</f>
        <v>5</v>
      </c>
      <c r="I168" s="21"/>
      <c r="J168" s="14"/>
      <c r="K168" s="14">
        <f t="shared" si="4"/>
        <v>20</v>
      </c>
      <c r="L168" s="16">
        <f t="shared" si="5"/>
        <v>126</v>
      </c>
      <c r="M168" s="22">
        <v>44621</v>
      </c>
      <c r="N168" s="44" t="s">
        <v>45</v>
      </c>
      <c r="O168" s="23" t="s">
        <v>16</v>
      </c>
      <c r="P168" s="24" t="s">
        <v>17</v>
      </c>
      <c r="Q168" s="28" t="s">
        <v>244</v>
      </c>
    </row>
    <row r="169" spans="1:17">
      <c r="A169" s="14">
        <v>165</v>
      </c>
      <c r="B169" s="15" t="s">
        <v>245</v>
      </c>
      <c r="C169" s="16">
        <f>'Медикаменты Август'!L169</f>
        <v>0</v>
      </c>
      <c r="D169" s="17"/>
      <c r="E169" s="14"/>
      <c r="F169" s="18"/>
      <c r="G169" s="19"/>
      <c r="H169" s="20"/>
      <c r="I169" s="21"/>
      <c r="J169" s="14"/>
      <c r="K169" s="14">
        <f t="shared" si="4"/>
        <v>0</v>
      </c>
      <c r="L169" s="16">
        <f t="shared" si="5"/>
        <v>0</v>
      </c>
      <c r="M169" s="22"/>
      <c r="N169" s="44"/>
      <c r="O169" s="23" t="s">
        <v>16</v>
      </c>
      <c r="P169" s="24"/>
      <c r="Q169" s="45"/>
    </row>
    <row r="170" spans="1:17">
      <c r="A170" s="14">
        <v>166</v>
      </c>
      <c r="B170" s="15" t="s">
        <v>246</v>
      </c>
      <c r="C170" s="16">
        <f>'Медикаменты Август'!L170</f>
        <v>0</v>
      </c>
      <c r="D170" s="17"/>
      <c r="E170" s="14"/>
      <c r="F170" s="18"/>
      <c r="G170" s="19"/>
      <c r="H170" s="20"/>
      <c r="I170" s="21"/>
      <c r="J170" s="14"/>
      <c r="K170" s="14">
        <f t="shared" si="4"/>
        <v>0</v>
      </c>
      <c r="L170" s="16">
        <f t="shared" si="5"/>
        <v>0</v>
      </c>
      <c r="M170" s="22"/>
      <c r="N170" s="44"/>
      <c r="O170" s="23" t="s">
        <v>16</v>
      </c>
      <c r="P170" s="24"/>
      <c r="Q170" s="45"/>
    </row>
    <row r="171" spans="1:17">
      <c r="A171" s="14">
        <v>167</v>
      </c>
      <c r="B171" s="15" t="s">
        <v>247</v>
      </c>
      <c r="C171" s="16">
        <f>'Медикаменты Август'!L171</f>
        <v>0</v>
      </c>
      <c r="D171" s="17"/>
      <c r="E171" s="14"/>
      <c r="F171" s="18"/>
      <c r="G171" s="19"/>
      <c r="H171" s="20"/>
      <c r="I171" s="21"/>
      <c r="J171" s="14"/>
      <c r="K171" s="14">
        <f t="shared" si="4"/>
        <v>0</v>
      </c>
      <c r="L171" s="16">
        <f t="shared" si="5"/>
        <v>0</v>
      </c>
      <c r="M171" s="22"/>
      <c r="N171" s="44"/>
      <c r="O171" s="23" t="s">
        <v>16</v>
      </c>
      <c r="P171" s="24"/>
      <c r="Q171" s="45"/>
    </row>
    <row r="172" spans="1:17">
      <c r="A172" s="14">
        <v>168</v>
      </c>
      <c r="B172" s="15" t="s">
        <v>248</v>
      </c>
      <c r="C172" s="16">
        <f>'Медикаменты Август'!L172</f>
        <v>0</v>
      </c>
      <c r="D172" s="17"/>
      <c r="E172" s="14"/>
      <c r="F172" s="18"/>
      <c r="G172" s="19"/>
      <c r="H172" s="20"/>
      <c r="I172" s="21"/>
      <c r="J172" s="14"/>
      <c r="K172" s="14">
        <f t="shared" si="4"/>
        <v>0</v>
      </c>
      <c r="L172" s="16">
        <f t="shared" si="5"/>
        <v>0</v>
      </c>
      <c r="M172" s="22"/>
      <c r="N172" s="44"/>
      <c r="O172" s="23" t="s">
        <v>16</v>
      </c>
      <c r="P172" s="24"/>
      <c r="Q172" s="45"/>
    </row>
    <row r="173" spans="1:17">
      <c r="A173" s="14">
        <v>169</v>
      </c>
      <c r="B173" s="15" t="s">
        <v>249</v>
      </c>
      <c r="C173" s="16">
        <f>'Медикаменты Август'!L173</f>
        <v>0</v>
      </c>
      <c r="D173" s="17"/>
      <c r="E173" s="14"/>
      <c r="F173" s="18"/>
      <c r="G173" s="19"/>
      <c r="H173" s="20"/>
      <c r="I173" s="21"/>
      <c r="J173" s="14"/>
      <c r="K173" s="14">
        <f t="shared" si="4"/>
        <v>0</v>
      </c>
      <c r="L173" s="16">
        <f t="shared" si="5"/>
        <v>0</v>
      </c>
      <c r="M173" s="22"/>
      <c r="N173" s="44"/>
      <c r="O173" s="23" t="s">
        <v>16</v>
      </c>
      <c r="P173" s="24"/>
      <c r="Q173" s="45"/>
    </row>
    <row r="174" spans="1:17">
      <c r="A174" s="14">
        <v>170</v>
      </c>
      <c r="B174" s="15" t="s">
        <v>250</v>
      </c>
      <c r="C174" s="16">
        <f>'Медикаменты Август'!L174</f>
        <v>0</v>
      </c>
      <c r="D174" s="17"/>
      <c r="E174" s="14"/>
      <c r="F174" s="18"/>
      <c r="G174" s="19"/>
      <c r="H174" s="20"/>
      <c r="I174" s="21"/>
      <c r="J174" s="14"/>
      <c r="K174" s="14">
        <f t="shared" si="4"/>
        <v>0</v>
      </c>
      <c r="L174" s="16">
        <f t="shared" si="5"/>
        <v>0</v>
      </c>
      <c r="M174" s="22"/>
      <c r="N174" s="44"/>
      <c r="O174" s="23" t="s">
        <v>16</v>
      </c>
      <c r="P174" s="24"/>
      <c r="Q174" s="45"/>
    </row>
    <row r="175" spans="1:17">
      <c r="A175" s="14">
        <v>171</v>
      </c>
      <c r="B175" s="15" t="s">
        <v>251</v>
      </c>
      <c r="C175" s="16">
        <f>'Медикаменты Август'!L175</f>
        <v>0</v>
      </c>
      <c r="D175" s="17"/>
      <c r="E175" s="14"/>
      <c r="F175" s="18"/>
      <c r="G175" s="19"/>
      <c r="H175" s="20"/>
      <c r="I175" s="21"/>
      <c r="J175" s="14"/>
      <c r="K175" s="14">
        <f t="shared" si="4"/>
        <v>0</v>
      </c>
      <c r="L175" s="16">
        <f t="shared" si="5"/>
        <v>0</v>
      </c>
      <c r="M175" s="22">
        <v>44682</v>
      </c>
      <c r="N175" s="44" t="s">
        <v>45</v>
      </c>
      <c r="O175" s="23" t="s">
        <v>16</v>
      </c>
      <c r="P175" s="24" t="s">
        <v>45</v>
      </c>
      <c r="Q175" s="28" t="s">
        <v>252</v>
      </c>
    </row>
    <row r="176" spans="1:17">
      <c r="A176" s="14">
        <v>172</v>
      </c>
      <c r="B176" s="15" t="s">
        <v>253</v>
      </c>
      <c r="C176" s="16">
        <f>'Медикаменты Август'!L176</f>
        <v>100</v>
      </c>
      <c r="D176" s="17"/>
      <c r="E176" s="14"/>
      <c r="F176" s="18"/>
      <c r="G176" s="19"/>
      <c r="H176" s="20"/>
      <c r="I176" s="21"/>
      <c r="J176" s="14"/>
      <c r="K176" s="14">
        <f t="shared" si="4"/>
        <v>0</v>
      </c>
      <c r="L176" s="16">
        <f t="shared" si="5"/>
        <v>100</v>
      </c>
      <c r="M176" s="22">
        <v>45047</v>
      </c>
      <c r="N176" s="44" t="s">
        <v>45</v>
      </c>
      <c r="O176" s="23" t="s">
        <v>16</v>
      </c>
      <c r="P176" s="24" t="s">
        <v>17</v>
      </c>
      <c r="Q176" s="28" t="s">
        <v>254</v>
      </c>
    </row>
    <row r="177" spans="1:17">
      <c r="A177" s="14">
        <v>173</v>
      </c>
      <c r="B177" s="15" t="s">
        <v>255</v>
      </c>
      <c r="C177" s="16">
        <f>'Медикаменты Август'!L177</f>
        <v>0</v>
      </c>
      <c r="D177" s="17"/>
      <c r="E177" s="14"/>
      <c r="F177" s="18"/>
      <c r="G177" s="19"/>
      <c r="H177" s="20"/>
      <c r="I177" s="21"/>
      <c r="J177" s="14"/>
      <c r="K177" s="14">
        <f t="shared" si="4"/>
        <v>0</v>
      </c>
      <c r="L177" s="16">
        <f t="shared" si="5"/>
        <v>0</v>
      </c>
      <c r="M177" s="22">
        <v>44562</v>
      </c>
      <c r="N177" s="44"/>
      <c r="O177" s="23" t="s">
        <v>26</v>
      </c>
      <c r="P177" s="24"/>
      <c r="Q177" s="28"/>
    </row>
    <row r="178" spans="1:17">
      <c r="A178" s="14">
        <v>174</v>
      </c>
      <c r="B178" s="15" t="s">
        <v>256</v>
      </c>
      <c r="C178" s="16">
        <f>'Медикаменты Август'!L178</f>
        <v>0</v>
      </c>
      <c r="D178" s="17"/>
      <c r="E178" s="14"/>
      <c r="F178" s="18"/>
      <c r="G178" s="19"/>
      <c r="H178" s="20"/>
      <c r="I178" s="21"/>
      <c r="J178" s="14"/>
      <c r="K178" s="14">
        <f t="shared" si="4"/>
        <v>0</v>
      </c>
      <c r="L178" s="16">
        <f t="shared" si="5"/>
        <v>0</v>
      </c>
      <c r="M178" s="22">
        <v>44044</v>
      </c>
      <c r="N178" s="44"/>
      <c r="O178" s="23" t="s">
        <v>16</v>
      </c>
      <c r="P178" s="24"/>
      <c r="Q178" s="45"/>
    </row>
    <row r="179" spans="1:17">
      <c r="A179" s="14">
        <v>175</v>
      </c>
      <c r="B179" s="15" t="s">
        <v>257</v>
      </c>
      <c r="C179" s="16">
        <f>'Медикаменты Август'!L179</f>
        <v>50</v>
      </c>
      <c r="D179" s="17"/>
      <c r="E179" s="14"/>
      <c r="F179" s="18">
        <f>25</f>
        <v>25</v>
      </c>
      <c r="G179" s="19"/>
      <c r="H179" s="20"/>
      <c r="I179" s="21"/>
      <c r="J179" s="14"/>
      <c r="K179" s="14">
        <f t="shared" si="4"/>
        <v>25</v>
      </c>
      <c r="L179" s="16">
        <f t="shared" si="5"/>
        <v>25</v>
      </c>
      <c r="M179" s="22">
        <v>45108</v>
      </c>
      <c r="N179" s="44" t="s">
        <v>551</v>
      </c>
      <c r="O179" s="23" t="s">
        <v>16</v>
      </c>
      <c r="P179" s="24" t="s">
        <v>17</v>
      </c>
      <c r="Q179" s="28" t="s">
        <v>258</v>
      </c>
    </row>
    <row r="180" spans="1:17">
      <c r="A180" s="14">
        <v>176</v>
      </c>
      <c r="B180" s="15" t="s">
        <v>259</v>
      </c>
      <c r="C180" s="16">
        <f>'Медикаменты Август'!L180</f>
        <v>13</v>
      </c>
      <c r="D180" s="17"/>
      <c r="E180" s="14"/>
      <c r="F180" s="18">
        <f>10</f>
        <v>10</v>
      </c>
      <c r="G180" s="19"/>
      <c r="H180" s="20">
        <f>3</f>
        <v>3</v>
      </c>
      <c r="I180" s="21"/>
      <c r="J180" s="14"/>
      <c r="K180" s="14">
        <f t="shared" si="4"/>
        <v>13</v>
      </c>
      <c r="L180" s="16">
        <f t="shared" si="5"/>
        <v>0</v>
      </c>
      <c r="M180" s="22">
        <v>44531</v>
      </c>
      <c r="N180" s="44" t="s">
        <v>45</v>
      </c>
      <c r="O180" s="23" t="s">
        <v>16</v>
      </c>
      <c r="P180" s="24" t="s">
        <v>17</v>
      </c>
      <c r="Q180" s="28" t="s">
        <v>260</v>
      </c>
    </row>
    <row r="181" spans="1:17">
      <c r="A181" s="14">
        <v>177</v>
      </c>
      <c r="B181" s="15" t="s">
        <v>261</v>
      </c>
      <c r="C181" s="16">
        <f>'Медикаменты Август'!L181</f>
        <v>150</v>
      </c>
      <c r="D181" s="17"/>
      <c r="E181" s="14"/>
      <c r="F181" s="18">
        <f>15+10</f>
        <v>25</v>
      </c>
      <c r="G181" s="19"/>
      <c r="H181" s="20">
        <f>5</f>
        <v>5</v>
      </c>
      <c r="I181" s="21"/>
      <c r="J181" s="14"/>
      <c r="K181" s="14">
        <f t="shared" si="4"/>
        <v>30</v>
      </c>
      <c r="L181" s="16">
        <f t="shared" si="5"/>
        <v>120</v>
      </c>
      <c r="M181" s="22">
        <v>45078</v>
      </c>
      <c r="N181" s="44" t="s">
        <v>551</v>
      </c>
      <c r="O181" s="23" t="s">
        <v>16</v>
      </c>
      <c r="P181" s="24" t="s">
        <v>17</v>
      </c>
      <c r="Q181" s="28" t="s">
        <v>262</v>
      </c>
    </row>
    <row r="182" spans="1:17">
      <c r="A182" s="14">
        <v>178</v>
      </c>
      <c r="B182" s="15" t="s">
        <v>261</v>
      </c>
      <c r="C182" s="16">
        <f>'Медикаменты Август'!L182</f>
        <v>50</v>
      </c>
      <c r="D182" s="17"/>
      <c r="E182" s="14"/>
      <c r="F182" s="18"/>
      <c r="G182" s="19"/>
      <c r="H182" s="20"/>
      <c r="I182" s="21"/>
      <c r="J182" s="14"/>
      <c r="K182" s="14">
        <f t="shared" si="4"/>
        <v>0</v>
      </c>
      <c r="L182" s="16">
        <f t="shared" si="5"/>
        <v>50</v>
      </c>
      <c r="M182" s="22">
        <v>45078</v>
      </c>
      <c r="N182" s="44" t="s">
        <v>551</v>
      </c>
      <c r="O182" s="23" t="s">
        <v>26</v>
      </c>
      <c r="P182" s="24" t="s">
        <v>17</v>
      </c>
      <c r="Q182" s="28" t="s">
        <v>262</v>
      </c>
    </row>
    <row r="183" spans="1:17">
      <c r="A183" s="14">
        <v>179</v>
      </c>
      <c r="B183" s="15" t="s">
        <v>263</v>
      </c>
      <c r="C183" s="16">
        <f>'Медикаменты Август'!L183</f>
        <v>0</v>
      </c>
      <c r="D183" s="17"/>
      <c r="E183" s="14"/>
      <c r="F183" s="18"/>
      <c r="G183" s="19"/>
      <c r="H183" s="20"/>
      <c r="I183" s="21"/>
      <c r="J183" s="14"/>
      <c r="K183" s="14">
        <f t="shared" si="4"/>
        <v>0</v>
      </c>
      <c r="L183" s="16">
        <f t="shared" si="5"/>
        <v>0</v>
      </c>
      <c r="M183" s="22"/>
      <c r="N183" s="44"/>
      <c r="O183" s="23" t="s">
        <v>16</v>
      </c>
      <c r="P183" s="24"/>
      <c r="Q183" s="45"/>
    </row>
    <row r="184" spans="1:17">
      <c r="A184" s="14">
        <v>180</v>
      </c>
      <c r="B184" s="15" t="s">
        <v>264</v>
      </c>
      <c r="C184" s="16">
        <f>'Медикаменты Август'!L184</f>
        <v>0</v>
      </c>
      <c r="D184" s="17"/>
      <c r="E184" s="14"/>
      <c r="F184" s="18"/>
      <c r="G184" s="19"/>
      <c r="H184" s="20"/>
      <c r="I184" s="21"/>
      <c r="J184" s="14"/>
      <c r="K184" s="14">
        <f t="shared" si="4"/>
        <v>0</v>
      </c>
      <c r="L184" s="16">
        <f t="shared" si="5"/>
        <v>0</v>
      </c>
      <c r="M184" s="22"/>
      <c r="N184" s="44"/>
      <c r="O184" s="23" t="s">
        <v>16</v>
      </c>
      <c r="P184" s="24"/>
      <c r="Q184" s="45"/>
    </row>
    <row r="185" spans="1:17">
      <c r="A185" s="14">
        <v>181</v>
      </c>
      <c r="B185" s="15" t="s">
        <v>265</v>
      </c>
      <c r="C185" s="16">
        <f>'Медикаменты Август'!L185</f>
        <v>0</v>
      </c>
      <c r="D185" s="17"/>
      <c r="E185" s="14"/>
      <c r="F185" s="18"/>
      <c r="G185" s="19"/>
      <c r="H185" s="20"/>
      <c r="I185" s="21"/>
      <c r="J185" s="14"/>
      <c r="K185" s="14">
        <f t="shared" si="4"/>
        <v>0</v>
      </c>
      <c r="L185" s="16">
        <f t="shared" si="5"/>
        <v>0</v>
      </c>
      <c r="M185" s="22"/>
      <c r="N185" s="44"/>
      <c r="O185" s="23" t="s">
        <v>16</v>
      </c>
      <c r="P185" s="24"/>
      <c r="Q185" s="45"/>
    </row>
    <row r="186" spans="1:17">
      <c r="A186" s="14">
        <v>182</v>
      </c>
      <c r="B186" s="15" t="s">
        <v>266</v>
      </c>
      <c r="C186" s="16">
        <f>'Медикаменты Август'!L186</f>
        <v>0</v>
      </c>
      <c r="D186" s="17"/>
      <c r="E186" s="14"/>
      <c r="F186" s="18"/>
      <c r="G186" s="19"/>
      <c r="H186" s="20"/>
      <c r="I186" s="21"/>
      <c r="J186" s="14"/>
      <c r="K186" s="14">
        <f t="shared" si="4"/>
        <v>0</v>
      </c>
      <c r="L186" s="16">
        <f t="shared" si="5"/>
        <v>0</v>
      </c>
      <c r="M186" s="22"/>
      <c r="N186" s="44"/>
      <c r="O186" s="23" t="s">
        <v>16</v>
      </c>
      <c r="P186" s="24"/>
      <c r="Q186" s="45"/>
    </row>
    <row r="187" spans="1:17">
      <c r="A187" s="14">
        <v>183</v>
      </c>
      <c r="B187" s="15" t="s">
        <v>267</v>
      </c>
      <c r="C187" s="16">
        <f>'Медикаменты Август'!L187</f>
        <v>0</v>
      </c>
      <c r="D187" s="17"/>
      <c r="E187" s="14"/>
      <c r="F187" s="18"/>
      <c r="G187" s="19"/>
      <c r="H187" s="20"/>
      <c r="I187" s="21"/>
      <c r="J187" s="14"/>
      <c r="K187" s="14">
        <f t="shared" si="4"/>
        <v>0</v>
      </c>
      <c r="L187" s="16">
        <f t="shared" si="5"/>
        <v>0</v>
      </c>
      <c r="M187" s="22"/>
      <c r="N187" s="44"/>
      <c r="O187" s="23" t="s">
        <v>16</v>
      </c>
      <c r="P187" s="24"/>
      <c r="Q187" s="45"/>
    </row>
    <row r="188" spans="1:17">
      <c r="A188" s="14">
        <v>184</v>
      </c>
      <c r="B188" s="15" t="s">
        <v>268</v>
      </c>
      <c r="C188" s="16">
        <f>'Медикаменты Август'!L188</f>
        <v>60</v>
      </c>
      <c r="D188" s="17"/>
      <c r="E188" s="14"/>
      <c r="F188" s="18">
        <f>5+5+10</f>
        <v>20</v>
      </c>
      <c r="G188" s="19"/>
      <c r="H188" s="20">
        <f>10</f>
        <v>10</v>
      </c>
      <c r="I188" s="21"/>
      <c r="J188" s="14"/>
      <c r="K188" s="14">
        <f t="shared" si="4"/>
        <v>30</v>
      </c>
      <c r="L188" s="16">
        <f t="shared" si="5"/>
        <v>30</v>
      </c>
      <c r="M188" s="22">
        <v>45748</v>
      </c>
      <c r="N188" s="44" t="s">
        <v>551</v>
      </c>
      <c r="O188" s="23" t="s">
        <v>16</v>
      </c>
      <c r="P188" s="24" t="s">
        <v>17</v>
      </c>
      <c r="Q188" s="28" t="s">
        <v>269</v>
      </c>
    </row>
    <row r="189" spans="1:17">
      <c r="A189" s="14">
        <v>185</v>
      </c>
      <c r="B189" s="15" t="s">
        <v>268</v>
      </c>
      <c r="C189" s="16">
        <f>'Медикаменты Август'!L189</f>
        <v>20</v>
      </c>
      <c r="D189" s="17"/>
      <c r="E189" s="14"/>
      <c r="F189" s="18"/>
      <c r="G189" s="19"/>
      <c r="H189" s="20"/>
      <c r="I189" s="21"/>
      <c r="J189" s="14"/>
      <c r="K189" s="14">
        <f t="shared" si="4"/>
        <v>0</v>
      </c>
      <c r="L189" s="16">
        <f t="shared" si="5"/>
        <v>20</v>
      </c>
      <c r="M189" s="22">
        <v>45748</v>
      </c>
      <c r="N189" s="44" t="s">
        <v>551</v>
      </c>
      <c r="O189" s="23" t="s">
        <v>26</v>
      </c>
      <c r="P189" s="24" t="s">
        <v>17</v>
      </c>
      <c r="Q189" s="28" t="s">
        <v>269</v>
      </c>
    </row>
    <row r="190" spans="1:17">
      <c r="A190" s="14">
        <v>186</v>
      </c>
      <c r="B190" s="15" t="s">
        <v>601</v>
      </c>
      <c r="C190" s="16">
        <f>'Медикаменты Август'!L190</f>
        <v>85</v>
      </c>
      <c r="D190" s="17"/>
      <c r="E190" s="14"/>
      <c r="F190" s="18">
        <f>5</f>
        <v>5</v>
      </c>
      <c r="G190" s="19"/>
      <c r="H190" s="20">
        <f>10</f>
        <v>10</v>
      </c>
      <c r="I190" s="21"/>
      <c r="J190" s="14"/>
      <c r="K190" s="14">
        <f t="shared" si="4"/>
        <v>15</v>
      </c>
      <c r="L190" s="16">
        <f t="shared" si="5"/>
        <v>70</v>
      </c>
      <c r="M190" s="22">
        <v>45383</v>
      </c>
      <c r="N190" s="44" t="s">
        <v>551</v>
      </c>
      <c r="O190" s="23" t="s">
        <v>16</v>
      </c>
      <c r="P190" s="24" t="s">
        <v>17</v>
      </c>
      <c r="Q190" s="28" t="s">
        <v>602</v>
      </c>
    </row>
    <row r="191" spans="1:17">
      <c r="A191" s="14">
        <v>187</v>
      </c>
      <c r="B191" s="15" t="s">
        <v>270</v>
      </c>
      <c r="C191" s="16">
        <f>'Медикаменты Август'!L191</f>
        <v>0</v>
      </c>
      <c r="D191" s="17"/>
      <c r="E191" s="14"/>
      <c r="F191" s="18"/>
      <c r="G191" s="19"/>
      <c r="H191" s="20"/>
      <c r="I191" s="21"/>
      <c r="J191" s="14"/>
      <c r="K191" s="14">
        <f t="shared" si="4"/>
        <v>0</v>
      </c>
      <c r="L191" s="16">
        <f t="shared" si="5"/>
        <v>0</v>
      </c>
      <c r="M191" s="22">
        <v>44075</v>
      </c>
      <c r="N191" s="44"/>
      <c r="O191" s="23" t="s">
        <v>16</v>
      </c>
      <c r="P191" s="24"/>
      <c r="Q191" s="28" t="s">
        <v>271</v>
      </c>
    </row>
    <row r="192" spans="1:17">
      <c r="A192" s="14">
        <v>188</v>
      </c>
      <c r="B192" s="15" t="s">
        <v>630</v>
      </c>
      <c r="C192" s="16">
        <f>'Медикаменты Август'!L192</f>
        <v>6</v>
      </c>
      <c r="D192" s="17"/>
      <c r="E192" s="14"/>
      <c r="F192" s="18">
        <f>6</f>
        <v>6</v>
      </c>
      <c r="G192" s="19"/>
      <c r="H192" s="20"/>
      <c r="I192" s="21"/>
      <c r="J192" s="14"/>
      <c r="K192" s="14">
        <f t="shared" si="4"/>
        <v>6</v>
      </c>
      <c r="L192" s="16">
        <f t="shared" si="5"/>
        <v>0</v>
      </c>
      <c r="M192" s="22">
        <v>45352</v>
      </c>
      <c r="N192" s="44" t="s">
        <v>551</v>
      </c>
      <c r="O192" s="23" t="s">
        <v>16</v>
      </c>
      <c r="P192" s="24" t="s">
        <v>17</v>
      </c>
      <c r="Q192" s="28" t="s">
        <v>273</v>
      </c>
    </row>
    <row r="193" spans="1:17">
      <c r="A193" s="14">
        <v>189</v>
      </c>
      <c r="B193" s="15" t="s">
        <v>647</v>
      </c>
      <c r="C193" s="16"/>
      <c r="D193" s="17"/>
      <c r="E193" s="14">
        <f>150</f>
        <v>150</v>
      </c>
      <c r="F193" s="18"/>
      <c r="G193" s="19"/>
      <c r="H193" s="20"/>
      <c r="I193" s="21"/>
      <c r="J193" s="14"/>
      <c r="K193" s="14">
        <f t="shared" si="4"/>
        <v>0</v>
      </c>
      <c r="L193" s="16">
        <f t="shared" si="5"/>
        <v>150</v>
      </c>
      <c r="M193" s="22">
        <v>45323</v>
      </c>
      <c r="N193" s="44" t="s">
        <v>551</v>
      </c>
      <c r="O193" s="23" t="s">
        <v>16</v>
      </c>
      <c r="P193" s="24" t="s">
        <v>17</v>
      </c>
      <c r="Q193" s="28" t="s">
        <v>648</v>
      </c>
    </row>
    <row r="194" spans="1:17">
      <c r="A194" s="14">
        <v>190</v>
      </c>
      <c r="B194" s="15" t="s">
        <v>274</v>
      </c>
      <c r="C194" s="16">
        <f>'Медикаменты Август'!L193</f>
        <v>0</v>
      </c>
      <c r="D194" s="17"/>
      <c r="E194" s="14">
        <f>570</f>
        <v>570</v>
      </c>
      <c r="F194" s="18"/>
      <c r="G194" s="19"/>
      <c r="H194" s="20"/>
      <c r="I194" s="21"/>
      <c r="J194" s="14"/>
      <c r="K194" s="14">
        <f t="shared" si="4"/>
        <v>0</v>
      </c>
      <c r="L194" s="16">
        <f t="shared" si="5"/>
        <v>570</v>
      </c>
      <c r="M194" s="22">
        <v>45931</v>
      </c>
      <c r="N194" s="44" t="s">
        <v>551</v>
      </c>
      <c r="O194" s="23" t="s">
        <v>16</v>
      </c>
      <c r="P194" s="24" t="s">
        <v>17</v>
      </c>
      <c r="Q194" s="28" t="s">
        <v>275</v>
      </c>
    </row>
    <row r="195" spans="1:17">
      <c r="A195" s="14">
        <v>191</v>
      </c>
      <c r="B195" s="15" t="s">
        <v>276</v>
      </c>
      <c r="C195" s="16">
        <f>'Медикаменты Август'!L194</f>
        <v>0</v>
      </c>
      <c r="D195" s="17"/>
      <c r="E195" s="14"/>
      <c r="F195" s="18"/>
      <c r="G195" s="19"/>
      <c r="H195" s="20"/>
      <c r="I195" s="21"/>
      <c r="J195" s="14"/>
      <c r="K195" s="14">
        <f t="shared" si="4"/>
        <v>0</v>
      </c>
      <c r="L195" s="16">
        <f t="shared" si="5"/>
        <v>0</v>
      </c>
      <c r="M195" s="22"/>
      <c r="N195" s="44"/>
      <c r="O195" s="23" t="s">
        <v>16</v>
      </c>
      <c r="P195" s="24"/>
      <c r="Q195" s="45"/>
    </row>
    <row r="196" spans="1:17">
      <c r="A196" s="14">
        <v>192</v>
      </c>
      <c r="B196" s="15" t="s">
        <v>277</v>
      </c>
      <c r="C196" s="16">
        <f>'Медикаменты Август'!L195</f>
        <v>12</v>
      </c>
      <c r="D196" s="17"/>
      <c r="E196" s="14"/>
      <c r="F196" s="18"/>
      <c r="G196" s="19"/>
      <c r="H196" s="20"/>
      <c r="I196" s="21"/>
      <c r="J196" s="14"/>
      <c r="K196" s="14">
        <f t="shared" si="4"/>
        <v>0</v>
      </c>
      <c r="L196" s="16">
        <f t="shared" si="5"/>
        <v>12</v>
      </c>
      <c r="M196" s="22">
        <v>44621</v>
      </c>
      <c r="N196" s="44" t="s">
        <v>45</v>
      </c>
      <c r="O196" s="23" t="s">
        <v>16</v>
      </c>
      <c r="P196" s="24" t="s">
        <v>17</v>
      </c>
      <c r="Q196" s="28" t="s">
        <v>278</v>
      </c>
    </row>
    <row r="197" spans="1:17">
      <c r="A197" s="14">
        <v>193</v>
      </c>
      <c r="B197" s="15" t="s">
        <v>279</v>
      </c>
      <c r="C197" s="16">
        <f>'Медикаменты Август'!L196</f>
        <v>0</v>
      </c>
      <c r="D197" s="17"/>
      <c r="E197" s="14"/>
      <c r="F197" s="18"/>
      <c r="G197" s="19"/>
      <c r="H197" s="20"/>
      <c r="I197" s="21"/>
      <c r="J197" s="14"/>
      <c r="K197" s="14">
        <f t="shared" ref="K197:K260" si="6">SUM(F197:J197)</f>
        <v>0</v>
      </c>
      <c r="L197" s="16">
        <f t="shared" ref="L197:L260" si="7">(C197+E197)-K197</f>
        <v>0</v>
      </c>
      <c r="M197" s="22">
        <v>44378</v>
      </c>
      <c r="N197" s="44" t="s">
        <v>45</v>
      </c>
      <c r="O197" s="23" t="s">
        <v>16</v>
      </c>
      <c r="P197" s="24" t="s">
        <v>17</v>
      </c>
      <c r="Q197" s="28" t="s">
        <v>280</v>
      </c>
    </row>
    <row r="198" spans="1:17">
      <c r="A198" s="14">
        <v>194</v>
      </c>
      <c r="B198" s="15" t="s">
        <v>281</v>
      </c>
      <c r="C198" s="16">
        <f>'Медикаменты Август'!L197</f>
        <v>100</v>
      </c>
      <c r="D198" s="17"/>
      <c r="E198" s="14"/>
      <c r="F198" s="18">
        <f>10+3+3</f>
        <v>16</v>
      </c>
      <c r="G198" s="19"/>
      <c r="H198" s="20">
        <f>5+10</f>
        <v>15</v>
      </c>
      <c r="I198" s="21"/>
      <c r="J198" s="14">
        <f>2</f>
        <v>2</v>
      </c>
      <c r="K198" s="14">
        <f t="shared" si="6"/>
        <v>33</v>
      </c>
      <c r="L198" s="16">
        <f t="shared" si="7"/>
        <v>67</v>
      </c>
      <c r="M198" s="22">
        <v>45200</v>
      </c>
      <c r="N198" s="44" t="s">
        <v>551</v>
      </c>
      <c r="O198" s="23" t="s">
        <v>16</v>
      </c>
      <c r="P198" s="24" t="s">
        <v>17</v>
      </c>
      <c r="Q198" s="28" t="s">
        <v>282</v>
      </c>
    </row>
    <row r="199" spans="1:17">
      <c r="A199" s="14">
        <v>195</v>
      </c>
      <c r="B199" s="15" t="s">
        <v>553</v>
      </c>
      <c r="C199" s="16">
        <f>'Медикаменты Август'!L198</f>
        <v>2</v>
      </c>
      <c r="D199" s="17"/>
      <c r="E199" s="14"/>
      <c r="F199" s="18"/>
      <c r="G199" s="19"/>
      <c r="H199" s="20"/>
      <c r="I199" s="21"/>
      <c r="J199" s="14"/>
      <c r="K199" s="14">
        <f t="shared" si="6"/>
        <v>0</v>
      </c>
      <c r="L199" s="16">
        <f t="shared" si="7"/>
        <v>2</v>
      </c>
      <c r="M199" s="22">
        <v>44835</v>
      </c>
      <c r="N199" s="44" t="s">
        <v>45</v>
      </c>
      <c r="O199" s="23" t="s">
        <v>16</v>
      </c>
      <c r="P199" s="24" t="s">
        <v>17</v>
      </c>
      <c r="Q199" s="28" t="s">
        <v>554</v>
      </c>
    </row>
    <row r="200" spans="1:17">
      <c r="A200" s="14">
        <v>196</v>
      </c>
      <c r="B200" s="15" t="s">
        <v>283</v>
      </c>
      <c r="C200" s="16">
        <f>'Медикаменты Август'!L199</f>
        <v>0</v>
      </c>
      <c r="D200" s="17"/>
      <c r="E200" s="14">
        <f>50</f>
        <v>50</v>
      </c>
      <c r="F200" s="18"/>
      <c r="G200" s="19"/>
      <c r="H200" s="20"/>
      <c r="I200" s="21"/>
      <c r="J200" s="14"/>
      <c r="K200" s="14">
        <f t="shared" si="6"/>
        <v>0</v>
      </c>
      <c r="L200" s="16">
        <f t="shared" si="7"/>
        <v>50</v>
      </c>
      <c r="M200" s="22">
        <v>44773</v>
      </c>
      <c r="N200" s="44" t="s">
        <v>551</v>
      </c>
      <c r="O200" s="23" t="s">
        <v>16</v>
      </c>
      <c r="P200" s="24" t="s">
        <v>17</v>
      </c>
      <c r="Q200" s="28" t="s">
        <v>284</v>
      </c>
    </row>
    <row r="201" spans="1:17">
      <c r="A201" s="14">
        <v>197</v>
      </c>
      <c r="B201" s="15" t="s">
        <v>631</v>
      </c>
      <c r="C201" s="16">
        <f>'Медикаменты Август'!L200</f>
        <v>2</v>
      </c>
      <c r="D201" s="17"/>
      <c r="E201" s="14"/>
      <c r="F201" s="18"/>
      <c r="G201" s="19"/>
      <c r="H201" s="20"/>
      <c r="I201" s="21"/>
      <c r="J201" s="14"/>
      <c r="K201" s="14">
        <f t="shared" si="6"/>
        <v>0</v>
      </c>
      <c r="L201" s="16">
        <f t="shared" si="7"/>
        <v>2</v>
      </c>
      <c r="M201" s="22">
        <v>45170</v>
      </c>
      <c r="N201" s="44" t="s">
        <v>45</v>
      </c>
      <c r="O201" s="23" t="s">
        <v>16</v>
      </c>
      <c r="P201" s="24" t="s">
        <v>17</v>
      </c>
      <c r="Q201" s="28" t="s">
        <v>632</v>
      </c>
    </row>
    <row r="202" spans="1:17">
      <c r="A202" s="14">
        <v>198</v>
      </c>
      <c r="B202" s="15" t="s">
        <v>649</v>
      </c>
      <c r="C202" s="16"/>
      <c r="D202" s="17"/>
      <c r="E202" s="14">
        <f>22</f>
        <v>22</v>
      </c>
      <c r="F202" s="18"/>
      <c r="G202" s="19"/>
      <c r="H202" s="20"/>
      <c r="I202" s="21"/>
      <c r="J202" s="14"/>
      <c r="K202" s="14">
        <f t="shared" si="6"/>
        <v>0</v>
      </c>
      <c r="L202" s="16">
        <f t="shared" si="7"/>
        <v>22</v>
      </c>
      <c r="M202" s="22">
        <v>44896</v>
      </c>
      <c r="N202" s="44" t="s">
        <v>551</v>
      </c>
      <c r="O202" s="23" t="s">
        <v>16</v>
      </c>
      <c r="P202" s="24" t="s">
        <v>17</v>
      </c>
      <c r="Q202" s="28" t="s">
        <v>650</v>
      </c>
    </row>
    <row r="203" spans="1:17">
      <c r="A203" s="14">
        <v>199</v>
      </c>
      <c r="B203" s="15" t="s">
        <v>651</v>
      </c>
      <c r="C203" s="16"/>
      <c r="D203" s="17"/>
      <c r="E203" s="14">
        <f>22</f>
        <v>22</v>
      </c>
      <c r="F203" s="18"/>
      <c r="G203" s="19"/>
      <c r="H203" s="20"/>
      <c r="I203" s="21"/>
      <c r="J203" s="14"/>
      <c r="K203" s="14">
        <f t="shared" si="6"/>
        <v>0</v>
      </c>
      <c r="L203" s="16">
        <f t="shared" si="7"/>
        <v>22</v>
      </c>
      <c r="M203" s="22">
        <v>45627</v>
      </c>
      <c r="N203" s="44" t="s">
        <v>551</v>
      </c>
      <c r="O203" s="23" t="s">
        <v>16</v>
      </c>
      <c r="P203" s="24" t="s">
        <v>17</v>
      </c>
      <c r="Q203" s="28" t="s">
        <v>650</v>
      </c>
    </row>
    <row r="204" spans="1:17">
      <c r="A204" s="14">
        <v>200</v>
      </c>
      <c r="B204" s="15" t="s">
        <v>603</v>
      </c>
      <c r="C204" s="16">
        <f>'Медикаменты Август'!L201</f>
        <v>50</v>
      </c>
      <c r="D204" s="17"/>
      <c r="E204" s="14"/>
      <c r="F204" s="18"/>
      <c r="G204" s="19"/>
      <c r="H204" s="20"/>
      <c r="I204" s="21"/>
      <c r="J204" s="14"/>
      <c r="K204" s="14">
        <f t="shared" si="6"/>
        <v>0</v>
      </c>
      <c r="L204" s="16">
        <f t="shared" si="7"/>
        <v>50</v>
      </c>
      <c r="M204" s="22">
        <v>44896</v>
      </c>
      <c r="N204" s="44" t="s">
        <v>551</v>
      </c>
      <c r="O204" s="23" t="s">
        <v>16</v>
      </c>
      <c r="P204" s="24" t="s">
        <v>17</v>
      </c>
      <c r="Q204" s="28" t="s">
        <v>604</v>
      </c>
    </row>
    <row r="205" spans="1:17">
      <c r="A205" s="14">
        <v>201</v>
      </c>
      <c r="B205" s="15" t="s">
        <v>288</v>
      </c>
      <c r="C205" s="16">
        <f>'Медикаменты Август'!L202</f>
        <v>0</v>
      </c>
      <c r="D205" s="17"/>
      <c r="E205" s="14"/>
      <c r="F205" s="18"/>
      <c r="G205" s="19"/>
      <c r="H205" s="20"/>
      <c r="I205" s="21"/>
      <c r="J205" s="14"/>
      <c r="K205" s="14">
        <f t="shared" si="6"/>
        <v>0</v>
      </c>
      <c r="L205" s="16">
        <f t="shared" si="7"/>
        <v>0</v>
      </c>
      <c r="M205" s="22">
        <v>44105</v>
      </c>
      <c r="N205" s="44"/>
      <c r="O205" s="23" t="s">
        <v>16</v>
      </c>
      <c r="P205" s="24"/>
      <c r="Q205" s="28" t="s">
        <v>289</v>
      </c>
    </row>
    <row r="206" spans="1:17">
      <c r="A206" s="14">
        <v>202</v>
      </c>
      <c r="B206" s="15" t="s">
        <v>290</v>
      </c>
      <c r="C206" s="16">
        <f>'Медикаменты Август'!L203</f>
        <v>0</v>
      </c>
      <c r="D206" s="17"/>
      <c r="E206" s="14"/>
      <c r="F206" s="18"/>
      <c r="G206" s="19"/>
      <c r="H206" s="20"/>
      <c r="I206" s="21"/>
      <c r="J206" s="14"/>
      <c r="K206" s="14">
        <f t="shared" si="6"/>
        <v>0</v>
      </c>
      <c r="L206" s="16">
        <f t="shared" si="7"/>
        <v>0</v>
      </c>
      <c r="M206" s="22">
        <v>44317</v>
      </c>
      <c r="N206" s="44" t="s">
        <v>45</v>
      </c>
      <c r="O206" s="23" t="s">
        <v>16</v>
      </c>
      <c r="P206" s="24" t="s">
        <v>17</v>
      </c>
      <c r="Q206" s="28" t="s">
        <v>291</v>
      </c>
    </row>
    <row r="207" spans="1:17">
      <c r="A207" s="14">
        <v>203</v>
      </c>
      <c r="B207" s="15" t="s">
        <v>292</v>
      </c>
      <c r="C207" s="16">
        <f>'Медикаменты Август'!L204</f>
        <v>0</v>
      </c>
      <c r="D207" s="17"/>
      <c r="E207" s="14"/>
      <c r="F207" s="18"/>
      <c r="G207" s="19"/>
      <c r="H207" s="20"/>
      <c r="I207" s="21"/>
      <c r="J207" s="14"/>
      <c r="K207" s="14">
        <f t="shared" si="6"/>
        <v>0</v>
      </c>
      <c r="L207" s="16">
        <f t="shared" si="7"/>
        <v>0</v>
      </c>
      <c r="M207" s="22">
        <v>44197</v>
      </c>
      <c r="N207" s="44"/>
      <c r="O207" s="23" t="s">
        <v>16</v>
      </c>
      <c r="P207" s="24"/>
      <c r="Q207" s="28" t="s">
        <v>293</v>
      </c>
    </row>
    <row r="208" spans="1:17">
      <c r="A208" s="14">
        <v>204</v>
      </c>
      <c r="B208" s="15" t="s">
        <v>292</v>
      </c>
      <c r="C208" s="16">
        <f>'Медикаменты Август'!L205</f>
        <v>16</v>
      </c>
      <c r="D208" s="17"/>
      <c r="E208" s="14"/>
      <c r="F208" s="18">
        <f>5</f>
        <v>5</v>
      </c>
      <c r="G208" s="19"/>
      <c r="H208" s="20"/>
      <c r="I208" s="21"/>
      <c r="J208" s="14"/>
      <c r="K208" s="14">
        <f t="shared" si="6"/>
        <v>5</v>
      </c>
      <c r="L208" s="16">
        <f t="shared" si="7"/>
        <v>11</v>
      </c>
      <c r="M208" s="22">
        <v>44713</v>
      </c>
      <c r="N208" s="44" t="s">
        <v>45</v>
      </c>
      <c r="O208" s="23" t="s">
        <v>16</v>
      </c>
      <c r="P208" s="24" t="s">
        <v>45</v>
      </c>
      <c r="Q208" s="28" t="s">
        <v>293</v>
      </c>
    </row>
    <row r="209" spans="1:17">
      <c r="A209" s="14">
        <v>205</v>
      </c>
      <c r="B209" s="15" t="s">
        <v>294</v>
      </c>
      <c r="C209" s="16">
        <f>'Медикаменты Август'!L206</f>
        <v>0</v>
      </c>
      <c r="D209" s="17"/>
      <c r="E209" s="14"/>
      <c r="F209" s="18"/>
      <c r="G209" s="19"/>
      <c r="H209" s="20"/>
      <c r="I209" s="21"/>
      <c r="J209" s="14"/>
      <c r="K209" s="14">
        <f t="shared" si="6"/>
        <v>0</v>
      </c>
      <c r="L209" s="16">
        <f t="shared" si="7"/>
        <v>0</v>
      </c>
      <c r="M209" s="22">
        <v>44409</v>
      </c>
      <c r="N209" s="44" t="s">
        <v>45</v>
      </c>
      <c r="O209" s="23" t="s">
        <v>16</v>
      </c>
      <c r="P209" s="24" t="s">
        <v>45</v>
      </c>
      <c r="Q209" s="28" t="s">
        <v>295</v>
      </c>
    </row>
    <row r="210" spans="1:17">
      <c r="A210" s="14">
        <v>206</v>
      </c>
      <c r="B210" s="15" t="s">
        <v>296</v>
      </c>
      <c r="C210" s="16">
        <f>'Медикаменты Август'!L207</f>
        <v>0</v>
      </c>
      <c r="D210" s="17"/>
      <c r="E210" s="14"/>
      <c r="F210" s="18"/>
      <c r="G210" s="19"/>
      <c r="H210" s="20"/>
      <c r="I210" s="21"/>
      <c r="J210" s="14"/>
      <c r="K210" s="14">
        <f t="shared" si="6"/>
        <v>0</v>
      </c>
      <c r="L210" s="16">
        <f t="shared" si="7"/>
        <v>0</v>
      </c>
      <c r="M210" s="22"/>
      <c r="N210" s="44"/>
      <c r="O210" s="23" t="s">
        <v>16</v>
      </c>
      <c r="P210" s="24"/>
      <c r="Q210" s="45"/>
    </row>
    <row r="211" spans="1:17">
      <c r="A211" s="14">
        <v>207</v>
      </c>
      <c r="B211" s="15" t="s">
        <v>297</v>
      </c>
      <c r="C211" s="16">
        <f>'Медикаменты Август'!L208</f>
        <v>0</v>
      </c>
      <c r="D211" s="17"/>
      <c r="E211" s="14"/>
      <c r="F211" s="18"/>
      <c r="G211" s="19"/>
      <c r="H211" s="20"/>
      <c r="I211" s="21"/>
      <c r="J211" s="14"/>
      <c r="K211" s="14">
        <f t="shared" si="6"/>
        <v>0</v>
      </c>
      <c r="L211" s="16">
        <f t="shared" si="7"/>
        <v>0</v>
      </c>
      <c r="M211" s="22"/>
      <c r="N211" s="44"/>
      <c r="O211" s="23" t="s">
        <v>16</v>
      </c>
      <c r="P211" s="24"/>
      <c r="Q211" s="45"/>
    </row>
    <row r="212" spans="1:17" ht="25.5">
      <c r="A212" s="14">
        <v>208</v>
      </c>
      <c r="B212" s="15" t="s">
        <v>298</v>
      </c>
      <c r="C212" s="16">
        <f>'Медикаменты Август'!L209</f>
        <v>0</v>
      </c>
      <c r="D212" s="17"/>
      <c r="E212" s="14"/>
      <c r="F212" s="18"/>
      <c r="G212" s="19"/>
      <c r="H212" s="20"/>
      <c r="I212" s="21"/>
      <c r="J212" s="14"/>
      <c r="K212" s="14">
        <f t="shared" si="6"/>
        <v>0</v>
      </c>
      <c r="L212" s="16">
        <f t="shared" si="7"/>
        <v>0</v>
      </c>
      <c r="M212" s="22">
        <v>44593</v>
      </c>
      <c r="N212" s="44"/>
      <c r="O212" s="23" t="s">
        <v>26</v>
      </c>
      <c r="P212" s="24"/>
      <c r="Q212" s="28"/>
    </row>
    <row r="213" spans="1:17">
      <c r="A213" s="14">
        <v>209</v>
      </c>
      <c r="B213" s="15" t="s">
        <v>299</v>
      </c>
      <c r="C213" s="16">
        <f>'Медикаменты Август'!L210</f>
        <v>0</v>
      </c>
      <c r="D213" s="17"/>
      <c r="E213" s="14"/>
      <c r="F213" s="18"/>
      <c r="G213" s="19"/>
      <c r="H213" s="20"/>
      <c r="I213" s="21"/>
      <c r="J213" s="14"/>
      <c r="K213" s="14">
        <f t="shared" si="6"/>
        <v>0</v>
      </c>
      <c r="L213" s="16">
        <f t="shared" si="7"/>
        <v>0</v>
      </c>
      <c r="M213" s="22">
        <v>44256</v>
      </c>
      <c r="N213" s="44"/>
      <c r="O213" s="23" t="s">
        <v>16</v>
      </c>
      <c r="P213" s="24"/>
      <c r="Q213" s="28" t="s">
        <v>300</v>
      </c>
    </row>
    <row r="214" spans="1:17">
      <c r="A214" s="14">
        <v>210</v>
      </c>
      <c r="B214" s="15" t="s">
        <v>301</v>
      </c>
      <c r="C214" s="16">
        <f>'Медикаменты Август'!L211</f>
        <v>0</v>
      </c>
      <c r="D214" s="17"/>
      <c r="E214" s="14"/>
      <c r="F214" s="18"/>
      <c r="G214" s="19"/>
      <c r="H214" s="20"/>
      <c r="I214" s="21"/>
      <c r="J214" s="14"/>
      <c r="K214" s="14">
        <f t="shared" si="6"/>
        <v>0</v>
      </c>
      <c r="L214" s="16">
        <f t="shared" si="7"/>
        <v>0</v>
      </c>
      <c r="M214" s="22"/>
      <c r="N214" s="44"/>
      <c r="O214" s="23" t="s">
        <v>16</v>
      </c>
      <c r="P214" s="24"/>
      <c r="Q214" s="45"/>
    </row>
    <row r="215" spans="1:17">
      <c r="A215" s="14">
        <v>211</v>
      </c>
      <c r="B215" s="15" t="s">
        <v>559</v>
      </c>
      <c r="C215" s="16">
        <f>'Медикаменты Август'!L212</f>
        <v>5</v>
      </c>
      <c r="D215" s="17"/>
      <c r="E215" s="14">
        <f>50</f>
        <v>50</v>
      </c>
      <c r="F215" s="18"/>
      <c r="G215" s="19"/>
      <c r="H215" s="20"/>
      <c r="I215" s="21"/>
      <c r="J215" s="14"/>
      <c r="K215" s="14">
        <f t="shared" si="6"/>
        <v>0</v>
      </c>
      <c r="L215" s="16">
        <f t="shared" si="7"/>
        <v>55</v>
      </c>
      <c r="M215" s="22">
        <v>45323</v>
      </c>
      <c r="N215" s="44" t="s">
        <v>551</v>
      </c>
      <c r="O215" s="23" t="s">
        <v>16</v>
      </c>
      <c r="P215" s="24" t="s">
        <v>17</v>
      </c>
      <c r="Q215" s="28" t="s">
        <v>560</v>
      </c>
    </row>
    <row r="216" spans="1:17">
      <c r="A216" s="14">
        <v>212</v>
      </c>
      <c r="B216" s="15" t="s">
        <v>303</v>
      </c>
      <c r="C216" s="16">
        <f>'Медикаменты Август'!L213</f>
        <v>0</v>
      </c>
      <c r="D216" s="17"/>
      <c r="E216" s="14"/>
      <c r="F216" s="18"/>
      <c r="G216" s="19"/>
      <c r="H216" s="20"/>
      <c r="I216" s="21"/>
      <c r="J216" s="14"/>
      <c r="K216" s="14">
        <f t="shared" si="6"/>
        <v>0</v>
      </c>
      <c r="L216" s="16">
        <f t="shared" si="7"/>
        <v>0</v>
      </c>
      <c r="M216" s="22"/>
      <c r="N216" s="44"/>
      <c r="O216" s="23" t="s">
        <v>16</v>
      </c>
      <c r="P216" s="24"/>
      <c r="Q216" s="45"/>
    </row>
    <row r="217" spans="1:17">
      <c r="A217" s="14">
        <v>213</v>
      </c>
      <c r="B217" s="15" t="s">
        <v>304</v>
      </c>
      <c r="C217" s="16">
        <f>'Медикаменты Август'!L214</f>
        <v>0</v>
      </c>
      <c r="D217" s="17"/>
      <c r="E217" s="14"/>
      <c r="F217" s="18"/>
      <c r="G217" s="19"/>
      <c r="H217" s="20"/>
      <c r="I217" s="21"/>
      <c r="J217" s="14"/>
      <c r="K217" s="14">
        <f t="shared" si="6"/>
        <v>0</v>
      </c>
      <c r="L217" s="16">
        <f t="shared" si="7"/>
        <v>0</v>
      </c>
      <c r="M217" s="22">
        <v>45261</v>
      </c>
      <c r="N217" s="44"/>
      <c r="O217" s="23" t="s">
        <v>16</v>
      </c>
      <c r="P217" s="24"/>
      <c r="Q217" s="28" t="s">
        <v>305</v>
      </c>
    </row>
    <row r="218" spans="1:17">
      <c r="A218" s="14">
        <v>214</v>
      </c>
      <c r="B218" s="15" t="s">
        <v>304</v>
      </c>
      <c r="C218" s="16">
        <f>'Медикаменты Август'!L215</f>
        <v>0</v>
      </c>
      <c r="D218" s="17"/>
      <c r="E218" s="14"/>
      <c r="F218" s="18"/>
      <c r="G218" s="19"/>
      <c r="H218" s="20"/>
      <c r="I218" s="21"/>
      <c r="J218" s="14"/>
      <c r="K218" s="14">
        <f t="shared" si="6"/>
        <v>0</v>
      </c>
      <c r="L218" s="16">
        <f t="shared" si="7"/>
        <v>0</v>
      </c>
      <c r="M218" s="22">
        <v>45413</v>
      </c>
      <c r="N218" s="44" t="s">
        <v>45</v>
      </c>
      <c r="O218" s="23" t="s">
        <v>26</v>
      </c>
      <c r="P218" s="24" t="s">
        <v>17</v>
      </c>
      <c r="Q218" s="28" t="s">
        <v>305</v>
      </c>
    </row>
    <row r="219" spans="1:17">
      <c r="A219" s="14">
        <v>215</v>
      </c>
      <c r="B219" s="15" t="s">
        <v>561</v>
      </c>
      <c r="C219" s="16">
        <f>'Медикаменты Август'!L216</f>
        <v>0</v>
      </c>
      <c r="D219" s="17"/>
      <c r="E219" s="14">
        <f>82</f>
        <v>82</v>
      </c>
      <c r="F219" s="18"/>
      <c r="G219" s="19"/>
      <c r="H219" s="20"/>
      <c r="I219" s="21"/>
      <c r="J219" s="14"/>
      <c r="K219" s="14">
        <f t="shared" si="6"/>
        <v>0</v>
      </c>
      <c r="L219" s="16">
        <f t="shared" si="7"/>
        <v>82</v>
      </c>
      <c r="M219" s="22">
        <v>45870</v>
      </c>
      <c r="N219" s="44" t="s">
        <v>551</v>
      </c>
      <c r="O219" s="23" t="s">
        <v>16</v>
      </c>
      <c r="P219" s="24" t="s">
        <v>17</v>
      </c>
      <c r="Q219" s="28" t="s">
        <v>562</v>
      </c>
    </row>
    <row r="220" spans="1:17">
      <c r="A220" s="14">
        <v>216</v>
      </c>
      <c r="B220" s="15" t="s">
        <v>563</v>
      </c>
      <c r="C220" s="16">
        <f>'Медикаменты Август'!L217</f>
        <v>65</v>
      </c>
      <c r="D220" s="17"/>
      <c r="E220" s="14"/>
      <c r="F220" s="18">
        <f>7+2+3+3</f>
        <v>15</v>
      </c>
      <c r="G220" s="19"/>
      <c r="H220" s="20"/>
      <c r="I220" s="21"/>
      <c r="J220" s="14"/>
      <c r="K220" s="14">
        <f t="shared" si="6"/>
        <v>15</v>
      </c>
      <c r="L220" s="16">
        <f t="shared" si="7"/>
        <v>50</v>
      </c>
      <c r="M220" s="22">
        <v>46023</v>
      </c>
      <c r="N220" s="44" t="s">
        <v>551</v>
      </c>
      <c r="O220" s="23" t="s">
        <v>16</v>
      </c>
      <c r="P220" s="24" t="s">
        <v>17</v>
      </c>
      <c r="Q220" s="28" t="s">
        <v>564</v>
      </c>
    </row>
    <row r="221" spans="1:17">
      <c r="A221" s="14">
        <v>217</v>
      </c>
      <c r="B221" s="15" t="s">
        <v>306</v>
      </c>
      <c r="C221" s="16">
        <f>'Медикаменты Август'!L218</f>
        <v>0</v>
      </c>
      <c r="D221" s="17"/>
      <c r="E221" s="14"/>
      <c r="F221" s="18"/>
      <c r="G221" s="19"/>
      <c r="H221" s="20"/>
      <c r="I221" s="21"/>
      <c r="J221" s="14"/>
      <c r="K221" s="14">
        <f t="shared" si="6"/>
        <v>0</v>
      </c>
      <c r="L221" s="16">
        <f t="shared" si="7"/>
        <v>0</v>
      </c>
      <c r="M221" s="22"/>
      <c r="N221" s="44"/>
      <c r="O221" s="23" t="s">
        <v>16</v>
      </c>
      <c r="P221" s="24"/>
      <c r="Q221" s="45"/>
    </row>
    <row r="222" spans="1:17">
      <c r="A222" s="14">
        <v>218</v>
      </c>
      <c r="B222" s="15" t="s">
        <v>307</v>
      </c>
      <c r="C222" s="16">
        <f>'Медикаменты Август'!L219</f>
        <v>0</v>
      </c>
      <c r="D222" s="17"/>
      <c r="E222" s="14"/>
      <c r="F222" s="18"/>
      <c r="G222" s="19"/>
      <c r="H222" s="20"/>
      <c r="I222" s="21"/>
      <c r="J222" s="14"/>
      <c r="K222" s="14">
        <f t="shared" si="6"/>
        <v>0</v>
      </c>
      <c r="L222" s="16">
        <f t="shared" si="7"/>
        <v>0</v>
      </c>
      <c r="M222" s="22"/>
      <c r="N222" s="44"/>
      <c r="O222" s="23" t="s">
        <v>16</v>
      </c>
      <c r="P222" s="24"/>
      <c r="Q222" s="45"/>
    </row>
    <row r="223" spans="1:17">
      <c r="A223" s="14">
        <v>219</v>
      </c>
      <c r="B223" s="15" t="s">
        <v>308</v>
      </c>
      <c r="C223" s="16">
        <f>'Медикаменты Август'!L220</f>
        <v>52</v>
      </c>
      <c r="D223" s="17"/>
      <c r="E223" s="14"/>
      <c r="F223" s="18">
        <f>5</f>
        <v>5</v>
      </c>
      <c r="G223" s="19"/>
      <c r="H223" s="20">
        <f>10</f>
        <v>10</v>
      </c>
      <c r="I223" s="21"/>
      <c r="J223" s="14"/>
      <c r="K223" s="14">
        <f t="shared" si="6"/>
        <v>15</v>
      </c>
      <c r="L223" s="16">
        <f t="shared" si="7"/>
        <v>37</v>
      </c>
      <c r="M223" s="22">
        <v>45200</v>
      </c>
      <c r="N223" s="44" t="s">
        <v>551</v>
      </c>
      <c r="O223" s="23" t="s">
        <v>16</v>
      </c>
      <c r="P223" s="24" t="s">
        <v>17</v>
      </c>
      <c r="Q223" s="28" t="s">
        <v>309</v>
      </c>
    </row>
    <row r="224" spans="1:17">
      <c r="A224" s="14">
        <v>220</v>
      </c>
      <c r="B224" s="15" t="s">
        <v>308</v>
      </c>
      <c r="C224" s="16">
        <f>'Медикаменты Август'!L221</f>
        <v>0</v>
      </c>
      <c r="D224" s="17"/>
      <c r="E224" s="14"/>
      <c r="F224" s="18"/>
      <c r="G224" s="19"/>
      <c r="H224" s="20"/>
      <c r="I224" s="21"/>
      <c r="J224" s="14"/>
      <c r="K224" s="14">
        <f t="shared" si="6"/>
        <v>0</v>
      </c>
      <c r="L224" s="16">
        <f t="shared" si="7"/>
        <v>0</v>
      </c>
      <c r="M224" s="22">
        <v>45200</v>
      </c>
      <c r="N224" s="44" t="s">
        <v>551</v>
      </c>
      <c r="O224" s="23" t="s">
        <v>26</v>
      </c>
      <c r="P224" s="24" t="s">
        <v>17</v>
      </c>
      <c r="Q224" s="28" t="s">
        <v>309</v>
      </c>
    </row>
    <row r="225" spans="1:17">
      <c r="A225" s="14">
        <v>221</v>
      </c>
      <c r="B225" s="15" t="s">
        <v>310</v>
      </c>
      <c r="C225" s="16">
        <f>'Медикаменты Август'!L222</f>
        <v>9</v>
      </c>
      <c r="D225" s="17"/>
      <c r="E225" s="14"/>
      <c r="F225" s="18"/>
      <c r="G225" s="19"/>
      <c r="H225" s="20"/>
      <c r="I225" s="21"/>
      <c r="J225" s="14"/>
      <c r="K225" s="14">
        <f t="shared" si="6"/>
        <v>0</v>
      </c>
      <c r="L225" s="16">
        <f t="shared" si="7"/>
        <v>9</v>
      </c>
      <c r="M225" s="22">
        <v>44652</v>
      </c>
      <c r="N225" s="44" t="s">
        <v>45</v>
      </c>
      <c r="O225" s="23" t="s">
        <v>16</v>
      </c>
      <c r="P225" s="24" t="s">
        <v>17</v>
      </c>
      <c r="Q225" s="28" t="s">
        <v>311</v>
      </c>
    </row>
    <row r="226" spans="1:17">
      <c r="A226" s="14">
        <v>222</v>
      </c>
      <c r="B226" s="15" t="s">
        <v>310</v>
      </c>
      <c r="C226" s="16">
        <f>'Медикаменты Август'!L223</f>
        <v>0</v>
      </c>
      <c r="D226" s="17"/>
      <c r="E226" s="14"/>
      <c r="F226" s="18"/>
      <c r="G226" s="19"/>
      <c r="H226" s="20"/>
      <c r="I226" s="21"/>
      <c r="J226" s="14"/>
      <c r="K226" s="14">
        <f t="shared" si="6"/>
        <v>0</v>
      </c>
      <c r="L226" s="16">
        <f t="shared" si="7"/>
        <v>0</v>
      </c>
      <c r="M226" s="22">
        <v>44652</v>
      </c>
      <c r="N226" s="44"/>
      <c r="O226" s="23" t="s">
        <v>26</v>
      </c>
      <c r="P226" s="24"/>
      <c r="Q226" s="28" t="s">
        <v>311</v>
      </c>
    </row>
    <row r="227" spans="1:17">
      <c r="A227" s="14">
        <v>223</v>
      </c>
      <c r="B227" s="15" t="s">
        <v>312</v>
      </c>
      <c r="C227" s="16">
        <f>'Медикаменты Август'!L224</f>
        <v>0</v>
      </c>
      <c r="D227" s="17"/>
      <c r="E227" s="14"/>
      <c r="F227" s="18"/>
      <c r="G227" s="19"/>
      <c r="H227" s="20"/>
      <c r="I227" s="21"/>
      <c r="J227" s="14"/>
      <c r="K227" s="14">
        <f t="shared" si="6"/>
        <v>0</v>
      </c>
      <c r="L227" s="16">
        <f t="shared" si="7"/>
        <v>0</v>
      </c>
      <c r="M227" s="22">
        <v>45658</v>
      </c>
      <c r="N227" s="44"/>
      <c r="O227" s="23" t="s">
        <v>16</v>
      </c>
      <c r="P227" s="24"/>
      <c r="Q227" s="28" t="s">
        <v>313</v>
      </c>
    </row>
    <row r="228" spans="1:17">
      <c r="A228" s="14">
        <v>224</v>
      </c>
      <c r="B228" s="15" t="s">
        <v>312</v>
      </c>
      <c r="C228" s="16">
        <f>'Медикаменты Август'!L225</f>
        <v>0</v>
      </c>
      <c r="D228" s="17"/>
      <c r="E228" s="14"/>
      <c r="F228" s="18"/>
      <c r="G228" s="19"/>
      <c r="H228" s="20"/>
      <c r="I228" s="21"/>
      <c r="J228" s="14"/>
      <c r="K228" s="14">
        <f t="shared" si="6"/>
        <v>0</v>
      </c>
      <c r="L228" s="16">
        <f t="shared" si="7"/>
        <v>0</v>
      </c>
      <c r="M228" s="22">
        <v>45658</v>
      </c>
      <c r="N228" s="44"/>
      <c r="O228" s="23" t="s">
        <v>26</v>
      </c>
      <c r="P228" s="24"/>
      <c r="Q228" s="28" t="s">
        <v>313</v>
      </c>
    </row>
    <row r="229" spans="1:17">
      <c r="A229" s="14">
        <v>225</v>
      </c>
      <c r="B229" s="15" t="s">
        <v>314</v>
      </c>
      <c r="C229" s="16">
        <f>'Медикаменты Август'!L226</f>
        <v>0</v>
      </c>
      <c r="D229" s="17"/>
      <c r="E229" s="14"/>
      <c r="F229" s="18"/>
      <c r="G229" s="19"/>
      <c r="H229" s="20"/>
      <c r="I229" s="21"/>
      <c r="J229" s="14"/>
      <c r="K229" s="14">
        <f t="shared" si="6"/>
        <v>0</v>
      </c>
      <c r="L229" s="16">
        <f t="shared" si="7"/>
        <v>0</v>
      </c>
      <c r="M229" s="22">
        <v>44562</v>
      </c>
      <c r="N229" s="44"/>
      <c r="O229" s="23" t="s">
        <v>16</v>
      </c>
      <c r="P229" s="24"/>
      <c r="Q229" s="28" t="s">
        <v>315</v>
      </c>
    </row>
    <row r="230" spans="1:17">
      <c r="A230" s="14">
        <v>226</v>
      </c>
      <c r="B230" s="15" t="s">
        <v>316</v>
      </c>
      <c r="C230" s="16">
        <f>'Медикаменты Август'!L227</f>
        <v>0</v>
      </c>
      <c r="D230" s="17"/>
      <c r="E230" s="14"/>
      <c r="F230" s="18"/>
      <c r="G230" s="19"/>
      <c r="H230" s="20"/>
      <c r="I230" s="21"/>
      <c r="J230" s="14"/>
      <c r="K230" s="14">
        <f t="shared" si="6"/>
        <v>0</v>
      </c>
      <c r="L230" s="16">
        <f t="shared" si="7"/>
        <v>0</v>
      </c>
      <c r="M230" s="22"/>
      <c r="N230" s="44"/>
      <c r="O230" s="23" t="s">
        <v>16</v>
      </c>
      <c r="P230" s="24"/>
      <c r="Q230" s="45"/>
    </row>
    <row r="231" spans="1:17">
      <c r="A231" s="14">
        <v>227</v>
      </c>
      <c r="B231" s="29" t="s">
        <v>317</v>
      </c>
      <c r="C231" s="16">
        <f>'Медикаменты Август'!L228</f>
        <v>0</v>
      </c>
      <c r="D231" s="17"/>
      <c r="E231" s="14"/>
      <c r="F231" s="18"/>
      <c r="G231" s="19"/>
      <c r="H231" s="20"/>
      <c r="I231" s="21"/>
      <c r="J231" s="14"/>
      <c r="K231" s="14">
        <f t="shared" si="6"/>
        <v>0</v>
      </c>
      <c r="L231" s="16">
        <f t="shared" si="7"/>
        <v>0</v>
      </c>
      <c r="M231" s="22"/>
      <c r="N231" s="44"/>
      <c r="O231" s="23" t="s">
        <v>16</v>
      </c>
      <c r="P231" s="24"/>
      <c r="Q231" s="45"/>
    </row>
    <row r="232" spans="1:17">
      <c r="A232" s="14">
        <v>228</v>
      </c>
      <c r="B232" s="29" t="s">
        <v>605</v>
      </c>
      <c r="C232" s="16">
        <f>'Медикаменты Август'!L229</f>
        <v>20</v>
      </c>
      <c r="D232" s="17"/>
      <c r="E232" s="14"/>
      <c r="F232" s="18">
        <f>6</f>
        <v>6</v>
      </c>
      <c r="G232" s="19"/>
      <c r="H232" s="20"/>
      <c r="I232" s="21"/>
      <c r="J232" s="14">
        <f>3</f>
        <v>3</v>
      </c>
      <c r="K232" s="14">
        <f t="shared" si="6"/>
        <v>9</v>
      </c>
      <c r="L232" s="16">
        <f t="shared" si="7"/>
        <v>11</v>
      </c>
      <c r="M232" s="22">
        <v>44896</v>
      </c>
      <c r="N232" s="44" t="s">
        <v>551</v>
      </c>
      <c r="O232" s="23" t="s">
        <v>16</v>
      </c>
      <c r="P232" s="24" t="s">
        <v>17</v>
      </c>
      <c r="Q232" s="28" t="s">
        <v>606</v>
      </c>
    </row>
    <row r="233" spans="1:17">
      <c r="A233" s="14">
        <v>229</v>
      </c>
      <c r="B233" s="29" t="s">
        <v>319</v>
      </c>
      <c r="C233" s="16">
        <f>'Медикаменты Август'!L230</f>
        <v>0</v>
      </c>
      <c r="D233" s="17"/>
      <c r="E233" s="14"/>
      <c r="F233" s="18"/>
      <c r="G233" s="19"/>
      <c r="H233" s="20"/>
      <c r="I233" s="21"/>
      <c r="J233" s="14"/>
      <c r="K233" s="14">
        <f t="shared" si="6"/>
        <v>0</v>
      </c>
      <c r="L233" s="16">
        <f t="shared" si="7"/>
        <v>0</v>
      </c>
      <c r="M233" s="22"/>
      <c r="N233" s="44"/>
      <c r="O233" s="23" t="s">
        <v>16</v>
      </c>
      <c r="P233" s="24"/>
      <c r="Q233" s="45"/>
    </row>
    <row r="234" spans="1:17">
      <c r="A234" s="14">
        <v>230</v>
      </c>
      <c r="B234" s="29" t="s">
        <v>320</v>
      </c>
      <c r="C234" s="16">
        <f>'Медикаменты Август'!L231</f>
        <v>50</v>
      </c>
      <c r="D234" s="17"/>
      <c r="E234" s="14"/>
      <c r="F234" s="18"/>
      <c r="G234" s="19"/>
      <c r="H234" s="20">
        <f>10</f>
        <v>10</v>
      </c>
      <c r="I234" s="21"/>
      <c r="J234" s="14"/>
      <c r="K234" s="14">
        <f t="shared" si="6"/>
        <v>10</v>
      </c>
      <c r="L234" s="16">
        <f t="shared" si="7"/>
        <v>40</v>
      </c>
      <c r="M234" s="22">
        <v>44958</v>
      </c>
      <c r="N234" s="44" t="s">
        <v>551</v>
      </c>
      <c r="O234" s="23" t="s">
        <v>16</v>
      </c>
      <c r="P234" s="24" t="s">
        <v>17</v>
      </c>
      <c r="Q234" s="28" t="s">
        <v>321</v>
      </c>
    </row>
    <row r="235" spans="1:17">
      <c r="A235" s="14">
        <v>231</v>
      </c>
      <c r="B235" s="29" t="s">
        <v>320</v>
      </c>
      <c r="C235" s="16">
        <f>'Медикаменты Август'!L232</f>
        <v>10</v>
      </c>
      <c r="D235" s="17"/>
      <c r="E235" s="14"/>
      <c r="F235" s="18"/>
      <c r="G235" s="19"/>
      <c r="H235" s="20"/>
      <c r="I235" s="21"/>
      <c r="J235" s="14"/>
      <c r="K235" s="14">
        <f t="shared" si="6"/>
        <v>0</v>
      </c>
      <c r="L235" s="16">
        <f t="shared" si="7"/>
        <v>10</v>
      </c>
      <c r="M235" s="22">
        <v>44958</v>
      </c>
      <c r="N235" s="44" t="s">
        <v>551</v>
      </c>
      <c r="O235" s="23" t="s">
        <v>26</v>
      </c>
      <c r="P235" s="24" t="s">
        <v>17</v>
      </c>
      <c r="Q235" s="28" t="s">
        <v>321</v>
      </c>
    </row>
    <row r="236" spans="1:17">
      <c r="A236" s="14">
        <v>232</v>
      </c>
      <c r="B236" s="29" t="s">
        <v>322</v>
      </c>
      <c r="C236" s="16">
        <f>'Медикаменты Август'!L233</f>
        <v>0</v>
      </c>
      <c r="D236" s="17"/>
      <c r="E236" s="14"/>
      <c r="F236" s="18"/>
      <c r="G236" s="19"/>
      <c r="H236" s="20"/>
      <c r="I236" s="21"/>
      <c r="J236" s="14"/>
      <c r="K236" s="14">
        <f t="shared" si="6"/>
        <v>0</v>
      </c>
      <c r="L236" s="16">
        <f t="shared" si="7"/>
        <v>0</v>
      </c>
      <c r="M236" s="22"/>
      <c r="N236" s="44"/>
      <c r="O236" s="23" t="s">
        <v>16</v>
      </c>
      <c r="P236" s="24"/>
      <c r="Q236" s="45"/>
    </row>
    <row r="237" spans="1:17">
      <c r="A237" s="14">
        <v>233</v>
      </c>
      <c r="B237" s="29" t="s">
        <v>323</v>
      </c>
      <c r="C237" s="16">
        <f>'Медикаменты Август'!L234</f>
        <v>0</v>
      </c>
      <c r="D237" s="17"/>
      <c r="E237" s="14"/>
      <c r="F237" s="18"/>
      <c r="G237" s="19"/>
      <c r="H237" s="20"/>
      <c r="I237" s="21"/>
      <c r="J237" s="14"/>
      <c r="K237" s="14">
        <f t="shared" si="6"/>
        <v>0</v>
      </c>
      <c r="L237" s="16">
        <f t="shared" si="7"/>
        <v>0</v>
      </c>
      <c r="M237" s="22"/>
      <c r="N237" s="44"/>
      <c r="O237" s="23" t="s">
        <v>16</v>
      </c>
      <c r="P237" s="24"/>
      <c r="Q237" s="45"/>
    </row>
    <row r="238" spans="1:17" ht="25.5">
      <c r="A238" s="14">
        <v>234</v>
      </c>
      <c r="B238" s="29" t="s">
        <v>607</v>
      </c>
      <c r="C238" s="16">
        <f>'Медикаменты Август'!L235</f>
        <v>14</v>
      </c>
      <c r="D238" s="17"/>
      <c r="E238" s="14"/>
      <c r="F238" s="18"/>
      <c r="G238" s="19"/>
      <c r="H238" s="20"/>
      <c r="I238" s="21"/>
      <c r="J238" s="14">
        <f>1</f>
        <v>1</v>
      </c>
      <c r="K238" s="14">
        <f t="shared" si="6"/>
        <v>1</v>
      </c>
      <c r="L238" s="16">
        <f t="shared" si="7"/>
        <v>13</v>
      </c>
      <c r="M238" s="22">
        <v>44896</v>
      </c>
      <c r="N238" s="44" t="s">
        <v>551</v>
      </c>
      <c r="O238" s="23" t="s">
        <v>16</v>
      </c>
      <c r="P238" s="24" t="s">
        <v>17</v>
      </c>
      <c r="Q238" s="28" t="s">
        <v>608</v>
      </c>
    </row>
    <row r="239" spans="1:17">
      <c r="A239" s="14">
        <v>235</v>
      </c>
      <c r="B239" s="29" t="s">
        <v>555</v>
      </c>
      <c r="C239" s="16">
        <f>'Медикаменты Август'!L236</f>
        <v>200</v>
      </c>
      <c r="D239" s="17"/>
      <c r="E239" s="14"/>
      <c r="F239" s="18">
        <f>10+5+5</f>
        <v>20</v>
      </c>
      <c r="G239" s="19"/>
      <c r="H239" s="20"/>
      <c r="I239" s="21"/>
      <c r="J239" s="14"/>
      <c r="K239" s="14">
        <f t="shared" si="6"/>
        <v>20</v>
      </c>
      <c r="L239" s="16">
        <f t="shared" si="7"/>
        <v>180</v>
      </c>
      <c r="M239" s="22">
        <v>45383</v>
      </c>
      <c r="N239" s="44" t="s">
        <v>551</v>
      </c>
      <c r="O239" s="23" t="s">
        <v>16</v>
      </c>
      <c r="P239" s="24" t="s">
        <v>17</v>
      </c>
      <c r="Q239" s="28" t="s">
        <v>325</v>
      </c>
    </row>
    <row r="240" spans="1:17">
      <c r="A240" s="14">
        <v>236</v>
      </c>
      <c r="B240" s="29" t="s">
        <v>326</v>
      </c>
      <c r="C240" s="16">
        <f>'Медикаменты Август'!L237</f>
        <v>0</v>
      </c>
      <c r="D240" s="17"/>
      <c r="E240" s="14"/>
      <c r="F240" s="18"/>
      <c r="G240" s="19"/>
      <c r="H240" s="20"/>
      <c r="I240" s="21"/>
      <c r="J240" s="14"/>
      <c r="K240" s="14">
        <f t="shared" si="6"/>
        <v>0</v>
      </c>
      <c r="L240" s="16">
        <f t="shared" si="7"/>
        <v>0</v>
      </c>
      <c r="M240" s="22"/>
      <c r="N240" s="44"/>
      <c r="O240" s="23" t="s">
        <v>16</v>
      </c>
      <c r="P240" s="24"/>
      <c r="Q240" s="45"/>
    </row>
    <row r="241" spans="1:17">
      <c r="A241" s="14">
        <v>237</v>
      </c>
      <c r="B241" s="29" t="s">
        <v>327</v>
      </c>
      <c r="C241" s="16">
        <f>'Медикаменты Август'!L238</f>
        <v>185</v>
      </c>
      <c r="D241" s="17"/>
      <c r="E241" s="14">
        <f>150</f>
        <v>150</v>
      </c>
      <c r="F241" s="18">
        <f>5</f>
        <v>5</v>
      </c>
      <c r="G241" s="19"/>
      <c r="H241" s="20">
        <f>20+10</f>
        <v>30</v>
      </c>
      <c r="I241" s="21"/>
      <c r="J241" s="14"/>
      <c r="K241" s="14">
        <f t="shared" si="6"/>
        <v>35</v>
      </c>
      <c r="L241" s="16">
        <f t="shared" si="7"/>
        <v>300</v>
      </c>
      <c r="M241" s="22">
        <v>45231</v>
      </c>
      <c r="N241" s="44" t="s">
        <v>551</v>
      </c>
      <c r="O241" s="23" t="s">
        <v>16</v>
      </c>
      <c r="P241" s="24" t="s">
        <v>17</v>
      </c>
      <c r="Q241" s="28" t="s">
        <v>328</v>
      </c>
    </row>
    <row r="242" spans="1:17">
      <c r="A242" s="14">
        <v>238</v>
      </c>
      <c r="B242" s="29" t="s">
        <v>327</v>
      </c>
      <c r="C242" s="16">
        <f>'Медикаменты Август'!L239</f>
        <v>0</v>
      </c>
      <c r="D242" s="17"/>
      <c r="E242" s="14"/>
      <c r="F242" s="18"/>
      <c r="G242" s="19"/>
      <c r="H242" s="20"/>
      <c r="I242" s="21"/>
      <c r="J242" s="14"/>
      <c r="K242" s="14">
        <f t="shared" si="6"/>
        <v>0</v>
      </c>
      <c r="L242" s="16">
        <f t="shared" si="7"/>
        <v>0</v>
      </c>
      <c r="M242" s="22">
        <v>44743</v>
      </c>
      <c r="N242" s="44"/>
      <c r="O242" s="23" t="s">
        <v>16</v>
      </c>
      <c r="P242" s="24" t="s">
        <v>17</v>
      </c>
      <c r="Q242" s="28" t="s">
        <v>328</v>
      </c>
    </row>
    <row r="243" spans="1:17">
      <c r="A243" s="14">
        <v>239</v>
      </c>
      <c r="B243" s="29" t="s">
        <v>327</v>
      </c>
      <c r="C243" s="16">
        <f>'Медикаменты Август'!L240</f>
        <v>0</v>
      </c>
      <c r="D243" s="17"/>
      <c r="E243" s="14"/>
      <c r="F243" s="18"/>
      <c r="G243" s="19"/>
      <c r="H243" s="20"/>
      <c r="I243" s="21"/>
      <c r="J243" s="14"/>
      <c r="K243" s="14">
        <f t="shared" si="6"/>
        <v>0</v>
      </c>
      <c r="L243" s="16">
        <f t="shared" si="7"/>
        <v>0</v>
      </c>
      <c r="M243" s="22">
        <v>44774</v>
      </c>
      <c r="N243" s="44" t="s">
        <v>45</v>
      </c>
      <c r="O243" s="23" t="s">
        <v>26</v>
      </c>
      <c r="P243" s="24" t="s">
        <v>17</v>
      </c>
      <c r="Q243" s="28" t="s">
        <v>328</v>
      </c>
    </row>
    <row r="244" spans="1:17">
      <c r="A244" s="14">
        <v>240</v>
      </c>
      <c r="B244" s="29" t="s">
        <v>329</v>
      </c>
      <c r="C244" s="16">
        <f>'Медикаменты Август'!L241</f>
        <v>0</v>
      </c>
      <c r="D244" s="17"/>
      <c r="E244" s="14"/>
      <c r="F244" s="18"/>
      <c r="G244" s="19"/>
      <c r="H244" s="20"/>
      <c r="I244" s="21"/>
      <c r="J244" s="14"/>
      <c r="K244" s="14">
        <f t="shared" si="6"/>
        <v>0</v>
      </c>
      <c r="L244" s="16">
        <f t="shared" si="7"/>
        <v>0</v>
      </c>
      <c r="M244" s="22">
        <v>44713</v>
      </c>
      <c r="N244" s="44"/>
      <c r="O244" s="23" t="s">
        <v>16</v>
      </c>
      <c r="P244" s="24"/>
      <c r="Q244" s="28" t="s">
        <v>330</v>
      </c>
    </row>
    <row r="245" spans="1:17">
      <c r="A245" s="14">
        <v>241</v>
      </c>
      <c r="B245" s="29" t="s">
        <v>331</v>
      </c>
      <c r="C245" s="16">
        <f>'Медикаменты Август'!L242</f>
        <v>0</v>
      </c>
      <c r="D245" s="17"/>
      <c r="E245" s="14"/>
      <c r="F245" s="18"/>
      <c r="G245" s="19"/>
      <c r="H245" s="20"/>
      <c r="I245" s="21"/>
      <c r="J245" s="14"/>
      <c r="K245" s="14">
        <f t="shared" si="6"/>
        <v>0</v>
      </c>
      <c r="L245" s="16">
        <f t="shared" si="7"/>
        <v>0</v>
      </c>
      <c r="M245" s="22">
        <v>44317</v>
      </c>
      <c r="N245" s="44"/>
      <c r="O245" s="23" t="s">
        <v>16</v>
      </c>
      <c r="P245" s="24" t="s">
        <v>45</v>
      </c>
      <c r="Q245" s="28" t="s">
        <v>332</v>
      </c>
    </row>
    <row r="246" spans="1:17">
      <c r="A246" s="14">
        <v>242</v>
      </c>
      <c r="B246" s="29" t="s">
        <v>333</v>
      </c>
      <c r="C246" s="16">
        <f>'Медикаменты Август'!L243</f>
        <v>0</v>
      </c>
      <c r="D246" s="17"/>
      <c r="E246" s="14"/>
      <c r="F246" s="18"/>
      <c r="G246" s="19"/>
      <c r="H246" s="20"/>
      <c r="I246" s="21"/>
      <c r="J246" s="14"/>
      <c r="K246" s="14">
        <f t="shared" si="6"/>
        <v>0</v>
      </c>
      <c r="L246" s="16">
        <f t="shared" si="7"/>
        <v>0</v>
      </c>
      <c r="M246" s="22">
        <v>44348</v>
      </c>
      <c r="N246" s="44"/>
      <c r="O246" s="23" t="s">
        <v>16</v>
      </c>
      <c r="P246" s="24"/>
      <c r="Q246" s="28" t="s">
        <v>334</v>
      </c>
    </row>
    <row r="247" spans="1:17">
      <c r="A247" s="14">
        <v>243</v>
      </c>
      <c r="B247" s="29" t="s">
        <v>335</v>
      </c>
      <c r="C247" s="16">
        <f>'Медикаменты Август'!L244</f>
        <v>0</v>
      </c>
      <c r="D247" s="17"/>
      <c r="E247" s="14"/>
      <c r="F247" s="18"/>
      <c r="G247" s="19"/>
      <c r="H247" s="20"/>
      <c r="I247" s="21"/>
      <c r="J247" s="14"/>
      <c r="K247" s="14">
        <f t="shared" si="6"/>
        <v>0</v>
      </c>
      <c r="L247" s="16">
        <f t="shared" si="7"/>
        <v>0</v>
      </c>
      <c r="M247" s="22">
        <v>44348</v>
      </c>
      <c r="N247" s="44"/>
      <c r="O247" s="23" t="s">
        <v>16</v>
      </c>
      <c r="P247" s="24"/>
      <c r="Q247" s="45"/>
    </row>
    <row r="248" spans="1:17">
      <c r="A248" s="14">
        <v>244</v>
      </c>
      <c r="B248" s="29" t="s">
        <v>336</v>
      </c>
      <c r="C248" s="16">
        <f>'Медикаменты Август'!L245</f>
        <v>60</v>
      </c>
      <c r="D248" s="17"/>
      <c r="E248" s="14"/>
      <c r="F248" s="18">
        <f>10+5</f>
        <v>15</v>
      </c>
      <c r="G248" s="19"/>
      <c r="H248" s="20"/>
      <c r="I248" s="21"/>
      <c r="J248" s="14"/>
      <c r="K248" s="14">
        <f t="shared" si="6"/>
        <v>15</v>
      </c>
      <c r="L248" s="16">
        <f t="shared" si="7"/>
        <v>45</v>
      </c>
      <c r="M248" s="22">
        <v>45413</v>
      </c>
      <c r="N248" s="44" t="s">
        <v>45</v>
      </c>
      <c r="O248" s="23" t="s">
        <v>16</v>
      </c>
      <c r="P248" s="24" t="s">
        <v>17</v>
      </c>
      <c r="Q248" s="28" t="s">
        <v>337</v>
      </c>
    </row>
    <row r="249" spans="1:17">
      <c r="A249" s="14">
        <v>245</v>
      </c>
      <c r="B249" s="29" t="s">
        <v>338</v>
      </c>
      <c r="C249" s="16">
        <f>'Медикаменты Август'!L246</f>
        <v>0</v>
      </c>
      <c r="D249" s="17"/>
      <c r="E249" s="14">
        <f>64+26</f>
        <v>90</v>
      </c>
      <c r="F249" s="18"/>
      <c r="G249" s="19"/>
      <c r="H249" s="20"/>
      <c r="I249" s="21"/>
      <c r="J249" s="14"/>
      <c r="K249" s="14">
        <f t="shared" si="6"/>
        <v>0</v>
      </c>
      <c r="L249" s="16">
        <f t="shared" si="7"/>
        <v>90</v>
      </c>
      <c r="M249" s="22">
        <v>45352</v>
      </c>
      <c r="N249" s="44" t="s">
        <v>551</v>
      </c>
      <c r="O249" s="23" t="s">
        <v>16</v>
      </c>
      <c r="P249" s="24" t="s">
        <v>17</v>
      </c>
      <c r="Q249" s="28" t="s">
        <v>339</v>
      </c>
    </row>
    <row r="250" spans="1:17">
      <c r="A250" s="14">
        <v>246</v>
      </c>
      <c r="B250" s="29" t="s">
        <v>338</v>
      </c>
      <c r="C250" s="16"/>
      <c r="D250" s="17"/>
      <c r="E250" s="14">
        <f>50</f>
        <v>50</v>
      </c>
      <c r="F250" s="18"/>
      <c r="G250" s="19"/>
      <c r="H250" s="20"/>
      <c r="I250" s="21"/>
      <c r="J250" s="14"/>
      <c r="K250" s="14">
        <f t="shared" si="6"/>
        <v>0</v>
      </c>
      <c r="L250" s="16">
        <f t="shared" si="7"/>
        <v>50</v>
      </c>
      <c r="M250" s="22">
        <v>45352</v>
      </c>
      <c r="N250" s="44" t="s">
        <v>551</v>
      </c>
      <c r="O250" s="23" t="s">
        <v>26</v>
      </c>
      <c r="P250" s="24" t="s">
        <v>17</v>
      </c>
      <c r="Q250" s="28" t="s">
        <v>339</v>
      </c>
    </row>
    <row r="251" spans="1:17">
      <c r="A251" s="14">
        <v>247</v>
      </c>
      <c r="B251" s="29" t="s">
        <v>340</v>
      </c>
      <c r="C251" s="16">
        <f>'Медикаменты Август'!L247</f>
        <v>0</v>
      </c>
      <c r="D251" s="17"/>
      <c r="E251" s="14"/>
      <c r="F251" s="18"/>
      <c r="G251" s="19"/>
      <c r="H251" s="20"/>
      <c r="I251" s="21"/>
      <c r="J251" s="14"/>
      <c r="K251" s="14">
        <f t="shared" si="6"/>
        <v>0</v>
      </c>
      <c r="L251" s="16">
        <f t="shared" si="7"/>
        <v>0</v>
      </c>
      <c r="M251" s="22"/>
      <c r="N251" s="44"/>
      <c r="O251" s="23" t="s">
        <v>16</v>
      </c>
      <c r="P251" s="24"/>
      <c r="Q251" s="45"/>
    </row>
    <row r="252" spans="1:17">
      <c r="A252" s="14">
        <v>248</v>
      </c>
      <c r="B252" s="29" t="s">
        <v>341</v>
      </c>
      <c r="C252" s="16">
        <f>'Медикаменты Август'!L248</f>
        <v>32</v>
      </c>
      <c r="D252" s="17"/>
      <c r="E252" s="14"/>
      <c r="F252" s="18"/>
      <c r="G252" s="19"/>
      <c r="H252" s="20"/>
      <c r="I252" s="21"/>
      <c r="J252" s="14"/>
      <c r="K252" s="14">
        <f t="shared" si="6"/>
        <v>0</v>
      </c>
      <c r="L252" s="16">
        <f t="shared" si="7"/>
        <v>32</v>
      </c>
      <c r="M252" s="22">
        <v>45108</v>
      </c>
      <c r="N252" s="44" t="s">
        <v>45</v>
      </c>
      <c r="O252" s="23" t="s">
        <v>16</v>
      </c>
      <c r="P252" s="24" t="s">
        <v>17</v>
      </c>
      <c r="Q252" s="28" t="s">
        <v>342</v>
      </c>
    </row>
    <row r="253" spans="1:17">
      <c r="A253" s="14">
        <v>249</v>
      </c>
      <c r="B253" s="29" t="s">
        <v>343</v>
      </c>
      <c r="C253" s="16">
        <f>'Медикаменты Август'!L249</f>
        <v>135</v>
      </c>
      <c r="D253" s="17"/>
      <c r="E253" s="14"/>
      <c r="F253" s="18"/>
      <c r="G253" s="19"/>
      <c r="H253" s="20"/>
      <c r="I253" s="21"/>
      <c r="J253" s="14"/>
      <c r="K253" s="14">
        <f t="shared" si="6"/>
        <v>0</v>
      </c>
      <c r="L253" s="16">
        <f t="shared" si="7"/>
        <v>135</v>
      </c>
      <c r="M253" s="22">
        <v>45047</v>
      </c>
      <c r="N253" s="44" t="s">
        <v>551</v>
      </c>
      <c r="O253" s="23" t="s">
        <v>16</v>
      </c>
      <c r="P253" s="24" t="s">
        <v>17</v>
      </c>
      <c r="Q253" s="28" t="s">
        <v>344</v>
      </c>
    </row>
    <row r="254" spans="1:17">
      <c r="A254" s="14">
        <v>250</v>
      </c>
      <c r="B254" s="29" t="s">
        <v>343</v>
      </c>
      <c r="C254" s="16">
        <f>'Медикаменты Август'!L250</f>
        <v>0</v>
      </c>
      <c r="D254" s="17"/>
      <c r="E254" s="14"/>
      <c r="F254" s="18"/>
      <c r="G254" s="19"/>
      <c r="H254" s="20"/>
      <c r="I254" s="21"/>
      <c r="J254" s="14"/>
      <c r="K254" s="14">
        <f t="shared" si="6"/>
        <v>0</v>
      </c>
      <c r="L254" s="16">
        <f t="shared" si="7"/>
        <v>0</v>
      </c>
      <c r="M254" s="22">
        <v>44835</v>
      </c>
      <c r="N254" s="44"/>
      <c r="O254" s="23" t="s">
        <v>26</v>
      </c>
      <c r="P254" s="24"/>
      <c r="Q254" s="28" t="s">
        <v>344</v>
      </c>
    </row>
    <row r="255" spans="1:17">
      <c r="A255" s="14">
        <v>251</v>
      </c>
      <c r="B255" s="29" t="s">
        <v>345</v>
      </c>
      <c r="C255" s="16">
        <f>'Медикаменты Август'!L251</f>
        <v>25</v>
      </c>
      <c r="D255" s="17"/>
      <c r="E255" s="14"/>
      <c r="F255" s="18">
        <f>10+10+5</f>
        <v>25</v>
      </c>
      <c r="G255" s="19"/>
      <c r="H255" s="20"/>
      <c r="I255" s="21"/>
      <c r="J255" s="14"/>
      <c r="K255" s="14">
        <f t="shared" si="6"/>
        <v>25</v>
      </c>
      <c r="L255" s="16">
        <f t="shared" si="7"/>
        <v>0</v>
      </c>
      <c r="M255" s="22">
        <v>45017</v>
      </c>
      <c r="N255" s="44" t="s">
        <v>45</v>
      </c>
      <c r="O255" s="23" t="s">
        <v>16</v>
      </c>
      <c r="P255" s="24" t="s">
        <v>45</v>
      </c>
      <c r="Q255" s="28" t="s">
        <v>346</v>
      </c>
    </row>
    <row r="256" spans="1:17">
      <c r="A256" s="14">
        <v>252</v>
      </c>
      <c r="B256" s="29" t="s">
        <v>347</v>
      </c>
      <c r="C256" s="16">
        <f>'Медикаменты Август'!L252</f>
        <v>35</v>
      </c>
      <c r="D256" s="17"/>
      <c r="E256" s="14"/>
      <c r="F256" s="18">
        <f>15+15</f>
        <v>30</v>
      </c>
      <c r="G256" s="19"/>
      <c r="H256" s="20"/>
      <c r="I256" s="21"/>
      <c r="J256" s="14"/>
      <c r="K256" s="14">
        <f t="shared" si="6"/>
        <v>30</v>
      </c>
      <c r="L256" s="16">
        <f t="shared" si="7"/>
        <v>5</v>
      </c>
      <c r="M256" s="22">
        <v>45323</v>
      </c>
      <c r="N256" s="44" t="s">
        <v>551</v>
      </c>
      <c r="O256" s="23" t="s">
        <v>16</v>
      </c>
      <c r="P256" s="24" t="s">
        <v>45</v>
      </c>
      <c r="Q256" s="28" t="s">
        <v>348</v>
      </c>
    </row>
    <row r="257" spans="1:17">
      <c r="A257" s="14">
        <v>253</v>
      </c>
      <c r="B257" s="29" t="s">
        <v>349</v>
      </c>
      <c r="C257" s="16">
        <f>'Медикаменты Август'!L253</f>
        <v>0</v>
      </c>
      <c r="D257" s="17"/>
      <c r="E257" s="14"/>
      <c r="F257" s="18"/>
      <c r="G257" s="19"/>
      <c r="H257" s="20"/>
      <c r="I257" s="21"/>
      <c r="J257" s="14"/>
      <c r="K257" s="14">
        <f t="shared" si="6"/>
        <v>0</v>
      </c>
      <c r="L257" s="16">
        <f t="shared" si="7"/>
        <v>0</v>
      </c>
      <c r="M257" s="22"/>
      <c r="N257" s="44"/>
      <c r="O257" s="23" t="s">
        <v>16</v>
      </c>
      <c r="P257" s="24"/>
      <c r="Q257" s="45"/>
    </row>
    <row r="258" spans="1:17">
      <c r="A258" s="14">
        <v>254</v>
      </c>
      <c r="B258" s="29" t="s">
        <v>350</v>
      </c>
      <c r="C258" s="16">
        <f>'Медикаменты Август'!L254</f>
        <v>0</v>
      </c>
      <c r="D258" s="17"/>
      <c r="E258" s="14"/>
      <c r="F258" s="18"/>
      <c r="G258" s="19"/>
      <c r="H258" s="20"/>
      <c r="I258" s="21"/>
      <c r="J258" s="14"/>
      <c r="K258" s="14">
        <f t="shared" si="6"/>
        <v>0</v>
      </c>
      <c r="L258" s="16">
        <f t="shared" si="7"/>
        <v>0</v>
      </c>
      <c r="M258" s="22"/>
      <c r="N258" s="44"/>
      <c r="O258" s="23" t="s">
        <v>16</v>
      </c>
      <c r="P258" s="24"/>
      <c r="Q258" s="45"/>
    </row>
    <row r="259" spans="1:17">
      <c r="A259" s="14">
        <v>255</v>
      </c>
      <c r="B259" s="29" t="s">
        <v>609</v>
      </c>
      <c r="C259" s="16">
        <f>'Медикаменты Август'!L255</f>
        <v>70</v>
      </c>
      <c r="D259" s="17"/>
      <c r="E259" s="14"/>
      <c r="F259" s="18">
        <f>10+10</f>
        <v>20</v>
      </c>
      <c r="G259" s="19"/>
      <c r="H259" s="20"/>
      <c r="I259" s="21"/>
      <c r="J259" s="14"/>
      <c r="K259" s="14">
        <f t="shared" si="6"/>
        <v>20</v>
      </c>
      <c r="L259" s="16">
        <f t="shared" si="7"/>
        <v>50</v>
      </c>
      <c r="M259" s="22">
        <v>45474</v>
      </c>
      <c r="N259" s="44" t="s">
        <v>551</v>
      </c>
      <c r="O259" s="23" t="s">
        <v>16</v>
      </c>
      <c r="P259" s="24" t="s">
        <v>17</v>
      </c>
      <c r="Q259" s="28" t="s">
        <v>352</v>
      </c>
    </row>
    <row r="260" spans="1:17">
      <c r="A260" s="14">
        <v>256</v>
      </c>
      <c r="B260" s="29" t="s">
        <v>353</v>
      </c>
      <c r="C260" s="16">
        <f>'Медикаменты Август'!L256</f>
        <v>233</v>
      </c>
      <c r="D260" s="17"/>
      <c r="E260" s="14"/>
      <c r="F260" s="18">
        <f>5+5+10</f>
        <v>20</v>
      </c>
      <c r="G260" s="19"/>
      <c r="H260" s="20"/>
      <c r="I260" s="21"/>
      <c r="J260" s="14"/>
      <c r="K260" s="14">
        <f t="shared" si="6"/>
        <v>20</v>
      </c>
      <c r="L260" s="16">
        <f t="shared" si="7"/>
        <v>213</v>
      </c>
      <c r="M260" s="22">
        <v>44652</v>
      </c>
      <c r="N260" s="44" t="s">
        <v>45</v>
      </c>
      <c r="O260" s="23" t="s">
        <v>16</v>
      </c>
      <c r="P260" s="24" t="s">
        <v>17</v>
      </c>
      <c r="Q260" s="28" t="s">
        <v>354</v>
      </c>
    </row>
    <row r="261" spans="1:17">
      <c r="A261" s="14">
        <v>257</v>
      </c>
      <c r="B261" s="29" t="s">
        <v>355</v>
      </c>
      <c r="C261" s="16">
        <f>'Медикаменты Август'!L257</f>
        <v>8</v>
      </c>
      <c r="D261" s="17"/>
      <c r="E261" s="14"/>
      <c r="F261" s="18"/>
      <c r="G261" s="19"/>
      <c r="H261" s="20"/>
      <c r="I261" s="21"/>
      <c r="J261" s="14"/>
      <c r="K261" s="14">
        <f t="shared" ref="K261:K324" si="8">SUM(F261:J261)</f>
        <v>0</v>
      </c>
      <c r="L261" s="16">
        <f t="shared" ref="L261:L324" si="9">(C261+E261)-K261</f>
        <v>8</v>
      </c>
      <c r="M261" s="22">
        <v>44713</v>
      </c>
      <c r="N261" s="44" t="s">
        <v>45</v>
      </c>
      <c r="O261" s="23" t="s">
        <v>16</v>
      </c>
      <c r="P261" s="24" t="s">
        <v>17</v>
      </c>
      <c r="Q261" s="28" t="s">
        <v>356</v>
      </c>
    </row>
    <row r="262" spans="1:17">
      <c r="A262" s="14">
        <v>258</v>
      </c>
      <c r="B262" s="29" t="s">
        <v>357</v>
      </c>
      <c r="C262" s="16">
        <f>'Медикаменты Август'!L258</f>
        <v>0</v>
      </c>
      <c r="D262" s="17"/>
      <c r="E262" s="14"/>
      <c r="F262" s="18"/>
      <c r="G262" s="19"/>
      <c r="H262" s="20"/>
      <c r="I262" s="21"/>
      <c r="J262" s="14"/>
      <c r="K262" s="14">
        <f t="shared" si="8"/>
        <v>0</v>
      </c>
      <c r="L262" s="16">
        <f t="shared" si="9"/>
        <v>0</v>
      </c>
      <c r="M262" s="22"/>
      <c r="N262" s="44"/>
      <c r="O262" s="23" t="s">
        <v>16</v>
      </c>
      <c r="P262" s="24"/>
      <c r="Q262" s="45"/>
    </row>
    <row r="263" spans="1:17">
      <c r="A263" s="14">
        <v>259</v>
      </c>
      <c r="B263" s="29" t="s">
        <v>633</v>
      </c>
      <c r="C263" s="16">
        <f>'Медикаменты Август'!L259</f>
        <v>15</v>
      </c>
      <c r="D263" s="17"/>
      <c r="E263" s="14"/>
      <c r="F263" s="18">
        <f>8</f>
        <v>8</v>
      </c>
      <c r="G263" s="19"/>
      <c r="H263" s="20">
        <f>3</f>
        <v>3</v>
      </c>
      <c r="I263" s="21"/>
      <c r="J263" s="14">
        <f>1</f>
        <v>1</v>
      </c>
      <c r="K263" s="14">
        <f t="shared" si="8"/>
        <v>12</v>
      </c>
      <c r="L263" s="16">
        <f t="shared" si="9"/>
        <v>3</v>
      </c>
      <c r="M263" s="22">
        <v>45352</v>
      </c>
      <c r="N263" s="44" t="s">
        <v>551</v>
      </c>
      <c r="O263" s="23" t="s">
        <v>16</v>
      </c>
      <c r="P263" s="24" t="s">
        <v>17</v>
      </c>
      <c r="Q263" s="28" t="s">
        <v>634</v>
      </c>
    </row>
    <row r="264" spans="1:17">
      <c r="A264" s="14">
        <v>260</v>
      </c>
      <c r="B264" s="29" t="s">
        <v>360</v>
      </c>
      <c r="C264" s="16">
        <f>'Медикаменты Август'!L260</f>
        <v>0</v>
      </c>
      <c r="D264" s="17"/>
      <c r="E264" s="14">
        <f>50</f>
        <v>50</v>
      </c>
      <c r="F264" s="18"/>
      <c r="G264" s="19"/>
      <c r="H264" s="20"/>
      <c r="I264" s="21"/>
      <c r="J264" s="14"/>
      <c r="K264" s="14">
        <f t="shared" si="8"/>
        <v>0</v>
      </c>
      <c r="L264" s="16">
        <f t="shared" si="9"/>
        <v>50</v>
      </c>
      <c r="M264" s="22">
        <v>45352</v>
      </c>
      <c r="N264" s="44" t="s">
        <v>551</v>
      </c>
      <c r="O264" s="23" t="s">
        <v>16</v>
      </c>
      <c r="P264" s="24" t="s">
        <v>17</v>
      </c>
      <c r="Q264" s="28" t="s">
        <v>652</v>
      </c>
    </row>
    <row r="265" spans="1:17">
      <c r="A265" s="14">
        <v>261</v>
      </c>
      <c r="B265" s="29" t="s">
        <v>361</v>
      </c>
      <c r="C265" s="16">
        <f>'Медикаменты Август'!L261</f>
        <v>0</v>
      </c>
      <c r="D265" s="17"/>
      <c r="E265" s="14"/>
      <c r="F265" s="18"/>
      <c r="G265" s="19"/>
      <c r="H265" s="20"/>
      <c r="I265" s="21"/>
      <c r="J265" s="14"/>
      <c r="K265" s="14">
        <f t="shared" si="8"/>
        <v>0</v>
      </c>
      <c r="L265" s="16">
        <f t="shared" si="9"/>
        <v>0</v>
      </c>
      <c r="M265" s="22"/>
      <c r="N265" s="44"/>
      <c r="O265" s="23" t="s">
        <v>16</v>
      </c>
      <c r="P265" s="24"/>
      <c r="Q265" s="45"/>
    </row>
    <row r="266" spans="1:17">
      <c r="A266" s="14">
        <v>262</v>
      </c>
      <c r="B266" s="29" t="s">
        <v>362</v>
      </c>
      <c r="C266" s="16">
        <f>'Медикаменты Август'!L262</f>
        <v>0</v>
      </c>
      <c r="D266" s="17"/>
      <c r="E266" s="14"/>
      <c r="F266" s="18"/>
      <c r="G266" s="19"/>
      <c r="H266" s="20"/>
      <c r="I266" s="21"/>
      <c r="J266" s="14"/>
      <c r="K266" s="14">
        <f t="shared" si="8"/>
        <v>0</v>
      </c>
      <c r="L266" s="16">
        <f t="shared" si="9"/>
        <v>0</v>
      </c>
      <c r="M266" s="22">
        <v>45200</v>
      </c>
      <c r="N266" s="44"/>
      <c r="O266" s="23" t="s">
        <v>16</v>
      </c>
      <c r="P266" s="24"/>
      <c r="Q266" s="28" t="s">
        <v>363</v>
      </c>
    </row>
    <row r="267" spans="1:17">
      <c r="A267" s="14">
        <v>263</v>
      </c>
      <c r="B267" s="29" t="s">
        <v>364</v>
      </c>
      <c r="C267" s="16">
        <f>'Медикаменты Август'!L263</f>
        <v>0</v>
      </c>
      <c r="D267" s="17"/>
      <c r="E267" s="14"/>
      <c r="F267" s="18"/>
      <c r="G267" s="19"/>
      <c r="H267" s="20"/>
      <c r="I267" s="21"/>
      <c r="J267" s="14"/>
      <c r="K267" s="14">
        <f t="shared" si="8"/>
        <v>0</v>
      </c>
      <c r="L267" s="16">
        <f t="shared" si="9"/>
        <v>0</v>
      </c>
      <c r="M267" s="22">
        <v>44378</v>
      </c>
      <c r="N267" s="44"/>
      <c r="O267" s="23" t="s">
        <v>26</v>
      </c>
      <c r="P267" s="24"/>
      <c r="Q267" s="45"/>
    </row>
    <row r="268" spans="1:17">
      <c r="A268" s="14">
        <v>264</v>
      </c>
      <c r="B268" s="29" t="s">
        <v>365</v>
      </c>
      <c r="C268" s="16">
        <f>'Медикаменты Август'!L264</f>
        <v>0</v>
      </c>
      <c r="D268" s="17"/>
      <c r="E268" s="14"/>
      <c r="F268" s="18"/>
      <c r="G268" s="19"/>
      <c r="H268" s="20"/>
      <c r="I268" s="21"/>
      <c r="J268" s="14"/>
      <c r="K268" s="14">
        <f t="shared" si="8"/>
        <v>0</v>
      </c>
      <c r="L268" s="16">
        <f t="shared" si="9"/>
        <v>0</v>
      </c>
      <c r="M268" s="22"/>
      <c r="N268" s="44"/>
      <c r="O268" s="23" t="s">
        <v>16</v>
      </c>
      <c r="P268" s="24"/>
      <c r="Q268" s="45"/>
    </row>
    <row r="269" spans="1:17">
      <c r="A269" s="14">
        <v>265</v>
      </c>
      <c r="B269" s="29" t="s">
        <v>556</v>
      </c>
      <c r="C269" s="16">
        <f>'Медикаменты Август'!L265</f>
        <v>6</v>
      </c>
      <c r="D269" s="17"/>
      <c r="E269" s="14"/>
      <c r="F269" s="18">
        <f>1</f>
        <v>1</v>
      </c>
      <c r="G269" s="19"/>
      <c r="H269" s="20"/>
      <c r="I269" s="21"/>
      <c r="J269" s="14"/>
      <c r="K269" s="14">
        <f t="shared" si="8"/>
        <v>1</v>
      </c>
      <c r="L269" s="16">
        <f t="shared" si="9"/>
        <v>5</v>
      </c>
      <c r="M269" s="22">
        <v>45231</v>
      </c>
      <c r="N269" s="44" t="s">
        <v>551</v>
      </c>
      <c r="O269" s="23" t="s">
        <v>16</v>
      </c>
      <c r="P269" s="24" t="s">
        <v>17</v>
      </c>
      <c r="Q269" s="28" t="s">
        <v>557</v>
      </c>
    </row>
    <row r="270" spans="1:17">
      <c r="A270" s="14">
        <v>266</v>
      </c>
      <c r="B270" s="29" t="s">
        <v>556</v>
      </c>
      <c r="C270" s="16">
        <f>'Медикаменты Август'!L266</f>
        <v>0</v>
      </c>
      <c r="D270" s="17"/>
      <c r="E270" s="14"/>
      <c r="F270" s="18"/>
      <c r="G270" s="19"/>
      <c r="H270" s="20"/>
      <c r="I270" s="21"/>
      <c r="J270" s="14"/>
      <c r="K270" s="14">
        <f t="shared" si="8"/>
        <v>0</v>
      </c>
      <c r="L270" s="16">
        <f t="shared" si="9"/>
        <v>0</v>
      </c>
      <c r="M270" s="22">
        <v>45231</v>
      </c>
      <c r="N270" s="44" t="s">
        <v>551</v>
      </c>
      <c r="O270" s="23" t="s">
        <v>26</v>
      </c>
      <c r="P270" s="24" t="s">
        <v>17</v>
      </c>
      <c r="Q270" s="28" t="s">
        <v>557</v>
      </c>
    </row>
    <row r="271" spans="1:17">
      <c r="A271" s="14">
        <v>267</v>
      </c>
      <c r="B271" s="29" t="s">
        <v>367</v>
      </c>
      <c r="C271" s="16">
        <f>'Медикаменты Август'!L267</f>
        <v>0</v>
      </c>
      <c r="D271" s="17"/>
      <c r="E271" s="14"/>
      <c r="F271" s="18"/>
      <c r="G271" s="19"/>
      <c r="H271" s="20"/>
      <c r="I271" s="21"/>
      <c r="J271" s="14"/>
      <c r="K271" s="14">
        <f t="shared" si="8"/>
        <v>0</v>
      </c>
      <c r="L271" s="16">
        <f t="shared" si="9"/>
        <v>0</v>
      </c>
      <c r="M271" s="22">
        <v>45261</v>
      </c>
      <c r="N271" s="44" t="s">
        <v>45</v>
      </c>
      <c r="O271" s="23" t="s">
        <v>16</v>
      </c>
      <c r="P271" s="24" t="s">
        <v>17</v>
      </c>
      <c r="Q271" s="28" t="s">
        <v>368</v>
      </c>
    </row>
    <row r="272" spans="1:17">
      <c r="A272" s="14">
        <v>268</v>
      </c>
      <c r="B272" s="29" t="s">
        <v>369</v>
      </c>
      <c r="C272" s="16">
        <f>'Медикаменты Август'!L268</f>
        <v>0</v>
      </c>
      <c r="D272" s="17"/>
      <c r="E272" s="14"/>
      <c r="F272" s="18"/>
      <c r="G272" s="19"/>
      <c r="H272" s="20"/>
      <c r="I272" s="21"/>
      <c r="J272" s="14"/>
      <c r="K272" s="14">
        <f t="shared" si="8"/>
        <v>0</v>
      </c>
      <c r="L272" s="16">
        <f t="shared" si="9"/>
        <v>0</v>
      </c>
      <c r="M272" s="22">
        <v>44927</v>
      </c>
      <c r="N272" s="44" t="s">
        <v>45</v>
      </c>
      <c r="O272" s="23" t="s">
        <v>16</v>
      </c>
      <c r="P272" s="24" t="s">
        <v>45</v>
      </c>
      <c r="Q272" s="28" t="s">
        <v>370</v>
      </c>
    </row>
    <row r="273" spans="1:17">
      <c r="A273" s="14">
        <v>269</v>
      </c>
      <c r="B273" s="29" t="s">
        <v>371</v>
      </c>
      <c r="C273" s="16">
        <f>'Медикаменты Август'!L269</f>
        <v>0</v>
      </c>
      <c r="D273" s="17"/>
      <c r="E273" s="14"/>
      <c r="F273" s="18"/>
      <c r="G273" s="19"/>
      <c r="H273" s="20"/>
      <c r="I273" s="21"/>
      <c r="J273" s="14"/>
      <c r="K273" s="14">
        <f t="shared" si="8"/>
        <v>0</v>
      </c>
      <c r="L273" s="16">
        <f t="shared" si="9"/>
        <v>0</v>
      </c>
      <c r="M273" s="22">
        <v>45413</v>
      </c>
      <c r="N273" s="44"/>
      <c r="O273" s="23" t="s">
        <v>16</v>
      </c>
      <c r="P273" s="24" t="s">
        <v>17</v>
      </c>
      <c r="Q273" s="28" t="s">
        <v>372</v>
      </c>
    </row>
    <row r="274" spans="1:17">
      <c r="A274" s="14">
        <v>270</v>
      </c>
      <c r="B274" s="29" t="s">
        <v>371</v>
      </c>
      <c r="C274" s="16">
        <f>'Медикаменты Август'!L270</f>
        <v>0</v>
      </c>
      <c r="D274" s="17"/>
      <c r="E274" s="14"/>
      <c r="F274" s="18"/>
      <c r="G274" s="19"/>
      <c r="H274" s="20"/>
      <c r="I274" s="21"/>
      <c r="J274" s="14"/>
      <c r="K274" s="14">
        <f t="shared" si="8"/>
        <v>0</v>
      </c>
      <c r="L274" s="16">
        <f t="shared" si="9"/>
        <v>0</v>
      </c>
      <c r="M274" s="22">
        <v>45413</v>
      </c>
      <c r="N274" s="44"/>
      <c r="O274" s="23" t="s">
        <v>26</v>
      </c>
      <c r="P274" s="24"/>
      <c r="Q274" s="28" t="s">
        <v>372</v>
      </c>
    </row>
    <row r="275" spans="1:17">
      <c r="A275" s="14">
        <v>271</v>
      </c>
      <c r="B275" s="29" t="s">
        <v>373</v>
      </c>
      <c r="C275" s="16">
        <f>'Медикаменты Август'!L271</f>
        <v>0</v>
      </c>
      <c r="D275" s="17"/>
      <c r="E275" s="14"/>
      <c r="F275" s="18"/>
      <c r="G275" s="19"/>
      <c r="H275" s="20"/>
      <c r="I275" s="21"/>
      <c r="J275" s="14"/>
      <c r="K275" s="14">
        <f t="shared" si="8"/>
        <v>0</v>
      </c>
      <c r="L275" s="16">
        <f t="shared" si="9"/>
        <v>0</v>
      </c>
      <c r="M275" s="22">
        <v>45108</v>
      </c>
      <c r="N275" s="44"/>
      <c r="O275" s="23" t="s">
        <v>16</v>
      </c>
      <c r="P275" s="24"/>
      <c r="Q275" s="28" t="s">
        <v>374</v>
      </c>
    </row>
    <row r="276" spans="1:17">
      <c r="A276" s="14">
        <v>272</v>
      </c>
      <c r="B276" s="29" t="s">
        <v>373</v>
      </c>
      <c r="C276" s="16">
        <f>'Медикаменты Август'!L272</f>
        <v>0</v>
      </c>
      <c r="D276" s="17"/>
      <c r="E276" s="14"/>
      <c r="F276" s="18"/>
      <c r="G276" s="19"/>
      <c r="H276" s="20"/>
      <c r="I276" s="21"/>
      <c r="J276" s="14"/>
      <c r="K276" s="14">
        <f t="shared" si="8"/>
        <v>0</v>
      </c>
      <c r="L276" s="16">
        <f t="shared" si="9"/>
        <v>0</v>
      </c>
      <c r="M276" s="22">
        <v>45108</v>
      </c>
      <c r="N276" s="44"/>
      <c r="O276" s="23" t="s">
        <v>26</v>
      </c>
      <c r="P276" s="24"/>
      <c r="Q276" s="28" t="s">
        <v>374</v>
      </c>
    </row>
    <row r="277" spans="1:17">
      <c r="A277" s="14">
        <v>273</v>
      </c>
      <c r="B277" s="29" t="s">
        <v>653</v>
      </c>
      <c r="C277" s="16">
        <f>'Медикаменты Август'!L273</f>
        <v>0</v>
      </c>
      <c r="D277" s="17"/>
      <c r="E277" s="14">
        <f>80</f>
        <v>80</v>
      </c>
      <c r="F277" s="18"/>
      <c r="G277" s="19"/>
      <c r="H277" s="20"/>
      <c r="I277" s="21"/>
      <c r="J277" s="14"/>
      <c r="K277" s="14">
        <f t="shared" si="8"/>
        <v>0</v>
      </c>
      <c r="L277" s="16">
        <f t="shared" si="9"/>
        <v>80</v>
      </c>
      <c r="M277" s="22">
        <v>45444</v>
      </c>
      <c r="N277" s="44" t="s">
        <v>551</v>
      </c>
      <c r="O277" s="23" t="s">
        <v>16</v>
      </c>
      <c r="P277" s="24" t="s">
        <v>17</v>
      </c>
      <c r="Q277" s="28" t="s">
        <v>654</v>
      </c>
    </row>
    <row r="278" spans="1:17">
      <c r="A278" s="14">
        <v>274</v>
      </c>
      <c r="B278" s="29" t="s">
        <v>375</v>
      </c>
      <c r="C278" s="16">
        <f>'Медикаменты Август'!L274</f>
        <v>0</v>
      </c>
      <c r="D278" s="17"/>
      <c r="E278" s="14"/>
      <c r="F278" s="18"/>
      <c r="G278" s="19"/>
      <c r="H278" s="20"/>
      <c r="I278" s="21"/>
      <c r="J278" s="14"/>
      <c r="K278" s="14">
        <f t="shared" si="8"/>
        <v>0</v>
      </c>
      <c r="L278" s="16">
        <f t="shared" si="9"/>
        <v>0</v>
      </c>
      <c r="M278" s="22">
        <v>44958</v>
      </c>
      <c r="N278" s="44"/>
      <c r="O278" s="23" t="s">
        <v>26</v>
      </c>
      <c r="P278" s="24"/>
      <c r="Q278" s="28" t="s">
        <v>376</v>
      </c>
    </row>
    <row r="279" spans="1:17">
      <c r="A279" s="14">
        <v>275</v>
      </c>
      <c r="B279" s="29" t="s">
        <v>377</v>
      </c>
      <c r="C279" s="16">
        <f>'Медикаменты Август'!L275</f>
        <v>185</v>
      </c>
      <c r="D279" s="17"/>
      <c r="E279" s="14">
        <f>160+40+40+160</f>
        <v>400</v>
      </c>
      <c r="F279" s="18">
        <f>15+15</f>
        <v>30</v>
      </c>
      <c r="G279" s="19"/>
      <c r="H279" s="20">
        <f>10+10</f>
        <v>20</v>
      </c>
      <c r="I279" s="21"/>
      <c r="J279" s="14"/>
      <c r="K279" s="14">
        <f t="shared" si="8"/>
        <v>50</v>
      </c>
      <c r="L279" s="16">
        <f t="shared" si="9"/>
        <v>535</v>
      </c>
      <c r="M279" s="22">
        <v>45230</v>
      </c>
      <c r="N279" s="44" t="s">
        <v>551</v>
      </c>
      <c r="O279" s="23" t="s">
        <v>16</v>
      </c>
      <c r="P279" s="24" t="s">
        <v>17</v>
      </c>
      <c r="Q279" s="28" t="s">
        <v>378</v>
      </c>
    </row>
    <row r="280" spans="1:17">
      <c r="A280" s="14">
        <v>276</v>
      </c>
      <c r="B280" s="29" t="s">
        <v>377</v>
      </c>
      <c r="C280" s="16">
        <f>'Медикаменты Август'!L276</f>
        <v>0</v>
      </c>
      <c r="D280" s="17"/>
      <c r="E280" s="14"/>
      <c r="F280" s="18"/>
      <c r="G280" s="19"/>
      <c r="H280" s="20"/>
      <c r="I280" s="21"/>
      <c r="J280" s="14"/>
      <c r="K280" s="14">
        <f t="shared" si="8"/>
        <v>0</v>
      </c>
      <c r="L280" s="16">
        <f t="shared" si="9"/>
        <v>0</v>
      </c>
      <c r="M280" s="22">
        <v>45170</v>
      </c>
      <c r="N280" s="44"/>
      <c r="O280" s="23" t="s">
        <v>26</v>
      </c>
      <c r="P280" s="24" t="s">
        <v>17</v>
      </c>
      <c r="Q280" s="28" t="s">
        <v>378</v>
      </c>
    </row>
    <row r="281" spans="1:17">
      <c r="A281" s="14">
        <v>277</v>
      </c>
      <c r="B281" s="29" t="s">
        <v>379</v>
      </c>
      <c r="C281" s="16">
        <f>'Медикаменты Август'!L277</f>
        <v>185</v>
      </c>
      <c r="D281" s="17"/>
      <c r="E281" s="14"/>
      <c r="F281" s="18">
        <f>5</f>
        <v>5</v>
      </c>
      <c r="G281" s="19"/>
      <c r="H281" s="20"/>
      <c r="I281" s="21"/>
      <c r="J281" s="14"/>
      <c r="K281" s="14">
        <f t="shared" si="8"/>
        <v>5</v>
      </c>
      <c r="L281" s="16">
        <f t="shared" si="9"/>
        <v>180</v>
      </c>
      <c r="M281" s="22">
        <v>45292</v>
      </c>
      <c r="N281" s="44" t="s">
        <v>551</v>
      </c>
      <c r="O281" s="23" t="s">
        <v>16</v>
      </c>
      <c r="P281" s="24" t="s">
        <v>17</v>
      </c>
      <c r="Q281" s="28"/>
    </row>
    <row r="282" spans="1:17">
      <c r="A282" s="14">
        <v>278</v>
      </c>
      <c r="B282" s="29" t="s">
        <v>380</v>
      </c>
      <c r="C282" s="16">
        <f>'Медикаменты Август'!L278</f>
        <v>0</v>
      </c>
      <c r="D282" s="17"/>
      <c r="E282" s="14"/>
      <c r="F282" s="18"/>
      <c r="G282" s="19"/>
      <c r="H282" s="20"/>
      <c r="I282" s="21"/>
      <c r="J282" s="14"/>
      <c r="K282" s="14">
        <f t="shared" si="8"/>
        <v>0</v>
      </c>
      <c r="L282" s="16">
        <f t="shared" si="9"/>
        <v>0</v>
      </c>
      <c r="M282" s="22">
        <v>44682</v>
      </c>
      <c r="N282" s="44"/>
      <c r="O282" s="23" t="s">
        <v>16</v>
      </c>
      <c r="P282" s="24" t="s">
        <v>45</v>
      </c>
      <c r="Q282" s="28" t="s">
        <v>381</v>
      </c>
    </row>
    <row r="283" spans="1:17">
      <c r="A283" s="14">
        <v>279</v>
      </c>
      <c r="B283" s="29" t="s">
        <v>382</v>
      </c>
      <c r="C283" s="16">
        <f>'Медикаменты Август'!L279</f>
        <v>0</v>
      </c>
      <c r="D283" s="17"/>
      <c r="E283" s="14"/>
      <c r="F283" s="18"/>
      <c r="G283" s="19"/>
      <c r="H283" s="20"/>
      <c r="I283" s="21"/>
      <c r="J283" s="14"/>
      <c r="K283" s="14">
        <f t="shared" si="8"/>
        <v>0</v>
      </c>
      <c r="L283" s="16">
        <f t="shared" si="9"/>
        <v>0</v>
      </c>
      <c r="M283" s="22">
        <v>44743</v>
      </c>
      <c r="N283" s="44"/>
      <c r="O283" s="23" t="s">
        <v>16</v>
      </c>
      <c r="P283" s="24"/>
      <c r="Q283" s="28" t="s">
        <v>383</v>
      </c>
    </row>
    <row r="284" spans="1:17">
      <c r="A284" s="14">
        <v>280</v>
      </c>
      <c r="B284" s="29" t="s">
        <v>384</v>
      </c>
      <c r="C284" s="16">
        <f>'Медикаменты Август'!L280</f>
        <v>0</v>
      </c>
      <c r="D284" s="17"/>
      <c r="E284" s="14"/>
      <c r="F284" s="18"/>
      <c r="G284" s="19"/>
      <c r="H284" s="20"/>
      <c r="I284" s="21"/>
      <c r="J284" s="14"/>
      <c r="K284" s="14">
        <f t="shared" si="8"/>
        <v>0</v>
      </c>
      <c r="L284" s="16">
        <f t="shared" si="9"/>
        <v>0</v>
      </c>
      <c r="M284" s="22"/>
      <c r="N284" s="44"/>
      <c r="O284" s="23" t="s">
        <v>16</v>
      </c>
      <c r="P284" s="24"/>
      <c r="Q284" s="45"/>
    </row>
    <row r="285" spans="1:17">
      <c r="A285" s="14">
        <v>281</v>
      </c>
      <c r="B285" s="29" t="s">
        <v>385</v>
      </c>
      <c r="C285" s="16">
        <f>'Медикаменты Август'!L281</f>
        <v>0</v>
      </c>
      <c r="D285" s="17"/>
      <c r="E285" s="14"/>
      <c r="F285" s="18"/>
      <c r="G285" s="19"/>
      <c r="H285" s="20"/>
      <c r="I285" s="21"/>
      <c r="J285" s="14"/>
      <c r="K285" s="14">
        <f t="shared" si="8"/>
        <v>0</v>
      </c>
      <c r="L285" s="16">
        <f t="shared" si="9"/>
        <v>0</v>
      </c>
      <c r="M285" s="22"/>
      <c r="N285" s="44"/>
      <c r="O285" s="23" t="s">
        <v>16</v>
      </c>
      <c r="P285" s="24"/>
      <c r="Q285" s="45"/>
    </row>
    <row r="286" spans="1:17">
      <c r="A286" s="14">
        <v>282</v>
      </c>
      <c r="B286" s="29" t="s">
        <v>610</v>
      </c>
      <c r="C286" s="16">
        <f>'Медикаменты Август'!L282</f>
        <v>80</v>
      </c>
      <c r="D286" s="17"/>
      <c r="E286" s="14"/>
      <c r="F286" s="18">
        <f>5</f>
        <v>5</v>
      </c>
      <c r="G286" s="19"/>
      <c r="H286" s="20"/>
      <c r="I286" s="21"/>
      <c r="J286" s="14"/>
      <c r="K286" s="14">
        <f t="shared" si="8"/>
        <v>5</v>
      </c>
      <c r="L286" s="16">
        <f t="shared" si="9"/>
        <v>75</v>
      </c>
      <c r="M286" s="22">
        <v>45444</v>
      </c>
      <c r="N286" s="44" t="s">
        <v>551</v>
      </c>
      <c r="O286" s="23" t="s">
        <v>16</v>
      </c>
      <c r="P286" s="24" t="s">
        <v>45</v>
      </c>
      <c r="Q286" s="28" t="s">
        <v>611</v>
      </c>
    </row>
    <row r="287" spans="1:17">
      <c r="A287" s="14">
        <v>283</v>
      </c>
      <c r="B287" s="29" t="s">
        <v>635</v>
      </c>
      <c r="C287" s="16">
        <f>'Медикаменты Август'!L283</f>
        <v>100</v>
      </c>
      <c r="D287" s="17"/>
      <c r="E287" s="14"/>
      <c r="F287" s="18">
        <f>10</f>
        <v>10</v>
      </c>
      <c r="G287" s="19"/>
      <c r="H287" s="20"/>
      <c r="I287" s="21"/>
      <c r="J287" s="14"/>
      <c r="K287" s="14">
        <f t="shared" si="8"/>
        <v>10</v>
      </c>
      <c r="L287" s="16">
        <f t="shared" si="9"/>
        <v>90</v>
      </c>
      <c r="M287" s="22">
        <v>45323</v>
      </c>
      <c r="N287" s="44" t="s">
        <v>551</v>
      </c>
      <c r="O287" s="23" t="s">
        <v>16</v>
      </c>
      <c r="P287" s="24" t="s">
        <v>17</v>
      </c>
      <c r="Q287" s="28" t="s">
        <v>636</v>
      </c>
    </row>
    <row r="288" spans="1:17">
      <c r="A288" s="14">
        <v>284</v>
      </c>
      <c r="B288" s="29" t="s">
        <v>387</v>
      </c>
      <c r="C288" s="16">
        <f>'Медикаменты Август'!L284</f>
        <v>0</v>
      </c>
      <c r="D288" s="17"/>
      <c r="E288" s="14"/>
      <c r="F288" s="18"/>
      <c r="G288" s="19"/>
      <c r="H288" s="20"/>
      <c r="I288" s="21"/>
      <c r="J288" s="14"/>
      <c r="K288" s="14">
        <f t="shared" si="8"/>
        <v>0</v>
      </c>
      <c r="L288" s="16">
        <f t="shared" si="9"/>
        <v>0</v>
      </c>
      <c r="M288" s="22"/>
      <c r="N288" s="44"/>
      <c r="O288" s="23" t="s">
        <v>16</v>
      </c>
      <c r="P288" s="24"/>
      <c r="Q288" s="45"/>
    </row>
    <row r="289" spans="1:17">
      <c r="A289" s="14">
        <v>285</v>
      </c>
      <c r="B289" s="29" t="s">
        <v>388</v>
      </c>
      <c r="C289" s="16">
        <f>'Медикаменты Август'!L285</f>
        <v>0</v>
      </c>
      <c r="D289" s="17"/>
      <c r="E289" s="14"/>
      <c r="F289" s="18"/>
      <c r="G289" s="19"/>
      <c r="H289" s="20"/>
      <c r="I289" s="21"/>
      <c r="J289" s="14"/>
      <c r="K289" s="14">
        <f t="shared" si="8"/>
        <v>0</v>
      </c>
      <c r="L289" s="16">
        <f t="shared" si="9"/>
        <v>0</v>
      </c>
      <c r="M289" s="22">
        <v>45139</v>
      </c>
      <c r="N289" s="44"/>
      <c r="O289" s="23" t="s">
        <v>16</v>
      </c>
      <c r="P289" s="24"/>
      <c r="Q289" s="28" t="s">
        <v>389</v>
      </c>
    </row>
    <row r="290" spans="1:17">
      <c r="A290" s="14">
        <v>286</v>
      </c>
      <c r="B290" s="29" t="s">
        <v>390</v>
      </c>
      <c r="C290" s="16">
        <f>'Медикаменты Август'!L286</f>
        <v>0</v>
      </c>
      <c r="D290" s="26"/>
      <c r="E290" s="14"/>
      <c r="F290" s="18"/>
      <c r="G290" s="19"/>
      <c r="H290" s="20"/>
      <c r="I290" s="21"/>
      <c r="J290" s="14"/>
      <c r="K290" s="14">
        <f t="shared" si="8"/>
        <v>0</v>
      </c>
      <c r="L290" s="16">
        <f t="shared" si="9"/>
        <v>0</v>
      </c>
      <c r="M290" s="22"/>
      <c r="N290" s="44"/>
      <c r="O290" s="23" t="s">
        <v>16</v>
      </c>
      <c r="P290" s="24"/>
      <c r="Q290" s="28" t="s">
        <v>391</v>
      </c>
    </row>
    <row r="291" spans="1:17">
      <c r="A291" s="14">
        <v>287</v>
      </c>
      <c r="B291" s="29" t="s">
        <v>392</v>
      </c>
      <c r="C291" s="16">
        <f>'Медикаменты Август'!L287</f>
        <v>0</v>
      </c>
      <c r="D291" s="17"/>
      <c r="E291" s="14"/>
      <c r="F291" s="18"/>
      <c r="G291" s="19"/>
      <c r="H291" s="20"/>
      <c r="I291" s="21"/>
      <c r="J291" s="14"/>
      <c r="K291" s="14">
        <f t="shared" si="8"/>
        <v>0</v>
      </c>
      <c r="L291" s="16">
        <f t="shared" si="9"/>
        <v>0</v>
      </c>
      <c r="M291" s="22"/>
      <c r="N291" s="44"/>
      <c r="O291" s="23" t="s">
        <v>16</v>
      </c>
      <c r="P291" s="24"/>
      <c r="Q291" s="45"/>
    </row>
    <row r="292" spans="1:17">
      <c r="A292" s="14">
        <v>288</v>
      </c>
      <c r="B292" s="29" t="s">
        <v>573</v>
      </c>
      <c r="C292" s="16">
        <f>'Медикаменты Август'!L288</f>
        <v>4</v>
      </c>
      <c r="D292" s="17"/>
      <c r="E292" s="14"/>
      <c r="F292" s="18"/>
      <c r="G292" s="19"/>
      <c r="H292" s="20"/>
      <c r="I292" s="21"/>
      <c r="J292" s="14"/>
      <c r="K292" s="14">
        <f t="shared" si="8"/>
        <v>0</v>
      </c>
      <c r="L292" s="16">
        <f t="shared" si="9"/>
        <v>4</v>
      </c>
      <c r="M292" s="22">
        <v>45047</v>
      </c>
      <c r="N292" s="44" t="s">
        <v>45</v>
      </c>
      <c r="O292" s="23" t="s">
        <v>16</v>
      </c>
      <c r="P292" s="24" t="s">
        <v>17</v>
      </c>
      <c r="Q292" s="28" t="s">
        <v>574</v>
      </c>
    </row>
    <row r="293" spans="1:17">
      <c r="A293" s="14">
        <v>289</v>
      </c>
      <c r="B293" s="29" t="s">
        <v>393</v>
      </c>
      <c r="C293" s="16">
        <f>'Медикаменты Август'!L289</f>
        <v>58</v>
      </c>
      <c r="D293" s="17"/>
      <c r="E293" s="14"/>
      <c r="F293" s="18">
        <f>5+5</f>
        <v>10</v>
      </c>
      <c r="G293" s="19"/>
      <c r="H293" s="20"/>
      <c r="I293" s="21"/>
      <c r="J293" s="14"/>
      <c r="K293" s="14">
        <f t="shared" si="8"/>
        <v>10</v>
      </c>
      <c r="L293" s="16">
        <f t="shared" si="9"/>
        <v>48</v>
      </c>
      <c r="M293" s="22">
        <v>44652</v>
      </c>
      <c r="N293" s="44" t="s">
        <v>45</v>
      </c>
      <c r="O293" s="23" t="s">
        <v>16</v>
      </c>
      <c r="P293" s="24" t="s">
        <v>17</v>
      </c>
      <c r="Q293" s="28" t="s">
        <v>394</v>
      </c>
    </row>
    <row r="294" spans="1:17">
      <c r="A294" s="14">
        <v>290</v>
      </c>
      <c r="B294" s="29" t="s">
        <v>395</v>
      </c>
      <c r="C294" s="16">
        <f>'Медикаменты Август'!L290</f>
        <v>80</v>
      </c>
      <c r="D294" s="17"/>
      <c r="E294" s="14"/>
      <c r="F294" s="18">
        <f>10</f>
        <v>10</v>
      </c>
      <c r="G294" s="19"/>
      <c r="H294" s="20"/>
      <c r="I294" s="21"/>
      <c r="J294" s="14"/>
      <c r="K294" s="14">
        <f t="shared" si="8"/>
        <v>10</v>
      </c>
      <c r="L294" s="16">
        <f t="shared" si="9"/>
        <v>70</v>
      </c>
      <c r="M294" s="22">
        <v>45689</v>
      </c>
      <c r="N294" s="44" t="s">
        <v>551</v>
      </c>
      <c r="O294" s="23" t="s">
        <v>16</v>
      </c>
      <c r="P294" s="24" t="s">
        <v>17</v>
      </c>
      <c r="Q294" s="28" t="s">
        <v>396</v>
      </c>
    </row>
    <row r="295" spans="1:17">
      <c r="A295" s="14">
        <v>291</v>
      </c>
      <c r="B295" s="29" t="s">
        <v>397</v>
      </c>
      <c r="C295" s="16">
        <f>'Медикаменты Август'!L291</f>
        <v>26</v>
      </c>
      <c r="D295" s="17"/>
      <c r="E295" s="14"/>
      <c r="F295" s="18">
        <f>5</f>
        <v>5</v>
      </c>
      <c r="G295" s="19"/>
      <c r="H295" s="20"/>
      <c r="I295" s="21"/>
      <c r="J295" s="14"/>
      <c r="K295" s="14">
        <f t="shared" si="8"/>
        <v>5</v>
      </c>
      <c r="L295" s="16">
        <f t="shared" si="9"/>
        <v>21</v>
      </c>
      <c r="M295" s="22">
        <v>45689</v>
      </c>
      <c r="N295" s="44" t="s">
        <v>45</v>
      </c>
      <c r="O295" s="23" t="s">
        <v>16</v>
      </c>
      <c r="P295" s="24" t="s">
        <v>17</v>
      </c>
      <c r="Q295" s="28" t="s">
        <v>587</v>
      </c>
    </row>
    <row r="296" spans="1:17">
      <c r="A296" s="14">
        <v>292</v>
      </c>
      <c r="B296" s="29" t="s">
        <v>398</v>
      </c>
      <c r="C296" s="16">
        <f>'Медикаменты Август'!L292</f>
        <v>0</v>
      </c>
      <c r="D296" s="17"/>
      <c r="E296" s="14"/>
      <c r="F296" s="18"/>
      <c r="G296" s="19"/>
      <c r="H296" s="20"/>
      <c r="I296" s="21"/>
      <c r="J296" s="14"/>
      <c r="K296" s="14">
        <f t="shared" si="8"/>
        <v>0</v>
      </c>
      <c r="L296" s="16">
        <f t="shared" si="9"/>
        <v>0</v>
      </c>
      <c r="M296" s="22">
        <v>44256</v>
      </c>
      <c r="N296" s="44"/>
      <c r="O296" s="23" t="s">
        <v>16</v>
      </c>
      <c r="P296" s="24"/>
      <c r="Q296" s="28" t="s">
        <v>399</v>
      </c>
    </row>
    <row r="297" spans="1:17">
      <c r="A297" s="14">
        <v>293</v>
      </c>
      <c r="B297" s="29" t="s">
        <v>400</v>
      </c>
      <c r="C297" s="16">
        <f>'Медикаменты Август'!L293</f>
        <v>0</v>
      </c>
      <c r="D297" s="17"/>
      <c r="E297" s="14"/>
      <c r="F297" s="18"/>
      <c r="G297" s="19"/>
      <c r="H297" s="20"/>
      <c r="I297" s="21"/>
      <c r="J297" s="14"/>
      <c r="K297" s="14">
        <f t="shared" si="8"/>
        <v>0</v>
      </c>
      <c r="L297" s="16">
        <f t="shared" si="9"/>
        <v>0</v>
      </c>
      <c r="M297" s="22">
        <v>44531</v>
      </c>
      <c r="N297" s="44"/>
      <c r="O297" s="23" t="s">
        <v>16</v>
      </c>
      <c r="P297" s="24" t="s">
        <v>45</v>
      </c>
      <c r="Q297" s="28" t="s">
        <v>401</v>
      </c>
    </row>
    <row r="298" spans="1:17">
      <c r="A298" s="14">
        <v>294</v>
      </c>
      <c r="B298" s="29" t="s">
        <v>637</v>
      </c>
      <c r="C298" s="16">
        <f>'Медикаменты Август'!L294</f>
        <v>0</v>
      </c>
      <c r="D298" s="17"/>
      <c r="E298" s="14"/>
      <c r="F298" s="18"/>
      <c r="G298" s="19"/>
      <c r="H298" s="20"/>
      <c r="I298" s="21"/>
      <c r="J298" s="14"/>
      <c r="K298" s="14">
        <f t="shared" si="8"/>
        <v>0</v>
      </c>
      <c r="L298" s="16">
        <f t="shared" si="9"/>
        <v>0</v>
      </c>
      <c r="M298" s="22">
        <v>45108</v>
      </c>
      <c r="N298" s="44"/>
      <c r="O298" s="23" t="s">
        <v>26</v>
      </c>
      <c r="P298" s="24" t="s">
        <v>45</v>
      </c>
      <c r="Q298" s="28" t="s">
        <v>403</v>
      </c>
    </row>
    <row r="299" spans="1:17">
      <c r="A299" s="14">
        <v>295</v>
      </c>
      <c r="B299" s="29" t="s">
        <v>404</v>
      </c>
      <c r="C299" s="16">
        <f>'Медикаменты Август'!L295</f>
        <v>0</v>
      </c>
      <c r="D299" s="17"/>
      <c r="E299" s="14"/>
      <c r="F299" s="18"/>
      <c r="G299" s="19"/>
      <c r="H299" s="20"/>
      <c r="I299" s="21"/>
      <c r="J299" s="14"/>
      <c r="K299" s="14">
        <f t="shared" si="8"/>
        <v>0</v>
      </c>
      <c r="L299" s="16">
        <f t="shared" si="9"/>
        <v>0</v>
      </c>
      <c r="M299" s="22"/>
      <c r="N299" s="44"/>
      <c r="O299" s="23" t="s">
        <v>16</v>
      </c>
      <c r="P299" s="24"/>
      <c r="Q299" s="45"/>
    </row>
    <row r="300" spans="1:17">
      <c r="A300" s="14">
        <v>296</v>
      </c>
      <c r="B300" s="29" t="s">
        <v>549</v>
      </c>
      <c r="C300" s="16">
        <f>'Медикаменты Август'!L296</f>
        <v>0</v>
      </c>
      <c r="D300" s="17"/>
      <c r="E300" s="14"/>
      <c r="F300" s="18"/>
      <c r="G300" s="19"/>
      <c r="H300" s="20"/>
      <c r="I300" s="21"/>
      <c r="J300" s="14"/>
      <c r="K300" s="14">
        <f t="shared" si="8"/>
        <v>0</v>
      </c>
      <c r="L300" s="16">
        <f t="shared" si="9"/>
        <v>0</v>
      </c>
      <c r="M300" s="22">
        <v>44287</v>
      </c>
      <c r="N300" s="44"/>
      <c r="O300" s="23" t="s">
        <v>16</v>
      </c>
      <c r="P300" s="24" t="s">
        <v>45</v>
      </c>
      <c r="Q300" s="28" t="s">
        <v>406</v>
      </c>
    </row>
    <row r="301" spans="1:17">
      <c r="A301" s="14">
        <v>297</v>
      </c>
      <c r="B301" s="29" t="s">
        <v>407</v>
      </c>
      <c r="C301" s="16">
        <f>'Медикаменты Август'!L297</f>
        <v>0</v>
      </c>
      <c r="D301" s="17"/>
      <c r="E301" s="14"/>
      <c r="F301" s="18"/>
      <c r="G301" s="19"/>
      <c r="H301" s="20"/>
      <c r="I301" s="21"/>
      <c r="J301" s="14"/>
      <c r="K301" s="14">
        <f t="shared" si="8"/>
        <v>0</v>
      </c>
      <c r="L301" s="16">
        <f t="shared" si="9"/>
        <v>0</v>
      </c>
      <c r="M301" s="22">
        <v>44562</v>
      </c>
      <c r="N301" s="44"/>
      <c r="O301" s="23" t="s">
        <v>16</v>
      </c>
      <c r="P301" s="24" t="s">
        <v>17</v>
      </c>
      <c r="Q301" s="28" t="s">
        <v>408</v>
      </c>
    </row>
    <row r="302" spans="1:17">
      <c r="A302" s="14">
        <v>298</v>
      </c>
      <c r="B302" s="29" t="s">
        <v>409</v>
      </c>
      <c r="C302" s="16">
        <f>'Медикаменты Август'!L298</f>
        <v>220</v>
      </c>
      <c r="D302" s="17"/>
      <c r="E302" s="14"/>
      <c r="F302" s="18">
        <f>10</f>
        <v>10</v>
      </c>
      <c r="G302" s="19"/>
      <c r="H302" s="20"/>
      <c r="I302" s="21"/>
      <c r="J302" s="14"/>
      <c r="K302" s="14">
        <f t="shared" si="8"/>
        <v>10</v>
      </c>
      <c r="L302" s="16">
        <f t="shared" si="9"/>
        <v>210</v>
      </c>
      <c r="M302" s="22">
        <v>45139</v>
      </c>
      <c r="N302" s="44" t="s">
        <v>45</v>
      </c>
      <c r="O302" s="23" t="s">
        <v>16</v>
      </c>
      <c r="P302" s="24" t="s">
        <v>17</v>
      </c>
      <c r="Q302" s="28" t="s">
        <v>410</v>
      </c>
    </row>
    <row r="303" spans="1:17">
      <c r="A303" s="14">
        <v>299</v>
      </c>
      <c r="B303" s="29" t="s">
        <v>411</v>
      </c>
      <c r="C303" s="16">
        <f>'Медикаменты Август'!L299</f>
        <v>0</v>
      </c>
      <c r="D303" s="17"/>
      <c r="E303" s="14"/>
      <c r="F303" s="18"/>
      <c r="G303" s="19"/>
      <c r="H303" s="20"/>
      <c r="I303" s="21"/>
      <c r="J303" s="14"/>
      <c r="K303" s="14">
        <f t="shared" si="8"/>
        <v>0</v>
      </c>
      <c r="L303" s="16">
        <f t="shared" si="9"/>
        <v>0</v>
      </c>
      <c r="M303" s="22">
        <v>45413</v>
      </c>
      <c r="N303" s="44" t="s">
        <v>45</v>
      </c>
      <c r="O303" s="23" t="s">
        <v>16</v>
      </c>
      <c r="P303" s="24" t="s">
        <v>45</v>
      </c>
      <c r="Q303" s="28" t="s">
        <v>412</v>
      </c>
    </row>
    <row r="304" spans="1:17">
      <c r="A304" s="14">
        <v>300</v>
      </c>
      <c r="B304" s="29" t="s">
        <v>413</v>
      </c>
      <c r="C304" s="16">
        <f>'Медикаменты Август'!L300</f>
        <v>0</v>
      </c>
      <c r="D304" s="17"/>
      <c r="E304" s="14"/>
      <c r="F304" s="18"/>
      <c r="G304" s="19"/>
      <c r="H304" s="20"/>
      <c r="I304" s="21"/>
      <c r="J304" s="14"/>
      <c r="K304" s="14">
        <f t="shared" si="8"/>
        <v>0</v>
      </c>
      <c r="L304" s="16">
        <f t="shared" si="9"/>
        <v>0</v>
      </c>
      <c r="M304" s="22">
        <v>45474</v>
      </c>
      <c r="N304" s="44"/>
      <c r="O304" s="23" t="s">
        <v>16</v>
      </c>
      <c r="P304" s="24"/>
      <c r="Q304" s="28"/>
    </row>
    <row r="305" spans="1:17">
      <c r="A305" s="14">
        <v>301</v>
      </c>
      <c r="B305" s="29" t="s">
        <v>414</v>
      </c>
      <c r="C305" s="16">
        <f>'Медикаменты Август'!L301</f>
        <v>0</v>
      </c>
      <c r="D305" s="17"/>
      <c r="E305" s="14"/>
      <c r="F305" s="18"/>
      <c r="G305" s="19"/>
      <c r="H305" s="20"/>
      <c r="I305" s="21"/>
      <c r="J305" s="14"/>
      <c r="K305" s="14">
        <f t="shared" si="8"/>
        <v>0</v>
      </c>
      <c r="L305" s="16">
        <f t="shared" si="9"/>
        <v>0</v>
      </c>
      <c r="M305" s="22"/>
      <c r="N305" s="44"/>
      <c r="O305" s="23" t="s">
        <v>16</v>
      </c>
      <c r="P305" s="24"/>
      <c r="Q305" s="28"/>
    </row>
    <row r="306" spans="1:17">
      <c r="A306" s="14">
        <v>302</v>
      </c>
      <c r="B306" s="29" t="s">
        <v>415</v>
      </c>
      <c r="C306" s="16">
        <f>'Медикаменты Август'!L302</f>
        <v>190</v>
      </c>
      <c r="D306" s="17"/>
      <c r="E306" s="14"/>
      <c r="F306" s="18">
        <f>10</f>
        <v>10</v>
      </c>
      <c r="G306" s="19"/>
      <c r="H306" s="20"/>
      <c r="I306" s="21"/>
      <c r="J306" s="14"/>
      <c r="K306" s="14">
        <f t="shared" si="8"/>
        <v>10</v>
      </c>
      <c r="L306" s="16">
        <f t="shared" si="9"/>
        <v>180</v>
      </c>
      <c r="M306" s="22">
        <v>45323</v>
      </c>
      <c r="N306" s="44" t="s">
        <v>551</v>
      </c>
      <c r="O306" s="23" t="s">
        <v>16</v>
      </c>
      <c r="P306" s="24" t="s">
        <v>17</v>
      </c>
      <c r="Q306" s="28" t="s">
        <v>416</v>
      </c>
    </row>
    <row r="307" spans="1:17">
      <c r="A307" s="14">
        <v>303</v>
      </c>
      <c r="B307" s="29" t="s">
        <v>415</v>
      </c>
      <c r="C307" s="16">
        <f>'Медикаменты Август'!L303</f>
        <v>0</v>
      </c>
      <c r="D307" s="17"/>
      <c r="E307" s="14"/>
      <c r="F307" s="18"/>
      <c r="G307" s="19"/>
      <c r="H307" s="20"/>
      <c r="I307" s="21"/>
      <c r="J307" s="14"/>
      <c r="K307" s="14">
        <f t="shared" si="8"/>
        <v>0</v>
      </c>
      <c r="L307" s="16">
        <f t="shared" si="9"/>
        <v>0</v>
      </c>
      <c r="M307" s="22">
        <v>44986</v>
      </c>
      <c r="N307" s="44"/>
      <c r="O307" s="23" t="s">
        <v>26</v>
      </c>
      <c r="P307" s="24"/>
      <c r="Q307" s="28" t="s">
        <v>416</v>
      </c>
    </row>
    <row r="308" spans="1:17">
      <c r="A308" s="14">
        <v>304</v>
      </c>
      <c r="B308" s="31" t="s">
        <v>417</v>
      </c>
      <c r="C308" s="16">
        <f>'Медикаменты Август'!L304</f>
        <v>0</v>
      </c>
      <c r="D308" s="17"/>
      <c r="E308" s="14"/>
      <c r="F308" s="18"/>
      <c r="G308" s="19"/>
      <c r="H308" s="20"/>
      <c r="I308" s="21"/>
      <c r="J308" s="14"/>
      <c r="K308" s="14">
        <f t="shared" si="8"/>
        <v>0</v>
      </c>
      <c r="L308" s="16">
        <f t="shared" si="9"/>
        <v>0</v>
      </c>
      <c r="M308" s="22">
        <v>44136</v>
      </c>
      <c r="N308" s="44"/>
      <c r="O308" s="23" t="s">
        <v>16</v>
      </c>
      <c r="P308" s="24"/>
      <c r="Q308" s="28" t="s">
        <v>418</v>
      </c>
    </row>
    <row r="309" spans="1:17">
      <c r="A309" s="14">
        <v>305</v>
      </c>
      <c r="B309" s="29" t="s">
        <v>419</v>
      </c>
      <c r="C309" s="16">
        <f>'Медикаменты Август'!L305</f>
        <v>0</v>
      </c>
      <c r="D309" s="17"/>
      <c r="E309" s="14"/>
      <c r="F309" s="18"/>
      <c r="G309" s="19"/>
      <c r="H309" s="20"/>
      <c r="I309" s="21"/>
      <c r="J309" s="14"/>
      <c r="K309" s="14">
        <f t="shared" si="8"/>
        <v>0</v>
      </c>
      <c r="L309" s="16">
        <f t="shared" si="9"/>
        <v>0</v>
      </c>
      <c r="M309" s="22"/>
      <c r="N309" s="44"/>
      <c r="O309" s="23" t="s">
        <v>16</v>
      </c>
      <c r="P309" s="24"/>
      <c r="Q309" s="45"/>
    </row>
    <row r="310" spans="1:17">
      <c r="A310" s="14">
        <v>306</v>
      </c>
      <c r="B310" s="29" t="s">
        <v>420</v>
      </c>
      <c r="C310" s="16">
        <f>'Медикаменты Август'!L306</f>
        <v>0</v>
      </c>
      <c r="D310" s="17"/>
      <c r="E310" s="14"/>
      <c r="F310" s="18"/>
      <c r="G310" s="19"/>
      <c r="H310" s="20"/>
      <c r="I310" s="21"/>
      <c r="J310" s="14"/>
      <c r="K310" s="14">
        <f t="shared" si="8"/>
        <v>0</v>
      </c>
      <c r="L310" s="16">
        <f t="shared" si="9"/>
        <v>0</v>
      </c>
      <c r="M310" s="22">
        <v>45047</v>
      </c>
      <c r="N310" s="44" t="s">
        <v>45</v>
      </c>
      <c r="O310" s="23" t="s">
        <v>16</v>
      </c>
      <c r="P310" s="24" t="s">
        <v>17</v>
      </c>
      <c r="Q310" s="28" t="s">
        <v>421</v>
      </c>
    </row>
    <row r="311" spans="1:17">
      <c r="A311" s="14">
        <v>307</v>
      </c>
      <c r="B311" s="29" t="s">
        <v>420</v>
      </c>
      <c r="C311" s="16">
        <f>'Медикаменты Август'!L307</f>
        <v>0</v>
      </c>
      <c r="D311" s="17"/>
      <c r="E311" s="14"/>
      <c r="F311" s="18"/>
      <c r="G311" s="19"/>
      <c r="H311" s="20"/>
      <c r="I311" s="21"/>
      <c r="J311" s="14"/>
      <c r="K311" s="14">
        <f t="shared" si="8"/>
        <v>0</v>
      </c>
      <c r="L311" s="16">
        <f t="shared" si="9"/>
        <v>0</v>
      </c>
      <c r="M311" s="22">
        <v>45047</v>
      </c>
      <c r="N311" s="44"/>
      <c r="O311" s="23" t="s">
        <v>26</v>
      </c>
      <c r="P311" s="24"/>
      <c r="Q311" s="28" t="s">
        <v>421</v>
      </c>
    </row>
    <row r="312" spans="1:17">
      <c r="A312" s="14">
        <v>308</v>
      </c>
      <c r="B312" s="29" t="s">
        <v>422</v>
      </c>
      <c r="C312" s="16">
        <f>'Медикаменты Август'!L308</f>
        <v>0</v>
      </c>
      <c r="D312" s="17"/>
      <c r="E312" s="14"/>
      <c r="F312" s="18"/>
      <c r="G312" s="19"/>
      <c r="H312" s="20"/>
      <c r="I312" s="21"/>
      <c r="J312" s="14"/>
      <c r="K312" s="14">
        <f t="shared" si="8"/>
        <v>0</v>
      </c>
      <c r="L312" s="16">
        <f t="shared" si="9"/>
        <v>0</v>
      </c>
      <c r="M312" s="22"/>
      <c r="N312" s="44"/>
      <c r="O312" s="23" t="s">
        <v>26</v>
      </c>
      <c r="P312" s="24"/>
      <c r="Q312" s="45"/>
    </row>
    <row r="313" spans="1:17">
      <c r="A313" s="14">
        <v>309</v>
      </c>
      <c r="B313" s="29" t="s">
        <v>422</v>
      </c>
      <c r="C313" s="16">
        <f>'Медикаменты Август'!L309</f>
        <v>0</v>
      </c>
      <c r="D313" s="17"/>
      <c r="E313" s="14"/>
      <c r="F313" s="18"/>
      <c r="G313" s="19"/>
      <c r="H313" s="20"/>
      <c r="I313" s="21"/>
      <c r="J313" s="14"/>
      <c r="K313" s="14">
        <f t="shared" si="8"/>
        <v>0</v>
      </c>
      <c r="L313" s="16">
        <f t="shared" si="9"/>
        <v>0</v>
      </c>
      <c r="M313" s="22">
        <v>44531</v>
      </c>
      <c r="N313" s="44" t="s">
        <v>45</v>
      </c>
      <c r="O313" s="23" t="s">
        <v>16</v>
      </c>
      <c r="P313" s="24" t="s">
        <v>17</v>
      </c>
      <c r="Q313" s="28" t="s">
        <v>423</v>
      </c>
    </row>
    <row r="314" spans="1:17">
      <c r="A314" s="14">
        <v>310</v>
      </c>
      <c r="B314" s="29" t="s">
        <v>638</v>
      </c>
      <c r="C314" s="16">
        <f>'Медикаменты Август'!L310</f>
        <v>0</v>
      </c>
      <c r="D314" s="17"/>
      <c r="E314" s="14"/>
      <c r="F314" s="18"/>
      <c r="G314" s="19"/>
      <c r="H314" s="20"/>
      <c r="I314" s="21"/>
      <c r="J314" s="14"/>
      <c r="K314" s="14">
        <f t="shared" si="8"/>
        <v>0</v>
      </c>
      <c r="L314" s="16">
        <f t="shared" si="9"/>
        <v>0</v>
      </c>
      <c r="M314" s="22">
        <v>44986</v>
      </c>
      <c r="N314" s="44" t="s">
        <v>551</v>
      </c>
      <c r="O314" s="23" t="s">
        <v>16</v>
      </c>
      <c r="P314" s="24" t="s">
        <v>17</v>
      </c>
      <c r="Q314" s="28" t="s">
        <v>425</v>
      </c>
    </row>
    <row r="315" spans="1:17">
      <c r="A315" s="14">
        <v>311</v>
      </c>
      <c r="B315" s="29" t="s">
        <v>426</v>
      </c>
      <c r="C315" s="16">
        <f>'Медикаменты Август'!L311</f>
        <v>0</v>
      </c>
      <c r="D315" s="17"/>
      <c r="E315" s="14"/>
      <c r="F315" s="18"/>
      <c r="G315" s="19"/>
      <c r="H315" s="20"/>
      <c r="I315" s="21"/>
      <c r="J315" s="14"/>
      <c r="K315" s="14">
        <f t="shared" si="8"/>
        <v>0</v>
      </c>
      <c r="L315" s="16">
        <f t="shared" si="9"/>
        <v>0</v>
      </c>
      <c r="M315" s="22"/>
      <c r="N315" s="44"/>
      <c r="O315" s="23" t="s">
        <v>16</v>
      </c>
      <c r="P315" s="24"/>
      <c r="Q315" s="45"/>
    </row>
    <row r="316" spans="1:17">
      <c r="A316" s="14">
        <v>312</v>
      </c>
      <c r="B316" s="29" t="s">
        <v>427</v>
      </c>
      <c r="C316" s="16">
        <f>'Медикаменты Август'!L312</f>
        <v>0</v>
      </c>
      <c r="D316" s="17"/>
      <c r="E316" s="14"/>
      <c r="F316" s="18"/>
      <c r="G316" s="19"/>
      <c r="H316" s="20"/>
      <c r="I316" s="21"/>
      <c r="J316" s="14"/>
      <c r="K316" s="14">
        <f t="shared" si="8"/>
        <v>0</v>
      </c>
      <c r="L316" s="16">
        <f t="shared" si="9"/>
        <v>0</v>
      </c>
      <c r="M316" s="22"/>
      <c r="N316" s="44"/>
      <c r="O316" s="23" t="s">
        <v>16</v>
      </c>
      <c r="P316" s="24"/>
      <c r="Q316" s="45"/>
    </row>
    <row r="317" spans="1:17">
      <c r="A317" s="14">
        <v>313</v>
      </c>
      <c r="B317" s="29" t="s">
        <v>428</v>
      </c>
      <c r="C317" s="16">
        <f>'Медикаменты Август'!L313</f>
        <v>12</v>
      </c>
      <c r="D317" s="17"/>
      <c r="E317" s="14"/>
      <c r="F317" s="18">
        <f>12</f>
        <v>12</v>
      </c>
      <c r="G317" s="19"/>
      <c r="H317" s="20"/>
      <c r="I317" s="21"/>
      <c r="J317" s="14"/>
      <c r="K317" s="14">
        <f t="shared" si="8"/>
        <v>12</v>
      </c>
      <c r="L317" s="16">
        <f t="shared" si="9"/>
        <v>0</v>
      </c>
      <c r="M317" s="22">
        <v>44501</v>
      </c>
      <c r="N317" s="44" t="s">
        <v>45</v>
      </c>
      <c r="O317" s="23" t="s">
        <v>16</v>
      </c>
      <c r="P317" s="24" t="s">
        <v>17</v>
      </c>
      <c r="Q317" s="28" t="s">
        <v>429</v>
      </c>
    </row>
    <row r="318" spans="1:17">
      <c r="A318" s="14">
        <v>314</v>
      </c>
      <c r="B318" s="29" t="s">
        <v>430</v>
      </c>
      <c r="C318" s="16">
        <f>'Медикаменты Август'!L314</f>
        <v>4</v>
      </c>
      <c r="D318" s="26"/>
      <c r="E318" s="14"/>
      <c r="F318" s="18"/>
      <c r="G318" s="19"/>
      <c r="H318" s="20"/>
      <c r="I318" s="21"/>
      <c r="J318" s="14"/>
      <c r="K318" s="14">
        <f t="shared" si="8"/>
        <v>0</v>
      </c>
      <c r="L318" s="16">
        <f t="shared" si="9"/>
        <v>4</v>
      </c>
      <c r="M318" s="22">
        <v>44835</v>
      </c>
      <c r="N318" s="44" t="s">
        <v>45</v>
      </c>
      <c r="O318" s="23" t="s">
        <v>16</v>
      </c>
      <c r="P318" s="24" t="s">
        <v>17</v>
      </c>
      <c r="Q318" s="28" t="s">
        <v>431</v>
      </c>
    </row>
    <row r="319" spans="1:17">
      <c r="A319" s="14">
        <v>315</v>
      </c>
      <c r="B319" s="29" t="s">
        <v>430</v>
      </c>
      <c r="C319" s="16">
        <f>'Медикаменты Август'!L315</f>
        <v>50</v>
      </c>
      <c r="D319" s="26"/>
      <c r="E319" s="14"/>
      <c r="F319" s="18"/>
      <c r="G319" s="19"/>
      <c r="H319" s="20"/>
      <c r="I319" s="21"/>
      <c r="J319" s="14"/>
      <c r="K319" s="14">
        <f t="shared" si="8"/>
        <v>0</v>
      </c>
      <c r="L319" s="16">
        <f t="shared" si="9"/>
        <v>50</v>
      </c>
      <c r="M319" s="22">
        <v>45323</v>
      </c>
      <c r="N319" s="44" t="s">
        <v>551</v>
      </c>
      <c r="O319" s="23" t="s">
        <v>16</v>
      </c>
      <c r="P319" s="24" t="s">
        <v>17</v>
      </c>
      <c r="Q319" s="28" t="s">
        <v>431</v>
      </c>
    </row>
    <row r="320" spans="1:17">
      <c r="A320" s="14">
        <v>316</v>
      </c>
      <c r="B320" s="29" t="s">
        <v>430</v>
      </c>
      <c r="C320" s="16">
        <f>'Медикаменты Август'!L316</f>
        <v>0</v>
      </c>
      <c r="D320" s="26"/>
      <c r="E320" s="14">
        <f>4</f>
        <v>4</v>
      </c>
      <c r="F320" s="18"/>
      <c r="G320" s="19"/>
      <c r="H320" s="20"/>
      <c r="I320" s="21"/>
      <c r="J320" s="14"/>
      <c r="K320" s="14">
        <f t="shared" si="8"/>
        <v>0</v>
      </c>
      <c r="L320" s="16">
        <f t="shared" si="9"/>
        <v>4</v>
      </c>
      <c r="M320" s="22">
        <v>45323</v>
      </c>
      <c r="N320" s="44" t="s">
        <v>551</v>
      </c>
      <c r="O320" s="23" t="s">
        <v>26</v>
      </c>
      <c r="P320" s="24" t="s">
        <v>17</v>
      </c>
      <c r="Q320" s="28" t="s">
        <v>431</v>
      </c>
    </row>
    <row r="321" spans="1:17">
      <c r="A321" s="14">
        <v>317</v>
      </c>
      <c r="B321" s="29" t="s">
        <v>432</v>
      </c>
      <c r="C321" s="16">
        <f>'Медикаменты Август'!L317</f>
        <v>0</v>
      </c>
      <c r="D321" s="17"/>
      <c r="E321" s="14"/>
      <c r="F321" s="18"/>
      <c r="G321" s="19"/>
      <c r="H321" s="20"/>
      <c r="I321" s="21"/>
      <c r="J321" s="14"/>
      <c r="K321" s="14">
        <f t="shared" si="8"/>
        <v>0</v>
      </c>
      <c r="L321" s="16">
        <f t="shared" si="9"/>
        <v>0</v>
      </c>
      <c r="M321" s="22"/>
      <c r="N321" s="44"/>
      <c r="O321" s="23" t="s">
        <v>16</v>
      </c>
      <c r="P321" s="24"/>
      <c r="Q321" s="45"/>
    </row>
    <row r="322" spans="1:17">
      <c r="A322" s="14">
        <v>318</v>
      </c>
      <c r="B322" s="29" t="s">
        <v>433</v>
      </c>
      <c r="C322" s="16">
        <f>'Медикаменты Август'!L318</f>
        <v>0</v>
      </c>
      <c r="D322" s="17"/>
      <c r="E322" s="14"/>
      <c r="F322" s="18"/>
      <c r="G322" s="19"/>
      <c r="H322" s="20"/>
      <c r="I322" s="21"/>
      <c r="J322" s="14"/>
      <c r="K322" s="14">
        <f t="shared" si="8"/>
        <v>0</v>
      </c>
      <c r="L322" s="16">
        <f t="shared" si="9"/>
        <v>0</v>
      </c>
      <c r="M322" s="22"/>
      <c r="N322" s="44"/>
      <c r="O322" s="23" t="s">
        <v>16</v>
      </c>
      <c r="P322" s="24"/>
      <c r="Q322" s="45"/>
    </row>
    <row r="323" spans="1:17">
      <c r="A323" s="14">
        <v>319</v>
      </c>
      <c r="B323" s="29" t="s">
        <v>434</v>
      </c>
      <c r="C323" s="16">
        <f>'Медикаменты Август'!L319</f>
        <v>0</v>
      </c>
      <c r="D323" s="17"/>
      <c r="E323" s="14"/>
      <c r="F323" s="18"/>
      <c r="G323" s="19"/>
      <c r="H323" s="20"/>
      <c r="I323" s="21"/>
      <c r="J323" s="14"/>
      <c r="K323" s="14">
        <f t="shared" si="8"/>
        <v>0</v>
      </c>
      <c r="L323" s="16">
        <f t="shared" si="9"/>
        <v>0</v>
      </c>
      <c r="M323" s="22"/>
      <c r="N323" s="44"/>
      <c r="O323" s="23" t="s">
        <v>16</v>
      </c>
      <c r="P323" s="24"/>
      <c r="Q323" s="45"/>
    </row>
    <row r="324" spans="1:17">
      <c r="A324" s="14">
        <v>320</v>
      </c>
      <c r="B324" s="29" t="s">
        <v>435</v>
      </c>
      <c r="C324" s="16">
        <f>'Медикаменты Август'!L320</f>
        <v>0</v>
      </c>
      <c r="D324" s="17"/>
      <c r="E324" s="14"/>
      <c r="F324" s="18"/>
      <c r="G324" s="19"/>
      <c r="H324" s="20"/>
      <c r="I324" s="21"/>
      <c r="J324" s="14"/>
      <c r="K324" s="14">
        <f t="shared" si="8"/>
        <v>0</v>
      </c>
      <c r="L324" s="16">
        <f t="shared" si="9"/>
        <v>0</v>
      </c>
      <c r="M324" s="22"/>
      <c r="N324" s="44"/>
      <c r="O324" s="23" t="s">
        <v>16</v>
      </c>
      <c r="P324" s="24"/>
      <c r="Q324" s="45"/>
    </row>
    <row r="325" spans="1:17">
      <c r="A325" s="14">
        <v>321</v>
      </c>
      <c r="B325" s="29" t="s">
        <v>436</v>
      </c>
      <c r="C325" s="16">
        <f>'Медикаменты Август'!L321</f>
        <v>0</v>
      </c>
      <c r="D325" s="17"/>
      <c r="E325" s="14"/>
      <c r="F325" s="18"/>
      <c r="G325" s="19"/>
      <c r="H325" s="20"/>
      <c r="I325" s="21"/>
      <c r="J325" s="14"/>
      <c r="K325" s="14">
        <f t="shared" ref="K325:K388" si="10">SUM(F325:J325)</f>
        <v>0</v>
      </c>
      <c r="L325" s="16">
        <f t="shared" ref="L325:L388" si="11">(C325+E325)-K325</f>
        <v>0</v>
      </c>
      <c r="M325" s="22"/>
      <c r="N325" s="44"/>
      <c r="O325" s="23" t="s">
        <v>16</v>
      </c>
      <c r="P325" s="24"/>
      <c r="Q325" s="45"/>
    </row>
    <row r="326" spans="1:17">
      <c r="A326" s="14">
        <v>322</v>
      </c>
      <c r="B326" s="29" t="s">
        <v>437</v>
      </c>
      <c r="C326" s="16">
        <f>'Медикаменты Август'!L322</f>
        <v>420</v>
      </c>
      <c r="D326" s="17"/>
      <c r="E326" s="14"/>
      <c r="F326" s="18">
        <f>30+10+15+25</f>
        <v>80</v>
      </c>
      <c r="G326" s="19"/>
      <c r="H326" s="20">
        <f>20</f>
        <v>20</v>
      </c>
      <c r="I326" s="21"/>
      <c r="J326" s="14"/>
      <c r="K326" s="14">
        <f t="shared" si="10"/>
        <v>100</v>
      </c>
      <c r="L326" s="16">
        <f t="shared" si="11"/>
        <v>320</v>
      </c>
      <c r="M326" s="22">
        <v>45689</v>
      </c>
      <c r="N326" s="44" t="s">
        <v>551</v>
      </c>
      <c r="O326" s="23" t="s">
        <v>16</v>
      </c>
      <c r="P326" s="24" t="s">
        <v>45</v>
      </c>
      <c r="Q326" s="28" t="s">
        <v>438</v>
      </c>
    </row>
    <row r="327" spans="1:17">
      <c r="A327" s="14">
        <v>323</v>
      </c>
      <c r="B327" s="29" t="s">
        <v>437</v>
      </c>
      <c r="C327" s="16">
        <f>'Медикаменты Август'!L323</f>
        <v>0</v>
      </c>
      <c r="D327" s="17"/>
      <c r="E327" s="14"/>
      <c r="F327" s="18"/>
      <c r="G327" s="19"/>
      <c r="H327" s="20"/>
      <c r="I327" s="21"/>
      <c r="J327" s="14"/>
      <c r="K327" s="14">
        <f t="shared" si="10"/>
        <v>0</v>
      </c>
      <c r="L327" s="16">
        <f t="shared" si="11"/>
        <v>0</v>
      </c>
      <c r="M327" s="22">
        <v>45689</v>
      </c>
      <c r="N327" s="44" t="s">
        <v>551</v>
      </c>
      <c r="O327" s="23" t="s">
        <v>26</v>
      </c>
      <c r="P327" s="24" t="s">
        <v>45</v>
      </c>
      <c r="Q327" s="28" t="s">
        <v>438</v>
      </c>
    </row>
    <row r="328" spans="1:17">
      <c r="A328" s="14">
        <v>324</v>
      </c>
      <c r="B328" s="29" t="s">
        <v>440</v>
      </c>
      <c r="C328" s="16">
        <f>'Медикаменты Август'!L324</f>
        <v>0</v>
      </c>
      <c r="D328" s="17"/>
      <c r="E328" s="14"/>
      <c r="F328" s="18"/>
      <c r="G328" s="19"/>
      <c r="H328" s="20"/>
      <c r="I328" s="21"/>
      <c r="J328" s="14"/>
      <c r="K328" s="14">
        <f t="shared" si="10"/>
        <v>0</v>
      </c>
      <c r="L328" s="16">
        <f t="shared" si="11"/>
        <v>0</v>
      </c>
      <c r="M328" s="22"/>
      <c r="N328" s="44"/>
      <c r="O328" s="23" t="s">
        <v>16</v>
      </c>
      <c r="P328" s="24"/>
      <c r="Q328" s="45"/>
    </row>
    <row r="329" spans="1:17">
      <c r="A329" s="14">
        <v>325</v>
      </c>
      <c r="B329" s="29" t="s">
        <v>441</v>
      </c>
      <c r="C329" s="16">
        <f>'Медикаменты Август'!L325</f>
        <v>30</v>
      </c>
      <c r="D329" s="17"/>
      <c r="E329" s="14"/>
      <c r="F329" s="18"/>
      <c r="G329" s="19"/>
      <c r="H329" s="20"/>
      <c r="I329" s="21"/>
      <c r="J329" s="14"/>
      <c r="K329" s="14">
        <f t="shared" si="10"/>
        <v>0</v>
      </c>
      <c r="L329" s="16">
        <f t="shared" si="11"/>
        <v>30</v>
      </c>
      <c r="M329" s="22">
        <v>45931</v>
      </c>
      <c r="N329" s="44" t="s">
        <v>551</v>
      </c>
      <c r="O329" s="23" t="s">
        <v>16</v>
      </c>
      <c r="P329" s="24" t="s">
        <v>17</v>
      </c>
      <c r="Q329" s="28" t="s">
        <v>639</v>
      </c>
    </row>
    <row r="330" spans="1:17">
      <c r="A330" s="14">
        <v>326</v>
      </c>
      <c r="B330" s="29" t="s">
        <v>442</v>
      </c>
      <c r="C330" s="16">
        <f>'Медикаменты Август'!L326</f>
        <v>0</v>
      </c>
      <c r="D330" s="17"/>
      <c r="E330" s="14"/>
      <c r="F330" s="18"/>
      <c r="G330" s="19"/>
      <c r="H330" s="20"/>
      <c r="I330" s="21"/>
      <c r="J330" s="14"/>
      <c r="K330" s="14">
        <f t="shared" si="10"/>
        <v>0</v>
      </c>
      <c r="L330" s="16">
        <f t="shared" si="11"/>
        <v>0</v>
      </c>
      <c r="M330" s="22"/>
      <c r="N330" s="44"/>
      <c r="O330" s="23" t="s">
        <v>16</v>
      </c>
      <c r="P330" s="24"/>
      <c r="Q330" s="45"/>
    </row>
    <row r="331" spans="1:17">
      <c r="A331" s="14">
        <v>327</v>
      </c>
      <c r="B331" s="29" t="s">
        <v>443</v>
      </c>
      <c r="C331" s="16">
        <f>'Медикаменты Август'!L327</f>
        <v>0</v>
      </c>
      <c r="D331" s="17"/>
      <c r="E331" s="14"/>
      <c r="F331" s="18"/>
      <c r="G331" s="19"/>
      <c r="H331" s="20"/>
      <c r="I331" s="21"/>
      <c r="J331" s="14"/>
      <c r="K331" s="14">
        <f t="shared" si="10"/>
        <v>0</v>
      </c>
      <c r="L331" s="16">
        <f t="shared" si="11"/>
        <v>0</v>
      </c>
      <c r="M331" s="22"/>
      <c r="N331" s="44"/>
      <c r="O331" s="23" t="s">
        <v>16</v>
      </c>
      <c r="P331" s="24"/>
      <c r="Q331" s="45"/>
    </row>
    <row r="332" spans="1:17">
      <c r="A332" s="14">
        <v>328</v>
      </c>
      <c r="B332" s="29" t="s">
        <v>444</v>
      </c>
      <c r="C332" s="16">
        <f>'Медикаменты Август'!L328</f>
        <v>0</v>
      </c>
      <c r="D332" s="17"/>
      <c r="E332" s="14"/>
      <c r="F332" s="18"/>
      <c r="G332" s="19"/>
      <c r="H332" s="20"/>
      <c r="I332" s="21"/>
      <c r="J332" s="14"/>
      <c r="K332" s="14">
        <f t="shared" si="10"/>
        <v>0</v>
      </c>
      <c r="L332" s="16">
        <f t="shared" si="11"/>
        <v>0</v>
      </c>
      <c r="M332" s="22">
        <v>44501</v>
      </c>
      <c r="N332" s="44" t="s">
        <v>45</v>
      </c>
      <c r="O332" s="23" t="s">
        <v>16</v>
      </c>
      <c r="P332" s="24" t="s">
        <v>17</v>
      </c>
      <c r="Q332" s="28" t="s">
        <v>445</v>
      </c>
    </row>
    <row r="333" spans="1:17">
      <c r="A333" s="14">
        <v>329</v>
      </c>
      <c r="B333" s="29" t="s">
        <v>446</v>
      </c>
      <c r="C333" s="16">
        <f>'Медикаменты Август'!L329</f>
        <v>0</v>
      </c>
      <c r="D333" s="17"/>
      <c r="E333" s="14"/>
      <c r="F333" s="18"/>
      <c r="G333" s="19"/>
      <c r="H333" s="20"/>
      <c r="I333" s="21"/>
      <c r="J333" s="14"/>
      <c r="K333" s="14">
        <f t="shared" si="10"/>
        <v>0</v>
      </c>
      <c r="L333" s="16">
        <f t="shared" si="11"/>
        <v>0</v>
      </c>
      <c r="M333" s="22"/>
      <c r="N333" s="44"/>
      <c r="O333" s="23" t="s">
        <v>16</v>
      </c>
      <c r="P333" s="24"/>
      <c r="Q333" s="45"/>
    </row>
    <row r="334" spans="1:17">
      <c r="A334" s="14">
        <v>330</v>
      </c>
      <c r="B334" s="29" t="s">
        <v>447</v>
      </c>
      <c r="C334" s="16">
        <f>'Медикаменты Август'!L330</f>
        <v>0</v>
      </c>
      <c r="D334" s="17"/>
      <c r="E334" s="14"/>
      <c r="F334" s="18"/>
      <c r="G334" s="19"/>
      <c r="H334" s="20"/>
      <c r="I334" s="21"/>
      <c r="J334" s="14"/>
      <c r="K334" s="14">
        <f t="shared" si="10"/>
        <v>0</v>
      </c>
      <c r="L334" s="16">
        <f t="shared" si="11"/>
        <v>0</v>
      </c>
      <c r="M334" s="22">
        <v>44593</v>
      </c>
      <c r="N334" s="44"/>
      <c r="O334" s="23" t="s">
        <v>16</v>
      </c>
      <c r="P334" s="24"/>
      <c r="Q334" s="28" t="s">
        <v>448</v>
      </c>
    </row>
    <row r="335" spans="1:17">
      <c r="A335" s="14">
        <v>331</v>
      </c>
      <c r="B335" s="29" t="s">
        <v>449</v>
      </c>
      <c r="C335" s="16">
        <f>'Медикаменты Август'!L331</f>
        <v>0</v>
      </c>
      <c r="D335" s="17"/>
      <c r="E335" s="14"/>
      <c r="F335" s="18"/>
      <c r="G335" s="19"/>
      <c r="H335" s="20"/>
      <c r="I335" s="21"/>
      <c r="J335" s="14"/>
      <c r="K335" s="14">
        <f t="shared" si="10"/>
        <v>0</v>
      </c>
      <c r="L335" s="16">
        <f t="shared" si="11"/>
        <v>0</v>
      </c>
      <c r="M335" s="22">
        <v>44228</v>
      </c>
      <c r="N335" s="44"/>
      <c r="O335" s="23" t="s">
        <v>16</v>
      </c>
      <c r="P335" s="24" t="s">
        <v>17</v>
      </c>
      <c r="Q335" s="28" t="s">
        <v>450</v>
      </c>
    </row>
    <row r="336" spans="1:17">
      <c r="A336" s="14">
        <v>332</v>
      </c>
      <c r="B336" s="29" t="s">
        <v>451</v>
      </c>
      <c r="C336" s="16">
        <f>'Медикаменты Август'!L332</f>
        <v>0</v>
      </c>
      <c r="D336" s="17"/>
      <c r="E336" s="14"/>
      <c r="F336" s="18"/>
      <c r="G336" s="19"/>
      <c r="H336" s="20"/>
      <c r="I336" s="21"/>
      <c r="J336" s="14"/>
      <c r="K336" s="14">
        <f t="shared" si="10"/>
        <v>0</v>
      </c>
      <c r="L336" s="16">
        <f t="shared" si="11"/>
        <v>0</v>
      </c>
      <c r="M336" s="22">
        <v>44317</v>
      </c>
      <c r="N336" s="44"/>
      <c r="O336" s="23" t="s">
        <v>16</v>
      </c>
      <c r="P336" s="24" t="s">
        <v>17</v>
      </c>
      <c r="Q336" s="28" t="s">
        <v>452</v>
      </c>
    </row>
    <row r="337" spans="1:17" ht="25.5">
      <c r="A337" s="14">
        <v>333</v>
      </c>
      <c r="B337" s="29" t="s">
        <v>453</v>
      </c>
      <c r="C337" s="16">
        <f>'Медикаменты Август'!L333</f>
        <v>19</v>
      </c>
      <c r="D337" s="17"/>
      <c r="E337" s="14"/>
      <c r="F337" s="18">
        <f>1+2</f>
        <v>3</v>
      </c>
      <c r="G337" s="19"/>
      <c r="H337" s="20"/>
      <c r="I337" s="21"/>
      <c r="J337" s="14"/>
      <c r="K337" s="14">
        <f t="shared" si="10"/>
        <v>3</v>
      </c>
      <c r="L337" s="16">
        <f t="shared" si="11"/>
        <v>16</v>
      </c>
      <c r="M337" s="22">
        <v>44470</v>
      </c>
      <c r="N337" s="44" t="s">
        <v>45</v>
      </c>
      <c r="O337" s="23" t="s">
        <v>16</v>
      </c>
      <c r="P337" s="24" t="s">
        <v>17</v>
      </c>
      <c r="Q337" s="28" t="s">
        <v>454</v>
      </c>
    </row>
    <row r="338" spans="1:17">
      <c r="A338" s="14">
        <v>334</v>
      </c>
      <c r="B338" s="29" t="s">
        <v>575</v>
      </c>
      <c r="C338" s="16">
        <f>'Медикаменты Август'!L334</f>
        <v>2</v>
      </c>
      <c r="D338" s="17"/>
      <c r="E338" s="14"/>
      <c r="F338" s="18"/>
      <c r="G338" s="19"/>
      <c r="H338" s="20"/>
      <c r="I338" s="21"/>
      <c r="J338" s="14"/>
      <c r="K338" s="14">
        <f t="shared" si="10"/>
        <v>0</v>
      </c>
      <c r="L338" s="16">
        <f t="shared" si="11"/>
        <v>2</v>
      </c>
      <c r="M338" s="22">
        <v>45444</v>
      </c>
      <c r="N338" s="44" t="s">
        <v>45</v>
      </c>
      <c r="O338" s="23" t="s">
        <v>16</v>
      </c>
      <c r="P338" s="24" t="s">
        <v>17</v>
      </c>
      <c r="Q338" s="28" t="s">
        <v>576</v>
      </c>
    </row>
    <row r="339" spans="1:17">
      <c r="A339" s="14">
        <v>335</v>
      </c>
      <c r="B339" s="29" t="s">
        <v>455</v>
      </c>
      <c r="C339" s="16">
        <f>'Медикаменты Август'!L335</f>
        <v>0</v>
      </c>
      <c r="D339" s="17"/>
      <c r="E339" s="14"/>
      <c r="F339" s="18"/>
      <c r="G339" s="19"/>
      <c r="H339" s="20"/>
      <c r="I339" s="21"/>
      <c r="J339" s="14"/>
      <c r="K339" s="14">
        <f t="shared" si="10"/>
        <v>0</v>
      </c>
      <c r="L339" s="16">
        <f t="shared" si="11"/>
        <v>0</v>
      </c>
      <c r="M339" s="22"/>
      <c r="N339" s="44"/>
      <c r="O339" s="23" t="s">
        <v>16</v>
      </c>
      <c r="P339" s="24"/>
      <c r="Q339" s="45"/>
    </row>
    <row r="340" spans="1:17">
      <c r="A340" s="14">
        <v>336</v>
      </c>
      <c r="B340" s="29" t="s">
        <v>456</v>
      </c>
      <c r="C340" s="16">
        <f>'Медикаменты Август'!L336</f>
        <v>0</v>
      </c>
      <c r="D340" s="17"/>
      <c r="E340" s="14"/>
      <c r="F340" s="18"/>
      <c r="G340" s="19"/>
      <c r="H340" s="20"/>
      <c r="I340" s="21"/>
      <c r="J340" s="14"/>
      <c r="K340" s="14">
        <f t="shared" si="10"/>
        <v>0</v>
      </c>
      <c r="L340" s="16">
        <f t="shared" si="11"/>
        <v>0</v>
      </c>
      <c r="M340" s="22">
        <v>44287</v>
      </c>
      <c r="N340" s="44"/>
      <c r="O340" s="23" t="s">
        <v>16</v>
      </c>
      <c r="P340" s="24"/>
      <c r="Q340" s="28" t="s">
        <v>457</v>
      </c>
    </row>
    <row r="341" spans="1:17">
      <c r="A341" s="14">
        <v>337</v>
      </c>
      <c r="B341" s="29" t="s">
        <v>458</v>
      </c>
      <c r="C341" s="16">
        <f>'Медикаменты Август'!L337</f>
        <v>0</v>
      </c>
      <c r="D341" s="17"/>
      <c r="E341" s="14"/>
      <c r="F341" s="18"/>
      <c r="G341" s="19"/>
      <c r="H341" s="20"/>
      <c r="I341" s="21"/>
      <c r="J341" s="14"/>
      <c r="K341" s="14">
        <f t="shared" si="10"/>
        <v>0</v>
      </c>
      <c r="L341" s="16">
        <f t="shared" si="11"/>
        <v>0</v>
      </c>
      <c r="M341" s="22">
        <v>44287</v>
      </c>
      <c r="N341" s="44" t="s">
        <v>45</v>
      </c>
      <c r="O341" s="23" t="s">
        <v>16</v>
      </c>
      <c r="P341" s="24" t="s">
        <v>45</v>
      </c>
      <c r="Q341" s="28" t="s">
        <v>459</v>
      </c>
    </row>
    <row r="342" spans="1:17">
      <c r="A342" s="14">
        <v>338</v>
      </c>
      <c r="B342" s="29" t="s">
        <v>460</v>
      </c>
      <c r="C342" s="16">
        <f>'Медикаменты Август'!L338</f>
        <v>0</v>
      </c>
      <c r="D342" s="17"/>
      <c r="E342" s="14"/>
      <c r="F342" s="18"/>
      <c r="G342" s="19"/>
      <c r="H342" s="20"/>
      <c r="I342" s="21"/>
      <c r="J342" s="14"/>
      <c r="K342" s="14">
        <f t="shared" si="10"/>
        <v>0</v>
      </c>
      <c r="L342" s="16">
        <f t="shared" si="11"/>
        <v>0</v>
      </c>
      <c r="M342" s="22">
        <v>45597</v>
      </c>
      <c r="N342" s="44"/>
      <c r="O342" s="23" t="s">
        <v>16</v>
      </c>
      <c r="P342" s="24" t="s">
        <v>45</v>
      </c>
      <c r="Q342" s="28" t="s">
        <v>461</v>
      </c>
    </row>
    <row r="343" spans="1:17">
      <c r="A343" s="14">
        <v>339</v>
      </c>
      <c r="B343" s="29" t="s">
        <v>462</v>
      </c>
      <c r="C343" s="16">
        <f>'Медикаменты Август'!L339</f>
        <v>0</v>
      </c>
      <c r="D343" s="17"/>
      <c r="E343" s="14"/>
      <c r="F343" s="18"/>
      <c r="G343" s="19"/>
      <c r="H343" s="20"/>
      <c r="I343" s="21"/>
      <c r="J343" s="14"/>
      <c r="K343" s="14">
        <f t="shared" si="10"/>
        <v>0</v>
      </c>
      <c r="L343" s="16">
        <f t="shared" si="11"/>
        <v>0</v>
      </c>
      <c r="M343" s="22">
        <v>43952</v>
      </c>
      <c r="N343" s="44"/>
      <c r="O343" s="23" t="s">
        <v>16</v>
      </c>
      <c r="P343" s="24"/>
      <c r="Q343" s="45"/>
    </row>
    <row r="344" spans="1:17">
      <c r="A344" s="14">
        <v>340</v>
      </c>
      <c r="B344" s="29" t="s">
        <v>463</v>
      </c>
      <c r="C344" s="16">
        <f>'Медикаменты Август'!L340</f>
        <v>0</v>
      </c>
      <c r="D344" s="17"/>
      <c r="E344" s="14"/>
      <c r="F344" s="18"/>
      <c r="G344" s="19"/>
      <c r="H344" s="20"/>
      <c r="I344" s="21"/>
      <c r="J344" s="14"/>
      <c r="K344" s="14">
        <f t="shared" si="10"/>
        <v>0</v>
      </c>
      <c r="L344" s="16">
        <f t="shared" si="11"/>
        <v>0</v>
      </c>
      <c r="M344" s="22"/>
      <c r="N344" s="44"/>
      <c r="O344" s="23" t="s">
        <v>16</v>
      </c>
      <c r="P344" s="24"/>
      <c r="Q344" s="45"/>
    </row>
    <row r="345" spans="1:17">
      <c r="A345" s="14">
        <v>341</v>
      </c>
      <c r="B345" s="29" t="s">
        <v>640</v>
      </c>
      <c r="C345" s="16">
        <f>'Медикаменты Август'!L341</f>
        <v>80</v>
      </c>
      <c r="D345" s="17"/>
      <c r="E345" s="14"/>
      <c r="F345" s="18">
        <f>10</f>
        <v>10</v>
      </c>
      <c r="G345" s="19"/>
      <c r="H345" s="20"/>
      <c r="I345" s="21"/>
      <c r="J345" s="14"/>
      <c r="K345" s="14">
        <f t="shared" si="10"/>
        <v>10</v>
      </c>
      <c r="L345" s="16">
        <f t="shared" si="11"/>
        <v>70</v>
      </c>
      <c r="M345" s="22">
        <v>45047</v>
      </c>
      <c r="N345" s="44" t="s">
        <v>551</v>
      </c>
      <c r="O345" s="23" t="s">
        <v>16</v>
      </c>
      <c r="P345" s="24" t="s">
        <v>17</v>
      </c>
      <c r="Q345" s="28" t="s">
        <v>641</v>
      </c>
    </row>
    <row r="346" spans="1:17">
      <c r="A346" s="14">
        <v>342</v>
      </c>
      <c r="B346" s="29" t="s">
        <v>465</v>
      </c>
      <c r="C346" s="16">
        <f>'Медикаменты Август'!L342</f>
        <v>0</v>
      </c>
      <c r="D346" s="17"/>
      <c r="E346" s="14"/>
      <c r="F346" s="18"/>
      <c r="G346" s="19"/>
      <c r="H346" s="20"/>
      <c r="I346" s="21"/>
      <c r="J346" s="14"/>
      <c r="K346" s="14">
        <f t="shared" si="10"/>
        <v>0</v>
      </c>
      <c r="L346" s="16">
        <f t="shared" si="11"/>
        <v>0</v>
      </c>
      <c r="M346" s="22"/>
      <c r="N346" s="44"/>
      <c r="O346" s="23" t="s">
        <v>16</v>
      </c>
      <c r="P346" s="24"/>
      <c r="Q346" s="45"/>
    </row>
    <row r="347" spans="1:17">
      <c r="A347" s="14">
        <v>343</v>
      </c>
      <c r="B347" s="29" t="s">
        <v>466</v>
      </c>
      <c r="C347" s="16">
        <f>'Медикаменты Август'!L343</f>
        <v>0</v>
      </c>
      <c r="D347" s="17"/>
      <c r="E347" s="14"/>
      <c r="F347" s="18"/>
      <c r="G347" s="19"/>
      <c r="H347" s="20"/>
      <c r="I347" s="21"/>
      <c r="J347" s="14"/>
      <c r="K347" s="14">
        <f t="shared" si="10"/>
        <v>0</v>
      </c>
      <c r="L347" s="16">
        <f t="shared" si="11"/>
        <v>0</v>
      </c>
      <c r="M347" s="22">
        <v>44835</v>
      </c>
      <c r="N347" s="44"/>
      <c r="O347" s="23" t="s">
        <v>16</v>
      </c>
      <c r="P347" s="24"/>
      <c r="Q347" s="45"/>
    </row>
    <row r="348" spans="1:17">
      <c r="A348" s="14">
        <v>344</v>
      </c>
      <c r="B348" s="29" t="s">
        <v>467</v>
      </c>
      <c r="C348" s="16">
        <f>'Медикаменты Август'!L344</f>
        <v>0</v>
      </c>
      <c r="D348" s="26"/>
      <c r="E348" s="14"/>
      <c r="F348" s="18"/>
      <c r="G348" s="19"/>
      <c r="H348" s="20"/>
      <c r="I348" s="21"/>
      <c r="J348" s="14"/>
      <c r="K348" s="14">
        <f t="shared" si="10"/>
        <v>0</v>
      </c>
      <c r="L348" s="16">
        <f t="shared" si="11"/>
        <v>0</v>
      </c>
      <c r="M348" s="22"/>
      <c r="N348" s="44"/>
      <c r="O348" s="23" t="s">
        <v>16</v>
      </c>
      <c r="P348" s="24"/>
      <c r="Q348" s="45"/>
    </row>
    <row r="349" spans="1:17">
      <c r="A349" s="14">
        <v>345</v>
      </c>
      <c r="B349" s="29" t="s">
        <v>468</v>
      </c>
      <c r="C349" s="16">
        <f>'Медикаменты Август'!L345</f>
        <v>0</v>
      </c>
      <c r="D349" s="17"/>
      <c r="E349" s="14"/>
      <c r="F349" s="18"/>
      <c r="G349" s="19"/>
      <c r="H349" s="20"/>
      <c r="I349" s="21"/>
      <c r="J349" s="14"/>
      <c r="K349" s="14">
        <f t="shared" si="10"/>
        <v>0</v>
      </c>
      <c r="L349" s="16">
        <f t="shared" si="11"/>
        <v>0</v>
      </c>
      <c r="M349" s="22"/>
      <c r="N349" s="44"/>
      <c r="O349" s="23" t="s">
        <v>16</v>
      </c>
      <c r="P349" s="24"/>
      <c r="Q349" s="45"/>
    </row>
    <row r="350" spans="1:17">
      <c r="A350" s="14">
        <v>346</v>
      </c>
      <c r="B350" s="29" t="s">
        <v>469</v>
      </c>
      <c r="C350" s="16">
        <f>'Медикаменты Август'!L346</f>
        <v>5</v>
      </c>
      <c r="D350" s="17"/>
      <c r="E350" s="14"/>
      <c r="F350" s="18">
        <f>5</f>
        <v>5</v>
      </c>
      <c r="G350" s="19"/>
      <c r="H350" s="20"/>
      <c r="I350" s="21"/>
      <c r="J350" s="14"/>
      <c r="K350" s="14">
        <f t="shared" si="10"/>
        <v>5</v>
      </c>
      <c r="L350" s="16">
        <f t="shared" si="11"/>
        <v>0</v>
      </c>
      <c r="M350" s="22">
        <v>44652</v>
      </c>
      <c r="N350" s="44" t="s">
        <v>45</v>
      </c>
      <c r="O350" s="23" t="s">
        <v>16</v>
      </c>
      <c r="P350" s="24" t="s">
        <v>17</v>
      </c>
      <c r="Q350" s="28" t="s">
        <v>470</v>
      </c>
    </row>
    <row r="351" spans="1:17">
      <c r="A351" s="14">
        <v>347</v>
      </c>
      <c r="B351" s="29" t="s">
        <v>577</v>
      </c>
      <c r="C351" s="16">
        <f>'Медикаменты Август'!L347</f>
        <v>813</v>
      </c>
      <c r="D351" s="17"/>
      <c r="E351" s="14"/>
      <c r="F351" s="18">
        <f>10+10+20</f>
        <v>40</v>
      </c>
      <c r="G351" s="19"/>
      <c r="H351" s="20"/>
      <c r="I351" s="21"/>
      <c r="J351" s="14"/>
      <c r="K351" s="14">
        <f t="shared" si="10"/>
        <v>40</v>
      </c>
      <c r="L351" s="16">
        <f t="shared" si="11"/>
        <v>773</v>
      </c>
      <c r="M351" s="22">
        <v>44927</v>
      </c>
      <c r="N351" s="44" t="s">
        <v>551</v>
      </c>
      <c r="O351" s="23" t="s">
        <v>16</v>
      </c>
      <c r="P351" s="24" t="s">
        <v>17</v>
      </c>
      <c r="Q351" s="28" t="s">
        <v>578</v>
      </c>
    </row>
    <row r="352" spans="1:17">
      <c r="A352" s="14">
        <v>348</v>
      </c>
      <c r="B352" s="29" t="s">
        <v>577</v>
      </c>
      <c r="C352" s="16">
        <f>'Медикаменты Август'!L348</f>
        <v>0</v>
      </c>
      <c r="D352" s="17"/>
      <c r="E352" s="14"/>
      <c r="F352" s="18"/>
      <c r="G352" s="19"/>
      <c r="H352" s="20"/>
      <c r="I352" s="21"/>
      <c r="J352" s="14"/>
      <c r="K352" s="14">
        <f t="shared" si="10"/>
        <v>0</v>
      </c>
      <c r="L352" s="16">
        <f t="shared" si="11"/>
        <v>0</v>
      </c>
      <c r="M352" s="22">
        <v>44927</v>
      </c>
      <c r="N352" s="44" t="s">
        <v>551</v>
      </c>
      <c r="O352" s="23" t="s">
        <v>26</v>
      </c>
      <c r="P352" s="24" t="s">
        <v>17</v>
      </c>
      <c r="Q352" s="28" t="s">
        <v>578</v>
      </c>
    </row>
    <row r="353" spans="1:17">
      <c r="A353" s="14">
        <v>349</v>
      </c>
      <c r="B353" s="29" t="s">
        <v>579</v>
      </c>
      <c r="C353" s="16">
        <f>'Медикаменты Август'!L349</f>
        <v>547</v>
      </c>
      <c r="D353" s="17"/>
      <c r="E353" s="14"/>
      <c r="F353" s="18">
        <f>10+15+10</f>
        <v>35</v>
      </c>
      <c r="G353" s="19"/>
      <c r="H353" s="20"/>
      <c r="I353" s="21"/>
      <c r="J353" s="14"/>
      <c r="K353" s="14">
        <f t="shared" si="10"/>
        <v>35</v>
      </c>
      <c r="L353" s="16">
        <f t="shared" si="11"/>
        <v>512</v>
      </c>
      <c r="M353" s="22">
        <v>44927</v>
      </c>
      <c r="N353" s="44" t="s">
        <v>551</v>
      </c>
      <c r="O353" s="23" t="s">
        <v>16</v>
      </c>
      <c r="P353" s="24" t="s">
        <v>17</v>
      </c>
      <c r="Q353" s="28" t="s">
        <v>580</v>
      </c>
    </row>
    <row r="354" spans="1:17">
      <c r="A354" s="14">
        <v>350</v>
      </c>
      <c r="B354" s="29" t="s">
        <v>581</v>
      </c>
      <c r="C354" s="16">
        <f>'Медикаменты Август'!L350</f>
        <v>30</v>
      </c>
      <c r="D354" s="17"/>
      <c r="E354" s="14"/>
      <c r="F354" s="18"/>
      <c r="G354" s="19"/>
      <c r="H354" s="20"/>
      <c r="I354" s="21"/>
      <c r="J354" s="14"/>
      <c r="K354" s="14">
        <f t="shared" si="10"/>
        <v>0</v>
      </c>
      <c r="L354" s="16">
        <f t="shared" si="11"/>
        <v>30</v>
      </c>
      <c r="M354" s="22">
        <v>44927</v>
      </c>
      <c r="N354" s="44" t="s">
        <v>551</v>
      </c>
      <c r="O354" s="23" t="s">
        <v>16</v>
      </c>
      <c r="P354" s="24" t="s">
        <v>17</v>
      </c>
      <c r="Q354" s="28" t="s">
        <v>582</v>
      </c>
    </row>
    <row r="355" spans="1:17">
      <c r="A355" s="14">
        <v>351</v>
      </c>
      <c r="B355" s="29" t="s">
        <v>612</v>
      </c>
      <c r="C355" s="16">
        <f>'Медикаменты Август'!L351</f>
        <v>300</v>
      </c>
      <c r="D355" s="17"/>
      <c r="E355" s="14"/>
      <c r="F355" s="18">
        <f>6+10</f>
        <v>16</v>
      </c>
      <c r="G355" s="19"/>
      <c r="H355" s="20"/>
      <c r="I355" s="21"/>
      <c r="J355" s="14"/>
      <c r="K355" s="14">
        <f t="shared" si="10"/>
        <v>16</v>
      </c>
      <c r="L355" s="16">
        <f t="shared" si="11"/>
        <v>284</v>
      </c>
      <c r="M355" s="22">
        <v>44866</v>
      </c>
      <c r="N355" s="44" t="s">
        <v>551</v>
      </c>
      <c r="O355" s="23" t="s">
        <v>16</v>
      </c>
      <c r="P355" s="24" t="s">
        <v>17</v>
      </c>
      <c r="Q355" s="28" t="s">
        <v>613</v>
      </c>
    </row>
    <row r="356" spans="1:17">
      <c r="A356" s="14">
        <v>352</v>
      </c>
      <c r="B356" s="29" t="s">
        <v>471</v>
      </c>
      <c r="C356" s="16">
        <f>'Медикаменты Август'!L352</f>
        <v>0</v>
      </c>
      <c r="D356" s="17"/>
      <c r="E356" s="14"/>
      <c r="F356" s="18"/>
      <c r="G356" s="19"/>
      <c r="H356" s="20"/>
      <c r="I356" s="21"/>
      <c r="J356" s="14"/>
      <c r="K356" s="14">
        <f t="shared" si="10"/>
        <v>0</v>
      </c>
      <c r="L356" s="16">
        <f t="shared" si="11"/>
        <v>0</v>
      </c>
      <c r="M356" s="22"/>
      <c r="N356" s="44"/>
      <c r="O356" s="23" t="s">
        <v>16</v>
      </c>
      <c r="P356" s="24"/>
      <c r="Q356" s="45"/>
    </row>
    <row r="357" spans="1:17">
      <c r="A357" s="14">
        <v>353</v>
      </c>
      <c r="B357" s="29" t="s">
        <v>472</v>
      </c>
      <c r="C357" s="16">
        <f>'Медикаменты Август'!L353</f>
        <v>0</v>
      </c>
      <c r="D357" s="17"/>
      <c r="E357" s="14"/>
      <c r="F357" s="18"/>
      <c r="G357" s="19"/>
      <c r="H357" s="20"/>
      <c r="I357" s="21"/>
      <c r="J357" s="14"/>
      <c r="K357" s="14">
        <f t="shared" si="10"/>
        <v>0</v>
      </c>
      <c r="L357" s="16">
        <f t="shared" si="11"/>
        <v>0</v>
      </c>
      <c r="M357" s="22">
        <v>44562</v>
      </c>
      <c r="N357" s="44"/>
      <c r="O357" s="23" t="s">
        <v>16</v>
      </c>
      <c r="P357" s="24"/>
      <c r="Q357" s="28" t="s">
        <v>473</v>
      </c>
    </row>
    <row r="358" spans="1:17">
      <c r="A358" s="14">
        <v>354</v>
      </c>
      <c r="B358" s="29" t="s">
        <v>474</v>
      </c>
      <c r="C358" s="16">
        <f>'Медикаменты Август'!L354</f>
        <v>245</v>
      </c>
      <c r="D358" s="17"/>
      <c r="E358" s="14"/>
      <c r="F358" s="18">
        <f>10+5+5+5</f>
        <v>25</v>
      </c>
      <c r="G358" s="19"/>
      <c r="H358" s="20">
        <f>30</f>
        <v>30</v>
      </c>
      <c r="I358" s="21"/>
      <c r="J358" s="14"/>
      <c r="K358" s="14">
        <f t="shared" si="10"/>
        <v>55</v>
      </c>
      <c r="L358" s="16">
        <f t="shared" si="11"/>
        <v>190</v>
      </c>
      <c r="M358" s="22">
        <v>45108</v>
      </c>
      <c r="N358" s="44" t="s">
        <v>551</v>
      </c>
      <c r="O358" s="23" t="s">
        <v>16</v>
      </c>
      <c r="P358" s="24" t="s">
        <v>45</v>
      </c>
      <c r="Q358" s="28" t="s">
        <v>475</v>
      </c>
    </row>
    <row r="359" spans="1:17">
      <c r="A359" s="14">
        <v>355</v>
      </c>
      <c r="B359" s="29" t="s">
        <v>476</v>
      </c>
      <c r="C359" s="16">
        <f>'Медикаменты Август'!L355</f>
        <v>0</v>
      </c>
      <c r="D359" s="17"/>
      <c r="E359" s="14"/>
      <c r="F359" s="18"/>
      <c r="G359" s="19"/>
      <c r="H359" s="20"/>
      <c r="I359" s="21"/>
      <c r="J359" s="14"/>
      <c r="K359" s="14">
        <f t="shared" si="10"/>
        <v>0</v>
      </c>
      <c r="L359" s="16">
        <f t="shared" si="11"/>
        <v>0</v>
      </c>
      <c r="M359" s="22">
        <v>44531</v>
      </c>
      <c r="N359" s="44"/>
      <c r="O359" s="23" t="s">
        <v>16</v>
      </c>
      <c r="P359" s="24" t="s">
        <v>45</v>
      </c>
      <c r="Q359" s="28" t="s">
        <v>477</v>
      </c>
    </row>
    <row r="360" spans="1:17">
      <c r="A360" s="14">
        <v>356</v>
      </c>
      <c r="B360" s="29" t="s">
        <v>478</v>
      </c>
      <c r="C360" s="16">
        <f>'Медикаменты Август'!L356</f>
        <v>0</v>
      </c>
      <c r="D360" s="17"/>
      <c r="E360" s="14"/>
      <c r="F360" s="18"/>
      <c r="G360" s="19"/>
      <c r="H360" s="20"/>
      <c r="I360" s="21"/>
      <c r="J360" s="14"/>
      <c r="K360" s="14">
        <f t="shared" si="10"/>
        <v>0</v>
      </c>
      <c r="L360" s="16">
        <f t="shared" si="11"/>
        <v>0</v>
      </c>
      <c r="M360" s="22"/>
      <c r="N360" s="44"/>
      <c r="O360" s="23" t="s">
        <v>16</v>
      </c>
      <c r="P360" s="24"/>
      <c r="Q360" s="45"/>
    </row>
    <row r="361" spans="1:17">
      <c r="A361" s="14">
        <v>357</v>
      </c>
      <c r="B361" s="29" t="s">
        <v>479</v>
      </c>
      <c r="C361" s="16">
        <f>'Медикаменты Август'!L357</f>
        <v>0</v>
      </c>
      <c r="D361" s="17"/>
      <c r="E361" s="14"/>
      <c r="F361" s="18"/>
      <c r="G361" s="19"/>
      <c r="H361" s="20"/>
      <c r="I361" s="21"/>
      <c r="J361" s="14"/>
      <c r="K361" s="14">
        <f t="shared" si="10"/>
        <v>0</v>
      </c>
      <c r="L361" s="16">
        <f t="shared" si="11"/>
        <v>0</v>
      </c>
      <c r="M361" s="22">
        <v>44743</v>
      </c>
      <c r="N361" s="44"/>
      <c r="O361" s="23" t="s">
        <v>16</v>
      </c>
      <c r="P361" s="24"/>
      <c r="Q361" s="28" t="s">
        <v>480</v>
      </c>
    </row>
    <row r="362" spans="1:17">
      <c r="A362" s="14">
        <v>358</v>
      </c>
      <c r="B362" s="29" t="s">
        <v>481</v>
      </c>
      <c r="C362" s="16">
        <f>'Медикаменты Август'!L358</f>
        <v>140</v>
      </c>
      <c r="D362" s="17"/>
      <c r="E362" s="14"/>
      <c r="F362" s="18">
        <f>10+5+5+5</f>
        <v>25</v>
      </c>
      <c r="G362" s="19"/>
      <c r="H362" s="20">
        <f>10</f>
        <v>10</v>
      </c>
      <c r="I362" s="21"/>
      <c r="J362" s="14"/>
      <c r="K362" s="14">
        <f t="shared" si="10"/>
        <v>35</v>
      </c>
      <c r="L362" s="16">
        <f t="shared" si="11"/>
        <v>105</v>
      </c>
      <c r="M362" s="22">
        <v>45108</v>
      </c>
      <c r="N362" s="44" t="s">
        <v>45</v>
      </c>
      <c r="O362" s="23" t="s">
        <v>16</v>
      </c>
      <c r="P362" s="24" t="s">
        <v>17</v>
      </c>
      <c r="Q362" s="28" t="s">
        <v>558</v>
      </c>
    </row>
    <row r="363" spans="1:17">
      <c r="A363" s="14">
        <v>359</v>
      </c>
      <c r="B363" s="29" t="s">
        <v>483</v>
      </c>
      <c r="C363" s="16">
        <f>'Медикаменты Август'!L360</f>
        <v>0</v>
      </c>
      <c r="D363" s="17"/>
      <c r="E363" s="14"/>
      <c r="F363" s="18"/>
      <c r="G363" s="19"/>
      <c r="H363" s="20"/>
      <c r="I363" s="21"/>
      <c r="J363" s="14"/>
      <c r="K363" s="14">
        <f t="shared" si="10"/>
        <v>0</v>
      </c>
      <c r="L363" s="16">
        <f t="shared" si="11"/>
        <v>0</v>
      </c>
      <c r="M363" s="22">
        <v>45689</v>
      </c>
      <c r="N363" s="44" t="s">
        <v>45</v>
      </c>
      <c r="O363" s="23" t="s">
        <v>16</v>
      </c>
      <c r="P363" s="24" t="s">
        <v>17</v>
      </c>
      <c r="Q363" s="28" t="s">
        <v>484</v>
      </c>
    </row>
    <row r="364" spans="1:17">
      <c r="A364" s="14">
        <v>360</v>
      </c>
      <c r="B364" s="29" t="s">
        <v>483</v>
      </c>
      <c r="C364" s="16">
        <f>'Медикаменты Август'!L361</f>
        <v>0</v>
      </c>
      <c r="D364" s="17"/>
      <c r="E364" s="14"/>
      <c r="F364" s="18"/>
      <c r="G364" s="19"/>
      <c r="H364" s="20"/>
      <c r="I364" s="21"/>
      <c r="J364" s="14"/>
      <c r="K364" s="14">
        <f t="shared" si="10"/>
        <v>0</v>
      </c>
      <c r="L364" s="16">
        <f t="shared" si="11"/>
        <v>0</v>
      </c>
      <c r="M364" s="22">
        <v>45689</v>
      </c>
      <c r="N364" s="44" t="s">
        <v>45</v>
      </c>
      <c r="O364" s="23" t="s">
        <v>26</v>
      </c>
      <c r="P364" s="24" t="s">
        <v>17</v>
      </c>
      <c r="Q364" s="28" t="s">
        <v>484</v>
      </c>
    </row>
    <row r="365" spans="1:17">
      <c r="A365" s="14">
        <v>361</v>
      </c>
      <c r="B365" s="29" t="s">
        <v>485</v>
      </c>
      <c r="C365" s="16">
        <f>'Медикаменты Август'!L362</f>
        <v>0</v>
      </c>
      <c r="D365" s="17"/>
      <c r="E365" s="14"/>
      <c r="F365" s="18"/>
      <c r="G365" s="19"/>
      <c r="H365" s="20"/>
      <c r="I365" s="21"/>
      <c r="J365" s="14"/>
      <c r="K365" s="14">
        <f t="shared" si="10"/>
        <v>0</v>
      </c>
      <c r="L365" s="16">
        <f t="shared" si="11"/>
        <v>0</v>
      </c>
      <c r="M365" s="22">
        <v>45597</v>
      </c>
      <c r="N365" s="44"/>
      <c r="O365" s="23" t="s">
        <v>16</v>
      </c>
      <c r="P365" s="24"/>
      <c r="Q365" s="28" t="s">
        <v>486</v>
      </c>
    </row>
    <row r="366" spans="1:17">
      <c r="A366" s="14">
        <v>362</v>
      </c>
      <c r="B366" s="29" t="s">
        <v>487</v>
      </c>
      <c r="C366" s="16">
        <f>'Медикаменты Август'!L363</f>
        <v>0</v>
      </c>
      <c r="D366" s="17"/>
      <c r="E366" s="14"/>
      <c r="F366" s="18"/>
      <c r="G366" s="19"/>
      <c r="H366" s="20"/>
      <c r="I366" s="21"/>
      <c r="J366" s="14"/>
      <c r="K366" s="14">
        <f t="shared" si="10"/>
        <v>0</v>
      </c>
      <c r="L366" s="16">
        <f t="shared" si="11"/>
        <v>0</v>
      </c>
      <c r="M366" s="22"/>
      <c r="N366" s="44"/>
      <c r="O366" s="23" t="s">
        <v>16</v>
      </c>
      <c r="P366" s="24"/>
      <c r="Q366" s="45"/>
    </row>
    <row r="367" spans="1:17">
      <c r="A367" s="14">
        <v>363</v>
      </c>
      <c r="B367" s="29" t="s">
        <v>488</v>
      </c>
      <c r="C367" s="16">
        <f>'Медикаменты Август'!L364</f>
        <v>0</v>
      </c>
      <c r="D367" s="17"/>
      <c r="E367" s="14"/>
      <c r="F367" s="18"/>
      <c r="G367" s="19"/>
      <c r="H367" s="20"/>
      <c r="I367" s="21"/>
      <c r="J367" s="14"/>
      <c r="K367" s="14">
        <f t="shared" si="10"/>
        <v>0</v>
      </c>
      <c r="L367" s="16">
        <f t="shared" si="11"/>
        <v>0</v>
      </c>
      <c r="M367" s="22">
        <v>45200</v>
      </c>
      <c r="N367" s="44" t="s">
        <v>551</v>
      </c>
      <c r="O367" s="23" t="s">
        <v>16</v>
      </c>
      <c r="P367" s="24" t="s">
        <v>17</v>
      </c>
      <c r="Q367" s="28" t="s">
        <v>489</v>
      </c>
    </row>
    <row r="368" spans="1:17">
      <c r="A368" s="14">
        <v>364</v>
      </c>
      <c r="B368" s="29" t="s">
        <v>490</v>
      </c>
      <c r="C368" s="16">
        <f>'Медикаменты Август'!L365</f>
        <v>0</v>
      </c>
      <c r="D368" s="17"/>
      <c r="E368" s="14"/>
      <c r="F368" s="18"/>
      <c r="G368" s="19"/>
      <c r="H368" s="20"/>
      <c r="I368" s="21"/>
      <c r="J368" s="14"/>
      <c r="K368" s="14">
        <f t="shared" si="10"/>
        <v>0</v>
      </c>
      <c r="L368" s="16">
        <f t="shared" si="11"/>
        <v>0</v>
      </c>
      <c r="M368" s="22"/>
      <c r="N368" s="44"/>
      <c r="O368" s="23" t="s">
        <v>16</v>
      </c>
      <c r="P368" s="24"/>
      <c r="Q368" s="45"/>
    </row>
    <row r="369" spans="1:17">
      <c r="A369" s="14">
        <v>365</v>
      </c>
      <c r="B369" s="29" t="s">
        <v>614</v>
      </c>
      <c r="C369" s="16">
        <f>'Медикаменты Август'!L366</f>
        <v>69</v>
      </c>
      <c r="D369" s="17"/>
      <c r="E369" s="14"/>
      <c r="F369" s="18">
        <f>3+3</f>
        <v>6</v>
      </c>
      <c r="G369" s="19"/>
      <c r="H369" s="20"/>
      <c r="I369" s="21"/>
      <c r="J369" s="14"/>
      <c r="K369" s="14">
        <f t="shared" si="10"/>
        <v>6</v>
      </c>
      <c r="L369" s="16">
        <f t="shared" si="11"/>
        <v>63</v>
      </c>
      <c r="M369" s="22">
        <v>45323</v>
      </c>
      <c r="N369" s="44" t="s">
        <v>551</v>
      </c>
      <c r="O369" s="23" t="s">
        <v>16</v>
      </c>
      <c r="P369" s="24" t="s">
        <v>17</v>
      </c>
      <c r="Q369" s="28" t="s">
        <v>615</v>
      </c>
    </row>
    <row r="370" spans="1:17">
      <c r="A370" s="14">
        <v>366</v>
      </c>
      <c r="B370" s="29" t="s">
        <v>642</v>
      </c>
      <c r="C370" s="16">
        <f>'Медикаменты Август'!L367</f>
        <v>50</v>
      </c>
      <c r="D370" s="17"/>
      <c r="E370" s="14"/>
      <c r="F370" s="18"/>
      <c r="G370" s="19"/>
      <c r="H370" s="20"/>
      <c r="I370" s="21"/>
      <c r="J370" s="14"/>
      <c r="K370" s="14">
        <f t="shared" si="10"/>
        <v>0</v>
      </c>
      <c r="L370" s="16">
        <f t="shared" si="11"/>
        <v>50</v>
      </c>
      <c r="M370" s="22">
        <v>45231</v>
      </c>
      <c r="N370" s="44" t="s">
        <v>551</v>
      </c>
      <c r="O370" s="23" t="s">
        <v>16</v>
      </c>
      <c r="P370" s="24" t="s">
        <v>17</v>
      </c>
      <c r="Q370" s="28" t="s">
        <v>492</v>
      </c>
    </row>
    <row r="371" spans="1:17">
      <c r="A371" s="14">
        <v>367</v>
      </c>
      <c r="B371" s="29" t="s">
        <v>642</v>
      </c>
      <c r="C371" s="16">
        <f>'Медикаменты Август'!L368</f>
        <v>345</v>
      </c>
      <c r="D371" s="17"/>
      <c r="E371" s="14"/>
      <c r="F371" s="18"/>
      <c r="G371" s="19"/>
      <c r="H371" s="20"/>
      <c r="I371" s="21"/>
      <c r="J371" s="14"/>
      <c r="K371" s="14">
        <f t="shared" si="10"/>
        <v>0</v>
      </c>
      <c r="L371" s="16">
        <f t="shared" si="11"/>
        <v>345</v>
      </c>
      <c r="M371" s="22">
        <v>44896</v>
      </c>
      <c r="N371" s="44" t="s">
        <v>551</v>
      </c>
      <c r="O371" s="23" t="s">
        <v>16</v>
      </c>
      <c r="P371" s="24" t="s">
        <v>17</v>
      </c>
      <c r="Q371" s="28" t="s">
        <v>492</v>
      </c>
    </row>
    <row r="372" spans="1:17">
      <c r="A372" s="14">
        <v>368</v>
      </c>
      <c r="B372" s="29" t="s">
        <v>643</v>
      </c>
      <c r="C372" s="16">
        <f>'Медикаменты Август'!L369</f>
        <v>40</v>
      </c>
      <c r="D372" s="17"/>
      <c r="E372" s="14"/>
      <c r="F372" s="18"/>
      <c r="G372" s="19"/>
      <c r="H372" s="20"/>
      <c r="I372" s="21"/>
      <c r="J372" s="14"/>
      <c r="K372" s="14">
        <f t="shared" si="10"/>
        <v>0</v>
      </c>
      <c r="L372" s="16">
        <f t="shared" si="11"/>
        <v>40</v>
      </c>
      <c r="M372" s="22">
        <v>44774</v>
      </c>
      <c r="N372" s="44" t="s">
        <v>551</v>
      </c>
      <c r="O372" s="23" t="s">
        <v>16</v>
      </c>
      <c r="P372" s="24" t="s">
        <v>17</v>
      </c>
      <c r="Q372" s="28" t="s">
        <v>494</v>
      </c>
    </row>
    <row r="373" spans="1:17">
      <c r="A373" s="14">
        <v>369</v>
      </c>
      <c r="B373" s="29" t="s">
        <v>495</v>
      </c>
      <c r="C373" s="16">
        <f>'Медикаменты Август'!L370</f>
        <v>0</v>
      </c>
      <c r="D373" s="17"/>
      <c r="E373" s="14"/>
      <c r="F373" s="18"/>
      <c r="G373" s="19"/>
      <c r="H373" s="20"/>
      <c r="I373" s="21"/>
      <c r="J373" s="14"/>
      <c r="K373" s="14">
        <f t="shared" si="10"/>
        <v>0</v>
      </c>
      <c r="L373" s="16">
        <f t="shared" si="11"/>
        <v>0</v>
      </c>
      <c r="M373" s="22"/>
      <c r="N373" s="44"/>
      <c r="O373" s="23" t="s">
        <v>16</v>
      </c>
      <c r="P373" s="24"/>
      <c r="Q373" s="45"/>
    </row>
    <row r="374" spans="1:17">
      <c r="A374" s="14">
        <v>370</v>
      </c>
      <c r="B374" s="29" t="s">
        <v>583</v>
      </c>
      <c r="C374" s="16">
        <f>'Медикаменты Август'!L371</f>
        <v>6</v>
      </c>
      <c r="D374" s="17"/>
      <c r="E374" s="14"/>
      <c r="F374" s="18"/>
      <c r="G374" s="19"/>
      <c r="H374" s="20"/>
      <c r="I374" s="21"/>
      <c r="J374" s="14"/>
      <c r="K374" s="14">
        <f t="shared" si="10"/>
        <v>0</v>
      </c>
      <c r="L374" s="16">
        <f t="shared" si="11"/>
        <v>6</v>
      </c>
      <c r="M374" s="22">
        <v>44896</v>
      </c>
      <c r="N374" s="44" t="s">
        <v>551</v>
      </c>
      <c r="O374" s="23" t="s">
        <v>16</v>
      </c>
      <c r="P374" s="24" t="s">
        <v>17</v>
      </c>
      <c r="Q374" s="28" t="s">
        <v>497</v>
      </c>
    </row>
    <row r="375" spans="1:17">
      <c r="A375" s="14">
        <v>371</v>
      </c>
      <c r="B375" s="29" t="s">
        <v>498</v>
      </c>
      <c r="C375" s="16">
        <f>'Медикаменты Август'!L372</f>
        <v>100</v>
      </c>
      <c r="D375" s="17"/>
      <c r="E375" s="14"/>
      <c r="F375" s="18"/>
      <c r="G375" s="19"/>
      <c r="H375" s="20"/>
      <c r="I375" s="21"/>
      <c r="J375" s="14"/>
      <c r="K375" s="14">
        <f t="shared" si="10"/>
        <v>0</v>
      </c>
      <c r="L375" s="16">
        <f t="shared" si="11"/>
        <v>100</v>
      </c>
      <c r="M375" s="22">
        <v>44805</v>
      </c>
      <c r="N375" s="44" t="s">
        <v>45</v>
      </c>
      <c r="O375" s="23" t="s">
        <v>16</v>
      </c>
      <c r="P375" s="24" t="s">
        <v>17</v>
      </c>
      <c r="Q375" s="28" t="s">
        <v>499</v>
      </c>
    </row>
    <row r="376" spans="1:17">
      <c r="A376" s="14">
        <v>372</v>
      </c>
      <c r="B376" s="29" t="s">
        <v>500</v>
      </c>
      <c r="C376" s="16">
        <f>'Медикаменты Август'!L373</f>
        <v>70</v>
      </c>
      <c r="D376" s="17"/>
      <c r="E376" s="14"/>
      <c r="F376" s="18"/>
      <c r="G376" s="19"/>
      <c r="H376" s="20"/>
      <c r="I376" s="21"/>
      <c r="J376" s="14"/>
      <c r="K376" s="14">
        <f t="shared" si="10"/>
        <v>0</v>
      </c>
      <c r="L376" s="16">
        <f t="shared" si="11"/>
        <v>70</v>
      </c>
      <c r="M376" s="22">
        <v>45992</v>
      </c>
      <c r="N376" s="44" t="s">
        <v>551</v>
      </c>
      <c r="O376" s="23" t="s">
        <v>16</v>
      </c>
      <c r="P376" s="24" t="s">
        <v>17</v>
      </c>
      <c r="Q376" s="28" t="s">
        <v>616</v>
      </c>
    </row>
    <row r="377" spans="1:17">
      <c r="A377" s="14">
        <v>373</v>
      </c>
      <c r="B377" s="29" t="s">
        <v>501</v>
      </c>
      <c r="C377" s="16">
        <f>'Медикаменты Август'!L374</f>
        <v>0</v>
      </c>
      <c r="D377" s="17"/>
      <c r="E377" s="14"/>
      <c r="F377" s="18"/>
      <c r="G377" s="19"/>
      <c r="H377" s="20"/>
      <c r="I377" s="21"/>
      <c r="J377" s="14"/>
      <c r="K377" s="14">
        <f t="shared" si="10"/>
        <v>0</v>
      </c>
      <c r="L377" s="16">
        <f t="shared" si="11"/>
        <v>0</v>
      </c>
      <c r="M377" s="22"/>
      <c r="N377" s="44"/>
      <c r="O377" s="23" t="s">
        <v>16</v>
      </c>
      <c r="P377" s="24"/>
      <c r="Q377" s="45"/>
    </row>
    <row r="378" spans="1:17">
      <c r="A378" s="14">
        <v>374</v>
      </c>
      <c r="B378" s="29" t="s">
        <v>502</v>
      </c>
      <c r="C378" s="16">
        <f>'Медикаменты Август'!L375</f>
        <v>20</v>
      </c>
      <c r="D378" s="17"/>
      <c r="E378" s="14"/>
      <c r="F378" s="18">
        <f>5+5+10</f>
        <v>20</v>
      </c>
      <c r="G378" s="19"/>
      <c r="H378" s="20"/>
      <c r="I378" s="21"/>
      <c r="J378" s="14"/>
      <c r="K378" s="14">
        <f t="shared" si="10"/>
        <v>20</v>
      </c>
      <c r="L378" s="16">
        <f t="shared" si="11"/>
        <v>0</v>
      </c>
      <c r="M378" s="22">
        <v>45139</v>
      </c>
      <c r="N378" s="44" t="s">
        <v>551</v>
      </c>
      <c r="O378" s="23" t="s">
        <v>16</v>
      </c>
      <c r="P378" s="24" t="s">
        <v>17</v>
      </c>
      <c r="Q378" s="46" t="s">
        <v>588</v>
      </c>
    </row>
    <row r="379" spans="1:17">
      <c r="A379" s="14">
        <v>375</v>
      </c>
      <c r="B379" s="29" t="s">
        <v>502</v>
      </c>
      <c r="C379" s="16">
        <f>'Медикаменты Август'!L376</f>
        <v>0</v>
      </c>
      <c r="D379" s="17"/>
      <c r="E379" s="14"/>
      <c r="F379" s="18"/>
      <c r="G379" s="19"/>
      <c r="H379" s="20"/>
      <c r="I379" s="21"/>
      <c r="J379" s="14"/>
      <c r="K379" s="14">
        <f t="shared" si="10"/>
        <v>0</v>
      </c>
      <c r="L379" s="16">
        <f t="shared" si="11"/>
        <v>0</v>
      </c>
      <c r="M379" s="22">
        <v>45139</v>
      </c>
      <c r="N379" s="44" t="s">
        <v>551</v>
      </c>
      <c r="O379" s="23" t="s">
        <v>26</v>
      </c>
      <c r="P379" s="24" t="s">
        <v>17</v>
      </c>
      <c r="Q379" s="46" t="s">
        <v>588</v>
      </c>
    </row>
    <row r="380" spans="1:17">
      <c r="A380" s="14">
        <v>376</v>
      </c>
      <c r="B380" s="29" t="s">
        <v>503</v>
      </c>
      <c r="C380" s="16">
        <f>'Медикаменты Август'!L377</f>
        <v>38</v>
      </c>
      <c r="D380" s="26"/>
      <c r="E380" s="14"/>
      <c r="F380" s="18">
        <f>5+5+5</f>
        <v>15</v>
      </c>
      <c r="G380" s="19"/>
      <c r="H380" s="20"/>
      <c r="I380" s="21"/>
      <c r="J380" s="14"/>
      <c r="K380" s="14">
        <f t="shared" si="10"/>
        <v>15</v>
      </c>
      <c r="L380" s="16">
        <f t="shared" si="11"/>
        <v>23</v>
      </c>
      <c r="M380" s="22">
        <v>44713</v>
      </c>
      <c r="N380" s="44" t="s">
        <v>45</v>
      </c>
      <c r="O380" s="23" t="s">
        <v>16</v>
      </c>
      <c r="P380" s="24" t="s">
        <v>17</v>
      </c>
      <c r="Q380" s="28" t="s">
        <v>504</v>
      </c>
    </row>
    <row r="381" spans="1:17">
      <c r="A381" s="14">
        <v>377</v>
      </c>
      <c r="B381" s="29" t="s">
        <v>505</v>
      </c>
      <c r="C381" s="16">
        <f>'Медикаменты Август'!L378</f>
        <v>0</v>
      </c>
      <c r="D381" s="17"/>
      <c r="E381" s="14"/>
      <c r="F381" s="18"/>
      <c r="G381" s="19"/>
      <c r="H381" s="20"/>
      <c r="I381" s="21"/>
      <c r="J381" s="14"/>
      <c r="K381" s="14">
        <f t="shared" si="10"/>
        <v>0</v>
      </c>
      <c r="L381" s="16">
        <f t="shared" si="11"/>
        <v>0</v>
      </c>
      <c r="M381" s="22"/>
      <c r="N381" s="44"/>
      <c r="O381" s="23" t="s">
        <v>16</v>
      </c>
      <c r="P381" s="24"/>
      <c r="Q381" s="45"/>
    </row>
    <row r="382" spans="1:17">
      <c r="A382" s="14">
        <v>378</v>
      </c>
      <c r="B382" s="29" t="s">
        <v>506</v>
      </c>
      <c r="C382" s="16">
        <f>'Медикаменты Август'!L379</f>
        <v>0</v>
      </c>
      <c r="D382" s="26"/>
      <c r="E382" s="14"/>
      <c r="F382" s="18"/>
      <c r="G382" s="19"/>
      <c r="H382" s="20"/>
      <c r="I382" s="21"/>
      <c r="J382" s="14"/>
      <c r="K382" s="14">
        <f t="shared" si="10"/>
        <v>0</v>
      </c>
      <c r="L382" s="16">
        <f t="shared" si="11"/>
        <v>0</v>
      </c>
      <c r="M382" s="22">
        <v>44531</v>
      </c>
      <c r="N382" s="44" t="s">
        <v>45</v>
      </c>
      <c r="O382" s="23" t="s">
        <v>16</v>
      </c>
      <c r="P382" s="24" t="s">
        <v>17</v>
      </c>
      <c r="Q382" s="28" t="s">
        <v>507</v>
      </c>
    </row>
    <row r="383" spans="1:17">
      <c r="A383" s="14">
        <v>379</v>
      </c>
      <c r="B383" s="29" t="s">
        <v>644</v>
      </c>
      <c r="C383" s="16">
        <f>'Медикаменты Август'!L380</f>
        <v>402</v>
      </c>
      <c r="D383" s="17"/>
      <c r="E383" s="14"/>
      <c r="F383" s="18">
        <f>5</f>
        <v>5</v>
      </c>
      <c r="G383" s="19"/>
      <c r="H383" s="20">
        <f>30</f>
        <v>30</v>
      </c>
      <c r="I383" s="21"/>
      <c r="J383" s="14"/>
      <c r="K383" s="14">
        <f t="shared" si="10"/>
        <v>35</v>
      </c>
      <c r="L383" s="16">
        <f t="shared" si="11"/>
        <v>367</v>
      </c>
      <c r="M383" s="22">
        <v>45108</v>
      </c>
      <c r="N383" s="44" t="s">
        <v>551</v>
      </c>
      <c r="O383" s="23" t="s">
        <v>16</v>
      </c>
      <c r="P383" s="24" t="s">
        <v>17</v>
      </c>
      <c r="Q383" s="28" t="s">
        <v>509</v>
      </c>
    </row>
    <row r="384" spans="1:17">
      <c r="A384" s="14">
        <v>380</v>
      </c>
      <c r="B384" s="29" t="s">
        <v>510</v>
      </c>
      <c r="C384" s="16">
        <f>'Медикаменты Август'!L381</f>
        <v>105</v>
      </c>
      <c r="D384" s="17"/>
      <c r="E384" s="14"/>
      <c r="F384" s="18">
        <f>5</f>
        <v>5</v>
      </c>
      <c r="G384" s="19"/>
      <c r="H384" s="20"/>
      <c r="I384" s="21"/>
      <c r="J384" s="14"/>
      <c r="K384" s="14">
        <f t="shared" si="10"/>
        <v>5</v>
      </c>
      <c r="L384" s="16">
        <f t="shared" si="11"/>
        <v>100</v>
      </c>
      <c r="M384" s="22">
        <v>44950</v>
      </c>
      <c r="N384" s="44" t="s">
        <v>551</v>
      </c>
      <c r="O384" s="23" t="s">
        <v>16</v>
      </c>
      <c r="P384" s="24" t="s">
        <v>17</v>
      </c>
      <c r="Q384" s="28" t="s">
        <v>589</v>
      </c>
    </row>
    <row r="385" spans="1:17">
      <c r="A385" s="14">
        <v>381</v>
      </c>
      <c r="B385" s="29" t="s">
        <v>511</v>
      </c>
      <c r="C385" s="16">
        <f>'Медикаменты Август'!L382</f>
        <v>0</v>
      </c>
      <c r="D385" s="17"/>
      <c r="E385" s="14"/>
      <c r="F385" s="18"/>
      <c r="G385" s="19"/>
      <c r="H385" s="20"/>
      <c r="I385" s="21"/>
      <c r="J385" s="14"/>
      <c r="K385" s="14">
        <f t="shared" si="10"/>
        <v>0</v>
      </c>
      <c r="L385" s="16">
        <f t="shared" si="11"/>
        <v>0</v>
      </c>
      <c r="M385" s="22"/>
      <c r="N385" s="44"/>
      <c r="O385" s="23" t="s">
        <v>16</v>
      </c>
      <c r="P385" s="24"/>
      <c r="Q385" s="45"/>
    </row>
    <row r="386" spans="1:17">
      <c r="A386" s="14">
        <v>382</v>
      </c>
      <c r="B386" s="29" t="s">
        <v>512</v>
      </c>
      <c r="C386" s="16">
        <f>'Медикаменты Август'!L383</f>
        <v>255</v>
      </c>
      <c r="D386" s="17"/>
      <c r="E386" s="14"/>
      <c r="F386" s="18">
        <f>15+5+5</f>
        <v>25</v>
      </c>
      <c r="G386" s="19"/>
      <c r="H386" s="20"/>
      <c r="I386" s="21"/>
      <c r="J386" s="14"/>
      <c r="K386" s="14">
        <f t="shared" si="10"/>
        <v>25</v>
      </c>
      <c r="L386" s="16">
        <f t="shared" si="11"/>
        <v>230</v>
      </c>
      <c r="M386" s="22">
        <v>45383</v>
      </c>
      <c r="N386" s="44" t="s">
        <v>551</v>
      </c>
      <c r="O386" s="23" t="s">
        <v>16</v>
      </c>
      <c r="P386" s="24" t="s">
        <v>17</v>
      </c>
      <c r="Q386" s="28" t="s">
        <v>513</v>
      </c>
    </row>
    <row r="387" spans="1:17">
      <c r="A387" s="14">
        <v>383</v>
      </c>
      <c r="B387" s="29" t="s">
        <v>514</v>
      </c>
      <c r="C387" s="16">
        <f>'Медикаменты Август'!L384</f>
        <v>255</v>
      </c>
      <c r="D387" s="17"/>
      <c r="E387" s="14"/>
      <c r="F387" s="18">
        <f>10+5+5</f>
        <v>20</v>
      </c>
      <c r="G387" s="19"/>
      <c r="H387" s="20"/>
      <c r="I387" s="21"/>
      <c r="J387" s="14"/>
      <c r="K387" s="14">
        <f t="shared" si="10"/>
        <v>20</v>
      </c>
      <c r="L387" s="16">
        <f t="shared" si="11"/>
        <v>235</v>
      </c>
      <c r="M387" s="22">
        <v>45199</v>
      </c>
      <c r="N387" s="44" t="s">
        <v>551</v>
      </c>
      <c r="O387" s="23" t="s">
        <v>16</v>
      </c>
      <c r="P387" s="24" t="s">
        <v>17</v>
      </c>
      <c r="Q387" s="28" t="s">
        <v>515</v>
      </c>
    </row>
    <row r="388" spans="1:17">
      <c r="A388" s="14">
        <v>384</v>
      </c>
      <c r="B388" s="29" t="s">
        <v>516</v>
      </c>
      <c r="C388" s="16">
        <f>'Медикаменты Август'!L385</f>
        <v>0</v>
      </c>
      <c r="D388" s="17"/>
      <c r="E388" s="14"/>
      <c r="F388" s="18"/>
      <c r="G388" s="19"/>
      <c r="H388" s="20"/>
      <c r="I388" s="21"/>
      <c r="J388" s="14"/>
      <c r="K388" s="14">
        <f t="shared" si="10"/>
        <v>0</v>
      </c>
      <c r="L388" s="16">
        <f t="shared" si="11"/>
        <v>0</v>
      </c>
      <c r="M388" s="22"/>
      <c r="N388" s="44"/>
      <c r="O388" s="23" t="s">
        <v>16</v>
      </c>
      <c r="P388" s="24"/>
      <c r="Q388" s="45"/>
    </row>
    <row r="389" spans="1:17">
      <c r="A389" s="14">
        <v>385</v>
      </c>
      <c r="B389" s="29" t="s">
        <v>517</v>
      </c>
      <c r="C389" s="16">
        <f>'Медикаменты Август'!L386</f>
        <v>0</v>
      </c>
      <c r="D389" s="17"/>
      <c r="E389" s="14"/>
      <c r="F389" s="18"/>
      <c r="G389" s="19"/>
      <c r="H389" s="20"/>
      <c r="I389" s="21"/>
      <c r="J389" s="14"/>
      <c r="K389" s="14">
        <f t="shared" ref="K389:K452" si="12">SUM(F389:J389)</f>
        <v>0</v>
      </c>
      <c r="L389" s="16">
        <f t="shared" ref="L389:L452" si="13">(C389+E389)-K389</f>
        <v>0</v>
      </c>
      <c r="M389" s="22">
        <v>44682</v>
      </c>
      <c r="N389" s="44"/>
      <c r="O389" s="23" t="s">
        <v>26</v>
      </c>
      <c r="P389" s="24" t="s">
        <v>17</v>
      </c>
      <c r="Q389" s="28" t="s">
        <v>518</v>
      </c>
    </row>
    <row r="390" spans="1:17">
      <c r="A390" s="14">
        <v>386</v>
      </c>
      <c r="B390" s="29" t="s">
        <v>519</v>
      </c>
      <c r="C390" s="16">
        <f>'Медикаменты Август'!L387</f>
        <v>0</v>
      </c>
      <c r="D390" s="17"/>
      <c r="E390" s="14">
        <f>200</f>
        <v>200</v>
      </c>
      <c r="F390" s="18">
        <f>15</f>
        <v>15</v>
      </c>
      <c r="G390" s="19"/>
      <c r="H390" s="20">
        <f>30</f>
        <v>30</v>
      </c>
      <c r="I390" s="21"/>
      <c r="J390" s="14"/>
      <c r="K390" s="14">
        <f t="shared" si="12"/>
        <v>45</v>
      </c>
      <c r="L390" s="16">
        <f t="shared" si="13"/>
        <v>155</v>
      </c>
      <c r="M390" s="22">
        <v>45352</v>
      </c>
      <c r="N390" s="44" t="s">
        <v>551</v>
      </c>
      <c r="O390" s="23" t="s">
        <v>16</v>
      </c>
      <c r="P390" s="24" t="s">
        <v>17</v>
      </c>
      <c r="Q390" s="28" t="s">
        <v>655</v>
      </c>
    </row>
    <row r="391" spans="1:17">
      <c r="A391" s="14">
        <v>387</v>
      </c>
      <c r="B391" s="29" t="s">
        <v>520</v>
      </c>
      <c r="C391" s="16">
        <f>'Медикаменты Август'!L388</f>
        <v>0</v>
      </c>
      <c r="D391" s="17"/>
      <c r="E391" s="14"/>
      <c r="F391" s="18"/>
      <c r="G391" s="19"/>
      <c r="H391" s="20"/>
      <c r="I391" s="21"/>
      <c r="J391" s="14"/>
      <c r="K391" s="14">
        <f t="shared" si="12"/>
        <v>0</v>
      </c>
      <c r="L391" s="16">
        <f t="shared" si="13"/>
        <v>0</v>
      </c>
      <c r="M391" s="22">
        <v>44805</v>
      </c>
      <c r="N391" s="44"/>
      <c r="O391" s="23" t="s">
        <v>26</v>
      </c>
      <c r="P391" s="24" t="s">
        <v>17</v>
      </c>
      <c r="Q391" s="28" t="s">
        <v>521</v>
      </c>
    </row>
    <row r="392" spans="1:17">
      <c r="A392" s="14">
        <v>388</v>
      </c>
      <c r="B392" s="29" t="s">
        <v>522</v>
      </c>
      <c r="C392" s="16">
        <f>'Медикаменты Август'!L389</f>
        <v>0</v>
      </c>
      <c r="D392" s="17"/>
      <c r="E392" s="14"/>
      <c r="F392" s="18"/>
      <c r="G392" s="19"/>
      <c r="H392" s="20"/>
      <c r="I392" s="21"/>
      <c r="J392" s="14"/>
      <c r="K392" s="14">
        <f t="shared" si="12"/>
        <v>0</v>
      </c>
      <c r="L392" s="16">
        <f t="shared" si="13"/>
        <v>0</v>
      </c>
      <c r="M392" s="22"/>
      <c r="N392" s="44"/>
      <c r="O392" s="23" t="s">
        <v>16</v>
      </c>
      <c r="P392" s="24"/>
      <c r="Q392" s="45"/>
    </row>
    <row r="393" spans="1:17">
      <c r="A393" s="14">
        <v>389</v>
      </c>
      <c r="B393" s="29" t="s">
        <v>523</v>
      </c>
      <c r="C393" s="16">
        <f>'Медикаменты Август'!L390</f>
        <v>0</v>
      </c>
      <c r="D393" s="17"/>
      <c r="E393" s="14"/>
      <c r="F393" s="18"/>
      <c r="G393" s="19"/>
      <c r="H393" s="20"/>
      <c r="I393" s="21"/>
      <c r="J393" s="14"/>
      <c r="K393" s="14">
        <f t="shared" si="12"/>
        <v>0</v>
      </c>
      <c r="L393" s="16">
        <f t="shared" si="13"/>
        <v>0</v>
      </c>
      <c r="M393" s="22">
        <v>44228</v>
      </c>
      <c r="N393" s="44"/>
      <c r="O393" s="23" t="s">
        <v>16</v>
      </c>
      <c r="P393" s="24"/>
      <c r="Q393" s="28" t="s">
        <v>524</v>
      </c>
    </row>
    <row r="394" spans="1:17">
      <c r="A394" s="14">
        <v>390</v>
      </c>
      <c r="B394" s="29" t="s">
        <v>525</v>
      </c>
      <c r="C394" s="16">
        <f>'Медикаменты Август'!L391</f>
        <v>86</v>
      </c>
      <c r="D394" s="17"/>
      <c r="E394" s="14"/>
      <c r="F394" s="18"/>
      <c r="G394" s="19"/>
      <c r="H394" s="20"/>
      <c r="I394" s="21"/>
      <c r="J394" s="14"/>
      <c r="K394" s="14">
        <f t="shared" si="12"/>
        <v>0</v>
      </c>
      <c r="L394" s="16">
        <f t="shared" si="13"/>
        <v>86</v>
      </c>
      <c r="M394" s="22">
        <v>44958</v>
      </c>
      <c r="N394" s="44" t="s">
        <v>45</v>
      </c>
      <c r="O394" s="23" t="s">
        <v>16</v>
      </c>
      <c r="P394" s="24" t="s">
        <v>17</v>
      </c>
      <c r="Q394" s="28" t="s">
        <v>526</v>
      </c>
    </row>
    <row r="395" spans="1:17">
      <c r="A395" s="14">
        <v>391</v>
      </c>
      <c r="B395" s="29" t="s">
        <v>527</v>
      </c>
      <c r="C395" s="16">
        <f>'Медикаменты Август'!L392</f>
        <v>0</v>
      </c>
      <c r="D395" s="17"/>
      <c r="E395" s="14"/>
      <c r="F395" s="18"/>
      <c r="G395" s="19"/>
      <c r="H395" s="20"/>
      <c r="I395" s="21"/>
      <c r="J395" s="14"/>
      <c r="K395" s="14">
        <f t="shared" si="12"/>
        <v>0</v>
      </c>
      <c r="L395" s="16">
        <f t="shared" si="13"/>
        <v>0</v>
      </c>
      <c r="M395" s="22">
        <v>44652</v>
      </c>
      <c r="N395" s="44" t="s">
        <v>45</v>
      </c>
      <c r="O395" s="23" t="s">
        <v>16</v>
      </c>
      <c r="P395" s="24" t="s">
        <v>17</v>
      </c>
      <c r="Q395" s="28" t="s">
        <v>528</v>
      </c>
    </row>
    <row r="396" spans="1:17">
      <c r="A396" s="14">
        <v>392</v>
      </c>
      <c r="B396" s="29" t="s">
        <v>527</v>
      </c>
      <c r="C396" s="16">
        <f>'Медикаменты Август'!L393</f>
        <v>25</v>
      </c>
      <c r="D396" s="17"/>
      <c r="E396" s="14"/>
      <c r="F396" s="18">
        <f>5</f>
        <v>5</v>
      </c>
      <c r="G396" s="19"/>
      <c r="H396" s="20"/>
      <c r="I396" s="21"/>
      <c r="J396" s="14">
        <f>2</f>
        <v>2</v>
      </c>
      <c r="K396" s="14">
        <f t="shared" si="12"/>
        <v>7</v>
      </c>
      <c r="L396" s="16">
        <f t="shared" si="13"/>
        <v>18</v>
      </c>
      <c r="M396" s="22">
        <v>44896</v>
      </c>
      <c r="N396" s="44" t="s">
        <v>45</v>
      </c>
      <c r="O396" s="23" t="s">
        <v>16</v>
      </c>
      <c r="P396" s="24" t="s">
        <v>17</v>
      </c>
      <c r="Q396" s="28" t="s">
        <v>528</v>
      </c>
    </row>
  </sheetData>
  <autoFilter ref="A2:Q396"/>
  <mergeCells count="18">
    <mergeCell ref="P2:P4"/>
    <mergeCell ref="Q2:Q4"/>
    <mergeCell ref="A1:Q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2:M4"/>
    <mergeCell ref="N2:N4"/>
    <mergeCell ref="O2:O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81D41A"/>
  </sheetPr>
  <dimension ref="A1:O21"/>
  <sheetViews>
    <sheetView zoomScaleNormal="100" workbookViewId="0">
      <pane ySplit="4" topLeftCell="A5" activePane="bottomLeft" state="frozen"/>
      <selection pane="bottomLeft" activeCell="C17" sqref="C17"/>
    </sheetView>
  </sheetViews>
  <sheetFormatPr defaultRowHeight="15"/>
  <cols>
    <col min="1" max="1" width="12.5703125" customWidth="1"/>
    <col min="2" max="2" width="45.85546875" customWidth="1"/>
    <col min="3" max="13" width="13.28515625" customWidth="1"/>
    <col min="14" max="14" width="13.7109375" customWidth="1"/>
    <col min="15" max="1022" width="9.140625" customWidth="1"/>
    <col min="1023" max="1025" width="11.5703125" customWidth="1"/>
  </cols>
  <sheetData>
    <row r="1" spans="1:15" ht="51.75" customHeight="1">
      <c r="A1" s="3" t="s">
        <v>529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s="33" customFormat="1" ht="13.9" customHeight="1">
      <c r="A2" s="11" t="s">
        <v>1</v>
      </c>
      <c r="B2" s="10" t="s">
        <v>2</v>
      </c>
      <c r="C2" s="9">
        <v>44197</v>
      </c>
      <c r="D2" s="11" t="s">
        <v>3</v>
      </c>
      <c r="E2" s="11" t="s">
        <v>4</v>
      </c>
      <c r="F2" s="8" t="s">
        <v>5</v>
      </c>
      <c r="G2" s="2" t="s">
        <v>6</v>
      </c>
      <c r="H2" s="6" t="s">
        <v>7</v>
      </c>
      <c r="I2" s="5" t="s">
        <v>8</v>
      </c>
      <c r="J2" s="11" t="s">
        <v>9</v>
      </c>
      <c r="K2" s="11" t="s">
        <v>10</v>
      </c>
      <c r="L2" s="9">
        <v>44227</v>
      </c>
      <c r="M2" s="1" t="s">
        <v>11</v>
      </c>
      <c r="N2" s="1" t="s">
        <v>12</v>
      </c>
      <c r="O2" s="32"/>
    </row>
    <row r="3" spans="1:15" s="33" customFormat="1" ht="14.25">
      <c r="A3" s="11"/>
      <c r="B3" s="10"/>
      <c r="C3" s="9"/>
      <c r="D3" s="9"/>
      <c r="E3" s="9"/>
      <c r="F3" s="8"/>
      <c r="G3" s="2"/>
      <c r="H3" s="6"/>
      <c r="I3" s="5"/>
      <c r="J3" s="11"/>
      <c r="K3" s="11"/>
      <c r="L3" s="11"/>
      <c r="M3" s="1"/>
      <c r="N3" s="1"/>
      <c r="O3" s="32"/>
    </row>
    <row r="4" spans="1:15" s="33" customFormat="1" ht="24.75" customHeight="1">
      <c r="A4" s="11"/>
      <c r="B4" s="10"/>
      <c r="C4" s="9"/>
      <c r="D4" s="9"/>
      <c r="E4" s="9"/>
      <c r="F4" s="8"/>
      <c r="G4" s="2"/>
      <c r="H4" s="6"/>
      <c r="I4" s="5"/>
      <c r="J4" s="11"/>
      <c r="K4" s="11"/>
      <c r="L4" s="11"/>
      <c r="M4" s="1"/>
      <c r="N4" s="1"/>
      <c r="O4" s="32"/>
    </row>
    <row r="5" spans="1:15">
      <c r="A5" s="34">
        <v>1</v>
      </c>
      <c r="B5" s="35" t="s">
        <v>530</v>
      </c>
      <c r="C5" s="14">
        <v>620</v>
      </c>
      <c r="D5" s="36"/>
      <c r="E5" s="36"/>
      <c r="F5" s="37"/>
      <c r="G5" s="38"/>
      <c r="H5" s="39"/>
      <c r="I5" s="40"/>
      <c r="J5" s="36"/>
      <c r="K5" s="14">
        <f t="shared" ref="K5:K21" si="0">SUM(F5:J5)</f>
        <v>0</v>
      </c>
      <c r="L5" s="16">
        <f t="shared" ref="L5:L21" si="1">(C5+E5)-K5</f>
        <v>620</v>
      </c>
      <c r="M5" s="41">
        <v>44652</v>
      </c>
      <c r="N5" s="42" t="s">
        <v>16</v>
      </c>
      <c r="O5" s="43"/>
    </row>
    <row r="6" spans="1:15">
      <c r="A6" s="34">
        <v>2</v>
      </c>
      <c r="B6" s="35" t="s">
        <v>531</v>
      </c>
      <c r="C6" s="14">
        <v>85</v>
      </c>
      <c r="D6" s="36"/>
      <c r="E6" s="36"/>
      <c r="F6" s="37"/>
      <c r="G6" s="38"/>
      <c r="H6" s="39"/>
      <c r="I6" s="40"/>
      <c r="J6" s="36"/>
      <c r="K6" s="14">
        <f t="shared" si="0"/>
        <v>0</v>
      </c>
      <c r="L6" s="16">
        <f t="shared" si="1"/>
        <v>85</v>
      </c>
      <c r="M6" s="41">
        <v>45200</v>
      </c>
      <c r="N6" s="42" t="s">
        <v>16</v>
      </c>
      <c r="O6" s="43"/>
    </row>
    <row r="7" spans="1:15">
      <c r="A7" s="34">
        <v>3</v>
      </c>
      <c r="B7" s="35" t="s">
        <v>532</v>
      </c>
      <c r="C7" s="14">
        <v>10</v>
      </c>
      <c r="D7" s="36"/>
      <c r="E7" s="36"/>
      <c r="F7" s="37"/>
      <c r="G7" s="38"/>
      <c r="H7" s="39"/>
      <c r="I7" s="40"/>
      <c r="J7" s="36"/>
      <c r="K7" s="14">
        <f t="shared" si="0"/>
        <v>0</v>
      </c>
      <c r="L7" s="16">
        <f t="shared" si="1"/>
        <v>10</v>
      </c>
      <c r="M7" s="41">
        <v>44958</v>
      </c>
      <c r="N7" s="42" t="s">
        <v>16</v>
      </c>
      <c r="O7" s="43"/>
    </row>
    <row r="8" spans="1:15">
      <c r="A8" s="34">
        <v>4</v>
      </c>
      <c r="B8" s="35" t="s">
        <v>533</v>
      </c>
      <c r="C8" s="14">
        <v>0</v>
      </c>
      <c r="D8" s="36"/>
      <c r="E8" s="36"/>
      <c r="F8" s="37"/>
      <c r="G8" s="38"/>
      <c r="H8" s="39"/>
      <c r="I8" s="40"/>
      <c r="J8" s="36"/>
      <c r="K8" s="14">
        <f t="shared" si="0"/>
        <v>0</v>
      </c>
      <c r="L8" s="16">
        <f t="shared" si="1"/>
        <v>0</v>
      </c>
      <c r="M8" s="41"/>
      <c r="N8" s="42" t="s">
        <v>16</v>
      </c>
      <c r="O8" s="43"/>
    </row>
    <row r="9" spans="1:15">
      <c r="A9" s="34">
        <v>5</v>
      </c>
      <c r="B9" s="35" t="s">
        <v>534</v>
      </c>
      <c r="C9" s="14">
        <v>0</v>
      </c>
      <c r="D9" s="36"/>
      <c r="E9" s="36"/>
      <c r="F9" s="37"/>
      <c r="G9" s="38"/>
      <c r="H9" s="39"/>
      <c r="I9" s="40"/>
      <c r="J9" s="36"/>
      <c r="K9" s="14">
        <f t="shared" si="0"/>
        <v>0</v>
      </c>
      <c r="L9" s="16">
        <f t="shared" si="1"/>
        <v>0</v>
      </c>
      <c r="M9" s="41"/>
      <c r="N9" s="42" t="s">
        <v>16</v>
      </c>
      <c r="O9" s="43"/>
    </row>
    <row r="10" spans="1:15">
      <c r="A10" s="34">
        <v>6</v>
      </c>
      <c r="B10" s="35" t="s">
        <v>535</v>
      </c>
      <c r="C10" s="14">
        <v>10</v>
      </c>
      <c r="D10" s="36"/>
      <c r="E10" s="36"/>
      <c r="F10" s="37"/>
      <c r="G10" s="38"/>
      <c r="H10" s="39"/>
      <c r="I10" s="40"/>
      <c r="J10" s="36"/>
      <c r="K10" s="14">
        <f t="shared" si="0"/>
        <v>0</v>
      </c>
      <c r="L10" s="16">
        <f t="shared" si="1"/>
        <v>10</v>
      </c>
      <c r="M10" s="41">
        <v>45231</v>
      </c>
      <c r="N10" s="42" t="s">
        <v>16</v>
      </c>
      <c r="O10" s="43"/>
    </row>
    <row r="11" spans="1:15">
      <c r="A11" s="34">
        <v>7</v>
      </c>
      <c r="B11" s="35" t="s">
        <v>536</v>
      </c>
      <c r="C11" s="14">
        <v>0</v>
      </c>
      <c r="D11" s="36"/>
      <c r="E11" s="36"/>
      <c r="F11" s="37"/>
      <c r="G11" s="38"/>
      <c r="H11" s="39"/>
      <c r="I11" s="40"/>
      <c r="J11" s="36"/>
      <c r="K11" s="14">
        <f t="shared" si="0"/>
        <v>0</v>
      </c>
      <c r="L11" s="16">
        <f t="shared" si="1"/>
        <v>0</v>
      </c>
      <c r="M11" s="41"/>
      <c r="N11" s="42" t="s">
        <v>16</v>
      </c>
      <c r="O11" s="43"/>
    </row>
    <row r="12" spans="1:15">
      <c r="A12" s="34">
        <v>8</v>
      </c>
      <c r="B12" s="35" t="s">
        <v>537</v>
      </c>
      <c r="C12" s="14">
        <v>23</v>
      </c>
      <c r="D12" s="36"/>
      <c r="E12" s="36"/>
      <c r="F12" s="37"/>
      <c r="G12" s="38"/>
      <c r="H12" s="39"/>
      <c r="I12" s="40"/>
      <c r="J12" s="36"/>
      <c r="K12" s="14">
        <f t="shared" si="0"/>
        <v>0</v>
      </c>
      <c r="L12" s="16">
        <f t="shared" si="1"/>
        <v>23</v>
      </c>
      <c r="M12" s="41">
        <v>45658</v>
      </c>
      <c r="N12" s="42" t="s">
        <v>16</v>
      </c>
      <c r="O12" s="43"/>
    </row>
    <row r="13" spans="1:15">
      <c r="A13" s="34">
        <v>9</v>
      </c>
      <c r="B13" s="35" t="s">
        <v>538</v>
      </c>
      <c r="C13" s="14">
        <v>1200</v>
      </c>
      <c r="D13" s="36"/>
      <c r="E13" s="36"/>
      <c r="F13" s="37"/>
      <c r="G13" s="38"/>
      <c r="H13" s="39"/>
      <c r="I13" s="40"/>
      <c r="J13" s="36"/>
      <c r="K13" s="14">
        <f t="shared" si="0"/>
        <v>0</v>
      </c>
      <c r="L13" s="16">
        <f t="shared" si="1"/>
        <v>1200</v>
      </c>
      <c r="M13" s="41">
        <v>44682</v>
      </c>
      <c r="N13" s="42" t="s">
        <v>16</v>
      </c>
      <c r="O13" s="43"/>
    </row>
    <row r="14" spans="1:15">
      <c r="A14" s="34">
        <v>10</v>
      </c>
      <c r="B14" s="35" t="s">
        <v>539</v>
      </c>
      <c r="C14" s="14">
        <v>458</v>
      </c>
      <c r="D14" s="36"/>
      <c r="E14" s="36"/>
      <c r="F14" s="37"/>
      <c r="G14" s="38"/>
      <c r="H14" s="39"/>
      <c r="I14" s="40"/>
      <c r="J14" s="36"/>
      <c r="K14" s="14">
        <f t="shared" si="0"/>
        <v>0</v>
      </c>
      <c r="L14" s="16">
        <f t="shared" si="1"/>
        <v>458</v>
      </c>
      <c r="M14" s="41">
        <v>45261</v>
      </c>
      <c r="N14" s="42" t="s">
        <v>16</v>
      </c>
      <c r="O14" s="43"/>
    </row>
    <row r="15" spans="1:15">
      <c r="A15" s="34">
        <v>11</v>
      </c>
      <c r="B15" s="35" t="s">
        <v>540</v>
      </c>
      <c r="C15" s="14">
        <v>141</v>
      </c>
      <c r="D15" s="36"/>
      <c r="E15" s="36"/>
      <c r="F15" s="37"/>
      <c r="G15" s="38"/>
      <c r="H15" s="39"/>
      <c r="I15" s="40"/>
      <c r="J15" s="36"/>
      <c r="K15" s="14">
        <f t="shared" si="0"/>
        <v>0</v>
      </c>
      <c r="L15" s="16">
        <f t="shared" si="1"/>
        <v>141</v>
      </c>
      <c r="M15" s="41">
        <v>44835</v>
      </c>
      <c r="N15" s="42" t="s">
        <v>16</v>
      </c>
      <c r="O15" s="43"/>
    </row>
    <row r="16" spans="1:15" ht="30">
      <c r="A16" s="34">
        <v>12</v>
      </c>
      <c r="B16" s="35" t="s">
        <v>541</v>
      </c>
      <c r="C16" s="14">
        <v>285</v>
      </c>
      <c r="D16" s="36"/>
      <c r="E16" s="36"/>
      <c r="F16" s="37"/>
      <c r="G16" s="38"/>
      <c r="H16" s="39"/>
      <c r="I16" s="40"/>
      <c r="J16" s="36"/>
      <c r="K16" s="14">
        <f t="shared" si="0"/>
        <v>0</v>
      </c>
      <c r="L16" s="16">
        <f t="shared" si="1"/>
        <v>285</v>
      </c>
      <c r="M16" s="41">
        <v>45616</v>
      </c>
      <c r="N16" s="42" t="s">
        <v>16</v>
      </c>
      <c r="O16" s="43"/>
    </row>
    <row r="17" spans="1:15" ht="45">
      <c r="A17" s="34">
        <v>13</v>
      </c>
      <c r="B17" s="35" t="s">
        <v>542</v>
      </c>
      <c r="C17" s="14">
        <v>480</v>
      </c>
      <c r="D17" s="36"/>
      <c r="E17" s="36"/>
      <c r="F17" s="37"/>
      <c r="G17" s="38"/>
      <c r="H17" s="39"/>
      <c r="I17" s="40"/>
      <c r="J17" s="36"/>
      <c r="K17" s="14">
        <f t="shared" si="0"/>
        <v>0</v>
      </c>
      <c r="L17" s="16">
        <f t="shared" si="1"/>
        <v>480</v>
      </c>
      <c r="M17" s="41">
        <v>44682</v>
      </c>
      <c r="N17" s="42" t="s">
        <v>16</v>
      </c>
      <c r="O17" s="43"/>
    </row>
    <row r="18" spans="1:15" ht="30">
      <c r="A18" s="34">
        <v>14</v>
      </c>
      <c r="B18" s="35" t="s">
        <v>543</v>
      </c>
      <c r="C18" s="14">
        <v>42</v>
      </c>
      <c r="D18" s="36"/>
      <c r="E18" s="36"/>
      <c r="F18" s="37">
        <f>6</f>
        <v>6</v>
      </c>
      <c r="G18" s="38"/>
      <c r="H18" s="39"/>
      <c r="I18" s="40"/>
      <c r="J18" s="36"/>
      <c r="K18" s="14">
        <f t="shared" si="0"/>
        <v>6</v>
      </c>
      <c r="L18" s="16">
        <f t="shared" si="1"/>
        <v>36</v>
      </c>
      <c r="M18" s="41">
        <v>45778</v>
      </c>
      <c r="N18" s="42" t="s">
        <v>16</v>
      </c>
      <c r="O18" s="43"/>
    </row>
    <row r="19" spans="1:15" ht="30">
      <c r="A19" s="34">
        <v>15</v>
      </c>
      <c r="B19" s="35" t="s">
        <v>544</v>
      </c>
      <c r="C19" s="14">
        <v>40</v>
      </c>
      <c r="D19" s="36"/>
      <c r="E19" s="36"/>
      <c r="F19" s="37"/>
      <c r="G19" s="38"/>
      <c r="H19" s="39"/>
      <c r="I19" s="40"/>
      <c r="J19" s="36"/>
      <c r="K19" s="14">
        <f t="shared" si="0"/>
        <v>0</v>
      </c>
      <c r="L19" s="16">
        <f t="shared" si="1"/>
        <v>40</v>
      </c>
      <c r="M19" s="41"/>
      <c r="N19" s="42" t="s">
        <v>16</v>
      </c>
      <c r="O19" s="43"/>
    </row>
    <row r="20" spans="1:15">
      <c r="A20" s="34">
        <v>16</v>
      </c>
      <c r="B20" s="35" t="s">
        <v>545</v>
      </c>
      <c r="C20" s="14">
        <v>19</v>
      </c>
      <c r="D20" s="36"/>
      <c r="E20" s="36"/>
      <c r="F20" s="37"/>
      <c r="G20" s="38"/>
      <c r="H20" s="39"/>
      <c r="I20" s="40"/>
      <c r="J20" s="36"/>
      <c r="K20" s="14">
        <f t="shared" si="0"/>
        <v>0</v>
      </c>
      <c r="L20" s="16">
        <f t="shared" si="1"/>
        <v>19</v>
      </c>
      <c r="M20" s="41">
        <v>45292</v>
      </c>
      <c r="N20" s="42" t="s">
        <v>16</v>
      </c>
      <c r="O20" s="43"/>
    </row>
    <row r="21" spans="1:15" ht="30">
      <c r="A21" s="34">
        <v>17</v>
      </c>
      <c r="B21" s="35" t="s">
        <v>546</v>
      </c>
      <c r="C21" s="14">
        <v>14</v>
      </c>
      <c r="D21" s="36"/>
      <c r="E21" s="36"/>
      <c r="F21" s="37"/>
      <c r="G21" s="38"/>
      <c r="H21" s="39"/>
      <c r="I21" s="40"/>
      <c r="J21" s="36"/>
      <c r="K21" s="14">
        <f t="shared" si="0"/>
        <v>0</v>
      </c>
      <c r="L21" s="16">
        <f t="shared" si="1"/>
        <v>14</v>
      </c>
      <c r="M21" s="41">
        <v>44682</v>
      </c>
      <c r="N21" s="42" t="s">
        <v>16</v>
      </c>
      <c r="O21" s="43"/>
    </row>
  </sheetData>
  <autoFilter ref="A2:N4"/>
  <mergeCells count="15">
    <mergeCell ref="A1:N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2:M4"/>
    <mergeCell ref="N2:N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E8A202"/>
  </sheetPr>
  <dimension ref="A1:O26"/>
  <sheetViews>
    <sheetView zoomScaleNormal="100" workbookViewId="0">
      <pane ySplit="4" topLeftCell="A5" activePane="bottomLeft" state="frozen"/>
      <selection pane="bottomLeft" activeCell="F15" sqref="F15"/>
    </sheetView>
  </sheetViews>
  <sheetFormatPr defaultRowHeight="15"/>
  <cols>
    <col min="1" max="1" width="12.5703125" customWidth="1"/>
    <col min="2" max="2" width="45.85546875" customWidth="1"/>
    <col min="3" max="13" width="13.28515625" customWidth="1"/>
    <col min="14" max="14" width="13.7109375" customWidth="1"/>
    <col min="15" max="1022" width="9.140625" customWidth="1"/>
    <col min="1023" max="1025" width="11.5703125" customWidth="1"/>
  </cols>
  <sheetData>
    <row r="1" spans="1:15" ht="51.75" customHeight="1">
      <c r="A1" s="3" t="s">
        <v>529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s="33" customFormat="1" ht="13.9" customHeight="1">
      <c r="A2" s="11" t="s">
        <v>1</v>
      </c>
      <c r="B2" s="10" t="s">
        <v>2</v>
      </c>
      <c r="C2" s="9">
        <v>44440</v>
      </c>
      <c r="D2" s="11" t="s">
        <v>3</v>
      </c>
      <c r="E2" s="11" t="s">
        <v>4</v>
      </c>
      <c r="F2" s="8" t="s">
        <v>5</v>
      </c>
      <c r="G2" s="2" t="s">
        <v>6</v>
      </c>
      <c r="H2" s="6" t="s">
        <v>7</v>
      </c>
      <c r="I2" s="5" t="s">
        <v>8</v>
      </c>
      <c r="J2" s="11" t="s">
        <v>9</v>
      </c>
      <c r="K2" s="11" t="s">
        <v>10</v>
      </c>
      <c r="L2" s="9">
        <v>44469</v>
      </c>
      <c r="M2" s="1" t="s">
        <v>11</v>
      </c>
      <c r="N2" s="1" t="s">
        <v>12</v>
      </c>
      <c r="O2" s="32"/>
    </row>
    <row r="3" spans="1:15" s="33" customFormat="1" ht="14.25">
      <c r="A3" s="11"/>
      <c r="B3" s="10"/>
      <c r="C3" s="9"/>
      <c r="D3" s="9"/>
      <c r="E3" s="9"/>
      <c r="F3" s="8"/>
      <c r="G3" s="2"/>
      <c r="H3" s="6"/>
      <c r="I3" s="5"/>
      <c r="J3" s="11"/>
      <c r="K3" s="11"/>
      <c r="L3" s="11"/>
      <c r="M3" s="1"/>
      <c r="N3" s="1"/>
      <c r="O3" s="32"/>
    </row>
    <row r="4" spans="1:15" s="33" customFormat="1" ht="24.75" customHeight="1">
      <c r="A4" s="11"/>
      <c r="B4" s="10"/>
      <c r="C4" s="9"/>
      <c r="D4" s="9"/>
      <c r="E4" s="9"/>
      <c r="F4" s="8"/>
      <c r="G4" s="2"/>
      <c r="H4" s="6"/>
      <c r="I4" s="5"/>
      <c r="J4" s="11"/>
      <c r="K4" s="11"/>
      <c r="L4" s="11"/>
      <c r="M4" s="1"/>
      <c r="N4" s="1"/>
      <c r="O4" s="32"/>
    </row>
    <row r="5" spans="1:15">
      <c r="A5" s="34">
        <v>1</v>
      </c>
      <c r="B5" s="35" t="s">
        <v>530</v>
      </c>
      <c r="C5" s="14">
        <f>'Перевязочные Август'!L5</f>
        <v>498</v>
      </c>
      <c r="D5" s="36"/>
      <c r="E5" s="36"/>
      <c r="F5" s="37">
        <f>60</f>
        <v>60</v>
      </c>
      <c r="G5" s="38"/>
      <c r="H5" s="39"/>
      <c r="I5" s="40"/>
      <c r="J5" s="36"/>
      <c r="K5" s="14">
        <f t="shared" ref="K5:K26" si="0">SUM(F5:J5)</f>
        <v>60</v>
      </c>
      <c r="L5" s="16">
        <f t="shared" ref="L5:L26" si="1">(C5+E5)-K5</f>
        <v>438</v>
      </c>
      <c r="M5" s="41">
        <v>44652</v>
      </c>
      <c r="N5" s="42" t="s">
        <v>16</v>
      </c>
      <c r="O5" s="43"/>
    </row>
    <row r="6" spans="1:15">
      <c r="A6" s="34">
        <v>2</v>
      </c>
      <c r="B6" s="35" t="s">
        <v>531</v>
      </c>
      <c r="C6" s="14">
        <f>'Перевязочные Август'!L6</f>
        <v>85</v>
      </c>
      <c r="D6" s="36"/>
      <c r="E6" s="36"/>
      <c r="F6" s="37"/>
      <c r="G6" s="38"/>
      <c r="H6" s="39"/>
      <c r="I6" s="40"/>
      <c r="J6" s="36">
        <f>2</f>
        <v>2</v>
      </c>
      <c r="K6" s="14">
        <f t="shared" si="0"/>
        <v>2</v>
      </c>
      <c r="L6" s="16">
        <f t="shared" si="1"/>
        <v>83</v>
      </c>
      <c r="M6" s="41">
        <v>45200</v>
      </c>
      <c r="N6" s="42" t="s">
        <v>16</v>
      </c>
      <c r="O6" s="43"/>
    </row>
    <row r="7" spans="1:15">
      <c r="A7" s="34">
        <v>3</v>
      </c>
      <c r="B7" s="35" t="s">
        <v>532</v>
      </c>
      <c r="C7" s="14">
        <f>'Перевязочные Август'!L7</f>
        <v>10</v>
      </c>
      <c r="D7" s="36"/>
      <c r="E7" s="36"/>
      <c r="F7" s="37"/>
      <c r="G7" s="38"/>
      <c r="H7" s="39"/>
      <c r="I7" s="40"/>
      <c r="J7" s="36"/>
      <c r="K7" s="14">
        <f t="shared" si="0"/>
        <v>0</v>
      </c>
      <c r="L7" s="16">
        <f t="shared" si="1"/>
        <v>10</v>
      </c>
      <c r="M7" s="41">
        <v>44958</v>
      </c>
      <c r="N7" s="42" t="s">
        <v>16</v>
      </c>
      <c r="O7" s="43"/>
    </row>
    <row r="8" spans="1:15">
      <c r="A8" s="34">
        <v>4</v>
      </c>
      <c r="B8" s="35" t="s">
        <v>533</v>
      </c>
      <c r="C8" s="14">
        <f>'Перевязочные Август'!L8</f>
        <v>0</v>
      </c>
      <c r="D8" s="36"/>
      <c r="E8" s="36"/>
      <c r="F8" s="37"/>
      <c r="G8" s="38"/>
      <c r="H8" s="39"/>
      <c r="I8" s="40"/>
      <c r="J8" s="36"/>
      <c r="K8" s="14">
        <f t="shared" si="0"/>
        <v>0</v>
      </c>
      <c r="L8" s="16">
        <f t="shared" si="1"/>
        <v>0</v>
      </c>
      <c r="M8" s="41"/>
      <c r="N8" s="42" t="s">
        <v>16</v>
      </c>
      <c r="O8" s="43"/>
    </row>
    <row r="9" spans="1:15">
      <c r="A9" s="34">
        <v>5</v>
      </c>
      <c r="B9" s="35" t="s">
        <v>534</v>
      </c>
      <c r="C9" s="14">
        <f>'Перевязочные Август'!L9</f>
        <v>0</v>
      </c>
      <c r="D9" s="36"/>
      <c r="E9" s="36"/>
      <c r="F9" s="37"/>
      <c r="G9" s="38"/>
      <c r="H9" s="39"/>
      <c r="I9" s="40"/>
      <c r="J9" s="36"/>
      <c r="K9" s="14">
        <f t="shared" si="0"/>
        <v>0</v>
      </c>
      <c r="L9" s="16">
        <f t="shared" si="1"/>
        <v>0</v>
      </c>
      <c r="M9" s="41"/>
      <c r="N9" s="42" t="s">
        <v>16</v>
      </c>
      <c r="O9" s="43"/>
    </row>
    <row r="10" spans="1:15">
      <c r="A10" s="34">
        <v>6</v>
      </c>
      <c r="B10" s="35" t="s">
        <v>535</v>
      </c>
      <c r="C10" s="14">
        <f>'Перевязочные Август'!L10</f>
        <v>10</v>
      </c>
      <c r="D10" s="36"/>
      <c r="E10" s="36"/>
      <c r="F10" s="37"/>
      <c r="G10" s="38"/>
      <c r="H10" s="39"/>
      <c r="I10" s="40"/>
      <c r="J10" s="36"/>
      <c r="K10" s="14">
        <f t="shared" si="0"/>
        <v>0</v>
      </c>
      <c r="L10" s="16">
        <f t="shared" si="1"/>
        <v>10</v>
      </c>
      <c r="M10" s="41">
        <v>45231</v>
      </c>
      <c r="N10" s="42" t="s">
        <v>16</v>
      </c>
      <c r="O10" s="43"/>
    </row>
    <row r="11" spans="1:15">
      <c r="A11" s="34">
        <v>7</v>
      </c>
      <c r="B11" s="35" t="s">
        <v>536</v>
      </c>
      <c r="C11" s="14">
        <f>'Перевязочные Август'!L11</f>
        <v>0</v>
      </c>
      <c r="D11" s="36"/>
      <c r="E11" s="36"/>
      <c r="F11" s="37"/>
      <c r="G11" s="38"/>
      <c r="H11" s="39"/>
      <c r="I11" s="40"/>
      <c r="J11" s="36"/>
      <c r="K11" s="14">
        <f t="shared" si="0"/>
        <v>0</v>
      </c>
      <c r="L11" s="16">
        <f t="shared" si="1"/>
        <v>0</v>
      </c>
      <c r="M11" s="41"/>
      <c r="N11" s="42" t="s">
        <v>16</v>
      </c>
      <c r="O11" s="43"/>
    </row>
    <row r="12" spans="1:15">
      <c r="A12" s="34">
        <v>8</v>
      </c>
      <c r="B12" s="35" t="s">
        <v>537</v>
      </c>
      <c r="C12" s="14">
        <f>'Перевязочные Август'!L12</f>
        <v>12</v>
      </c>
      <c r="D12" s="36"/>
      <c r="E12" s="36"/>
      <c r="F12" s="37">
        <f>4</f>
        <v>4</v>
      </c>
      <c r="G12" s="38"/>
      <c r="H12" s="39"/>
      <c r="I12" s="40"/>
      <c r="J12" s="36"/>
      <c r="K12" s="14">
        <f t="shared" si="0"/>
        <v>4</v>
      </c>
      <c r="L12" s="16">
        <f t="shared" si="1"/>
        <v>8</v>
      </c>
      <c r="M12" s="41">
        <v>45658</v>
      </c>
      <c r="N12" s="42" t="s">
        <v>16</v>
      </c>
      <c r="O12" s="43"/>
    </row>
    <row r="13" spans="1:15">
      <c r="A13" s="34">
        <v>9</v>
      </c>
      <c r="B13" s="35" t="s">
        <v>537</v>
      </c>
      <c r="C13" s="14">
        <f>'Перевязочные Август'!L13</f>
        <v>50</v>
      </c>
      <c r="D13" s="36"/>
      <c r="E13" s="36"/>
      <c r="F13" s="37"/>
      <c r="G13" s="38"/>
      <c r="H13" s="39"/>
      <c r="I13" s="40"/>
      <c r="J13" s="36"/>
      <c r="K13" s="14">
        <f t="shared" si="0"/>
        <v>0</v>
      </c>
      <c r="L13" s="16">
        <f t="shared" si="1"/>
        <v>50</v>
      </c>
      <c r="M13" s="41">
        <v>45870</v>
      </c>
      <c r="N13" s="42" t="s">
        <v>16</v>
      </c>
      <c r="O13" s="43"/>
    </row>
    <row r="14" spans="1:15">
      <c r="A14" s="34">
        <v>10</v>
      </c>
      <c r="B14" s="35" t="s">
        <v>617</v>
      </c>
      <c r="C14" s="14">
        <f>'Перевязочные Август'!L14</f>
        <v>20</v>
      </c>
      <c r="D14" s="36"/>
      <c r="E14" s="36"/>
      <c r="F14" s="37"/>
      <c r="G14" s="38"/>
      <c r="H14" s="39"/>
      <c r="I14" s="40"/>
      <c r="J14" s="36"/>
      <c r="K14" s="14">
        <f t="shared" si="0"/>
        <v>0</v>
      </c>
      <c r="L14" s="16">
        <f t="shared" si="1"/>
        <v>20</v>
      </c>
      <c r="M14" s="41">
        <v>45809</v>
      </c>
      <c r="N14" s="42" t="s">
        <v>16</v>
      </c>
      <c r="O14" s="43"/>
    </row>
    <row r="15" spans="1:15">
      <c r="A15" s="34">
        <v>11</v>
      </c>
      <c r="B15" s="35" t="s">
        <v>538</v>
      </c>
      <c r="C15" s="14">
        <f>'Перевязочные Август'!L15</f>
        <v>600</v>
      </c>
      <c r="D15" s="36"/>
      <c r="E15" s="36"/>
      <c r="F15" s="37">
        <f>100</f>
        <v>100</v>
      </c>
      <c r="G15" s="38"/>
      <c r="H15" s="39"/>
      <c r="I15" s="40"/>
      <c r="J15" s="36"/>
      <c r="K15" s="14">
        <f t="shared" si="0"/>
        <v>100</v>
      </c>
      <c r="L15" s="16">
        <f t="shared" si="1"/>
        <v>500</v>
      </c>
      <c r="M15" s="41">
        <v>44682</v>
      </c>
      <c r="N15" s="42" t="s">
        <v>16</v>
      </c>
      <c r="O15" s="43"/>
    </row>
    <row r="16" spans="1:15">
      <c r="A16" s="34">
        <v>12</v>
      </c>
      <c r="B16" s="35" t="s">
        <v>539</v>
      </c>
      <c r="C16" s="14">
        <f>'Перевязочные Август'!L16</f>
        <v>318</v>
      </c>
      <c r="D16" s="36"/>
      <c r="E16" s="36"/>
      <c r="F16" s="37"/>
      <c r="G16" s="38"/>
      <c r="H16" s="39"/>
      <c r="I16" s="40"/>
      <c r="J16" s="36"/>
      <c r="K16" s="14">
        <f t="shared" si="0"/>
        <v>0</v>
      </c>
      <c r="L16" s="16">
        <f t="shared" si="1"/>
        <v>318</v>
      </c>
      <c r="M16" s="41">
        <v>45261</v>
      </c>
      <c r="N16" s="42" t="s">
        <v>16</v>
      </c>
      <c r="O16" s="43"/>
    </row>
    <row r="17" spans="1:15">
      <c r="A17" s="34">
        <v>13</v>
      </c>
      <c r="B17" s="35" t="s">
        <v>540</v>
      </c>
      <c r="C17" s="14">
        <f>'Перевязочные Август'!L17</f>
        <v>141</v>
      </c>
      <c r="D17" s="36"/>
      <c r="E17" s="36"/>
      <c r="F17" s="37"/>
      <c r="G17" s="38"/>
      <c r="H17" s="39"/>
      <c r="I17" s="40"/>
      <c r="J17" s="36"/>
      <c r="K17" s="14">
        <f t="shared" si="0"/>
        <v>0</v>
      </c>
      <c r="L17" s="16">
        <f t="shared" si="1"/>
        <v>141</v>
      </c>
      <c r="M17" s="41">
        <v>44835</v>
      </c>
      <c r="N17" s="42" t="s">
        <v>16</v>
      </c>
      <c r="O17" s="43"/>
    </row>
    <row r="18" spans="1:15" ht="30">
      <c r="A18" s="34">
        <v>14</v>
      </c>
      <c r="B18" s="35" t="s">
        <v>541</v>
      </c>
      <c r="C18" s="14">
        <f>'Перевязочные Август'!L18</f>
        <v>285</v>
      </c>
      <c r="D18" s="36"/>
      <c r="E18" s="36"/>
      <c r="F18" s="37"/>
      <c r="G18" s="38"/>
      <c r="H18" s="39"/>
      <c r="I18" s="40"/>
      <c r="J18" s="36"/>
      <c r="K18" s="14">
        <f t="shared" si="0"/>
        <v>0</v>
      </c>
      <c r="L18" s="16">
        <f t="shared" si="1"/>
        <v>285</v>
      </c>
      <c r="M18" s="41">
        <v>45616</v>
      </c>
      <c r="N18" s="42" t="s">
        <v>16</v>
      </c>
      <c r="O18" s="43"/>
    </row>
    <row r="19" spans="1:15" ht="45">
      <c r="A19" s="34">
        <v>15</v>
      </c>
      <c r="B19" s="35" t="s">
        <v>542</v>
      </c>
      <c r="C19" s="14">
        <f>'Перевязочные Август'!L19</f>
        <v>450</v>
      </c>
      <c r="D19" s="36"/>
      <c r="E19" s="36"/>
      <c r="F19" s="37"/>
      <c r="G19" s="38"/>
      <c r="H19" s="39"/>
      <c r="I19" s="40"/>
      <c r="J19" s="36"/>
      <c r="K19" s="14">
        <f t="shared" si="0"/>
        <v>0</v>
      </c>
      <c r="L19" s="16">
        <f t="shared" si="1"/>
        <v>450</v>
      </c>
      <c r="M19" s="41">
        <v>44682</v>
      </c>
      <c r="N19" s="42" t="s">
        <v>16</v>
      </c>
      <c r="O19" s="43"/>
    </row>
    <row r="20" spans="1:15" ht="30">
      <c r="A20" s="34">
        <v>16</v>
      </c>
      <c r="B20" s="35" t="s">
        <v>543</v>
      </c>
      <c r="C20" s="14">
        <f>'Перевязочные Август'!L20</f>
        <v>0</v>
      </c>
      <c r="D20" s="36"/>
      <c r="E20" s="36"/>
      <c r="F20" s="37"/>
      <c r="G20" s="38"/>
      <c r="H20" s="39"/>
      <c r="I20" s="40"/>
      <c r="J20" s="36"/>
      <c r="K20" s="14">
        <f t="shared" si="0"/>
        <v>0</v>
      </c>
      <c r="L20" s="16">
        <f t="shared" si="1"/>
        <v>0</v>
      </c>
      <c r="M20" s="41">
        <v>45778</v>
      </c>
      <c r="N20" s="42" t="s">
        <v>16</v>
      </c>
      <c r="O20" s="43"/>
    </row>
    <row r="21" spans="1:15" ht="30">
      <c r="A21" s="34">
        <v>17</v>
      </c>
      <c r="B21" s="35" t="s">
        <v>565</v>
      </c>
      <c r="C21" s="14">
        <f>'Перевязочные Август'!L21</f>
        <v>25050</v>
      </c>
      <c r="D21" s="36"/>
      <c r="E21" s="36"/>
      <c r="F21" s="37">
        <f>1200+600</f>
        <v>1800</v>
      </c>
      <c r="G21" s="38"/>
      <c r="H21" s="39"/>
      <c r="I21" s="40"/>
      <c r="J21" s="36"/>
      <c r="K21" s="14">
        <f t="shared" si="0"/>
        <v>1800</v>
      </c>
      <c r="L21" s="16">
        <f t="shared" si="1"/>
        <v>23250</v>
      </c>
      <c r="M21" s="41">
        <v>45992</v>
      </c>
      <c r="N21" s="42" t="s">
        <v>16</v>
      </c>
      <c r="O21" s="43"/>
    </row>
    <row r="22" spans="1:15" ht="30">
      <c r="A22" s="34">
        <v>18</v>
      </c>
      <c r="B22" s="35" t="s">
        <v>544</v>
      </c>
      <c r="C22" s="14">
        <f>'Перевязочные Август'!L22</f>
        <v>38</v>
      </c>
      <c r="D22" s="36"/>
      <c r="E22" s="36"/>
      <c r="F22" s="37"/>
      <c r="G22" s="38"/>
      <c r="H22" s="39"/>
      <c r="I22" s="40"/>
      <c r="J22" s="36"/>
      <c r="K22" s="14">
        <f t="shared" si="0"/>
        <v>0</v>
      </c>
      <c r="L22" s="16">
        <f t="shared" si="1"/>
        <v>38</v>
      </c>
      <c r="M22" s="41"/>
      <c r="N22" s="42" t="s">
        <v>16</v>
      </c>
      <c r="O22" s="43"/>
    </row>
    <row r="23" spans="1:15">
      <c r="A23" s="34">
        <v>19</v>
      </c>
      <c r="B23" s="35" t="s">
        <v>545</v>
      </c>
      <c r="C23" s="14">
        <f>'Перевязочные Август'!L23</f>
        <v>15</v>
      </c>
      <c r="D23" s="36"/>
      <c r="E23" s="36"/>
      <c r="F23" s="37"/>
      <c r="G23" s="38"/>
      <c r="H23" s="39"/>
      <c r="I23" s="40"/>
      <c r="J23" s="36"/>
      <c r="K23" s="14">
        <f t="shared" si="0"/>
        <v>0</v>
      </c>
      <c r="L23" s="16">
        <f t="shared" si="1"/>
        <v>15</v>
      </c>
      <c r="M23" s="41">
        <v>45292</v>
      </c>
      <c r="N23" s="42" t="s">
        <v>16</v>
      </c>
      <c r="O23" s="43"/>
    </row>
    <row r="24" spans="1:15">
      <c r="A24" s="34">
        <v>20</v>
      </c>
      <c r="B24" s="35" t="s">
        <v>566</v>
      </c>
      <c r="C24" s="14">
        <f>'Перевязочные Август'!L24</f>
        <v>28</v>
      </c>
      <c r="D24" s="36"/>
      <c r="E24" s="36"/>
      <c r="F24" s="37"/>
      <c r="G24" s="38"/>
      <c r="H24" s="39"/>
      <c r="I24" s="40"/>
      <c r="J24" s="36"/>
      <c r="K24" s="14">
        <f t="shared" si="0"/>
        <v>0</v>
      </c>
      <c r="L24" s="16">
        <f t="shared" si="1"/>
        <v>28</v>
      </c>
      <c r="M24" s="41">
        <v>45717</v>
      </c>
      <c r="N24" s="42" t="s">
        <v>16</v>
      </c>
      <c r="O24" s="43"/>
    </row>
    <row r="25" spans="1:15" ht="30">
      <c r="A25" s="34">
        <v>21</v>
      </c>
      <c r="B25" s="35" t="s">
        <v>546</v>
      </c>
      <c r="C25" s="14">
        <f>'Перевязочные Август'!L25</f>
        <v>14</v>
      </c>
      <c r="D25" s="36"/>
      <c r="E25" s="36"/>
      <c r="F25" s="37"/>
      <c r="G25" s="38"/>
      <c r="H25" s="39"/>
      <c r="I25" s="40"/>
      <c r="J25" s="36"/>
      <c r="K25" s="14">
        <f t="shared" si="0"/>
        <v>0</v>
      </c>
      <c r="L25" s="16">
        <f t="shared" si="1"/>
        <v>14</v>
      </c>
      <c r="M25" s="41">
        <v>44682</v>
      </c>
      <c r="N25" s="42" t="s">
        <v>16</v>
      </c>
      <c r="O25" s="43"/>
    </row>
    <row r="26" spans="1:15" ht="45">
      <c r="A26" s="34">
        <v>22</v>
      </c>
      <c r="B26" s="35" t="s">
        <v>567</v>
      </c>
      <c r="C26" s="14">
        <f>'Перевязочные Август'!L26</f>
        <v>14</v>
      </c>
      <c r="D26" s="36"/>
      <c r="E26" s="36"/>
      <c r="F26" s="37"/>
      <c r="G26" s="38"/>
      <c r="H26" s="39"/>
      <c r="I26" s="40"/>
      <c r="J26" s="36"/>
      <c r="K26" s="14">
        <f t="shared" si="0"/>
        <v>0</v>
      </c>
      <c r="L26" s="16">
        <f t="shared" si="1"/>
        <v>14</v>
      </c>
      <c r="M26" s="41">
        <v>45292</v>
      </c>
      <c r="N26" s="42" t="s">
        <v>16</v>
      </c>
      <c r="O26" s="43"/>
    </row>
  </sheetData>
  <autoFilter ref="A2:N4"/>
  <mergeCells count="15">
    <mergeCell ref="A1:N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2:M4"/>
    <mergeCell ref="N2:N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D62E4E"/>
  </sheetPr>
  <dimension ref="A1:Q401"/>
  <sheetViews>
    <sheetView zoomScaleNormal="100" workbookViewId="0">
      <pane ySplit="4" topLeftCell="A14" activePane="bottomLeft" state="frozen"/>
      <selection pane="bottomLeft" activeCell="E7" sqref="E7"/>
    </sheetView>
  </sheetViews>
  <sheetFormatPr defaultRowHeight="15"/>
  <cols>
    <col min="1" max="1" width="9.140625" customWidth="1"/>
    <col min="2" max="2" width="40.85546875" customWidth="1"/>
    <col min="3" max="13" width="13.28515625" customWidth="1"/>
    <col min="14" max="14" width="13.28515625" style="13" customWidth="1"/>
    <col min="15" max="15" width="13.28515625" customWidth="1"/>
    <col min="16" max="16" width="13.28515625" style="13" customWidth="1"/>
    <col min="17" max="17" width="43.5703125" customWidth="1"/>
    <col min="18" max="1025" width="9.140625" customWidth="1"/>
  </cols>
  <sheetData>
    <row r="1" spans="1:17" ht="52.5" customHeight="1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ht="13.9" customHeight="1">
      <c r="A2" s="11" t="s">
        <v>1</v>
      </c>
      <c r="B2" s="10" t="s">
        <v>2</v>
      </c>
      <c r="C2" s="9">
        <v>44470</v>
      </c>
      <c r="D2" s="11" t="s">
        <v>3</v>
      </c>
      <c r="E2" s="11" t="s">
        <v>4</v>
      </c>
      <c r="F2" s="8" t="s">
        <v>5</v>
      </c>
      <c r="G2" s="7" t="s">
        <v>6</v>
      </c>
      <c r="H2" s="6" t="s">
        <v>7</v>
      </c>
      <c r="I2" s="5" t="s">
        <v>8</v>
      </c>
      <c r="J2" s="11" t="s">
        <v>9</v>
      </c>
      <c r="K2" s="11" t="s">
        <v>10</v>
      </c>
      <c r="L2" s="9">
        <v>44500</v>
      </c>
      <c r="M2" s="4" t="s">
        <v>11</v>
      </c>
      <c r="N2" s="4" t="s">
        <v>550</v>
      </c>
      <c r="O2" s="4" t="s">
        <v>12</v>
      </c>
      <c r="P2" s="4" t="s">
        <v>13</v>
      </c>
      <c r="Q2" s="4" t="s">
        <v>14</v>
      </c>
    </row>
    <row r="3" spans="1:17">
      <c r="A3" s="11"/>
      <c r="B3" s="10"/>
      <c r="C3" s="9"/>
      <c r="D3" s="9"/>
      <c r="E3" s="9"/>
      <c r="F3" s="8"/>
      <c r="G3" s="7"/>
      <c r="H3" s="6"/>
      <c r="I3" s="5"/>
      <c r="J3" s="11"/>
      <c r="K3" s="11"/>
      <c r="L3" s="11"/>
      <c r="M3" s="4"/>
      <c r="N3" s="4"/>
      <c r="O3" s="4"/>
      <c r="P3" s="4"/>
      <c r="Q3" s="4"/>
    </row>
    <row r="4" spans="1:17" ht="34.5" customHeight="1">
      <c r="A4" s="11"/>
      <c r="B4" s="10"/>
      <c r="C4" s="9"/>
      <c r="D4" s="9"/>
      <c r="E4" s="9"/>
      <c r="F4" s="8"/>
      <c r="G4" s="7"/>
      <c r="H4" s="6"/>
      <c r="I4" s="5"/>
      <c r="J4" s="11"/>
      <c r="K4" s="11"/>
      <c r="L4" s="11"/>
      <c r="M4" s="4"/>
      <c r="N4" s="4"/>
      <c r="O4" s="4"/>
      <c r="P4" s="4"/>
      <c r="Q4" s="4"/>
    </row>
    <row r="5" spans="1:17">
      <c r="A5" s="14">
        <v>1</v>
      </c>
      <c r="B5" s="15" t="s">
        <v>15</v>
      </c>
      <c r="C5" s="16">
        <f>'Медикаменты Сентябрь'!L5</f>
        <v>2</v>
      </c>
      <c r="D5" s="17"/>
      <c r="E5" s="14">
        <f>10</f>
        <v>10</v>
      </c>
      <c r="F5" s="18"/>
      <c r="G5" s="19">
        <f>2</f>
        <v>2</v>
      </c>
      <c r="H5" s="20"/>
      <c r="I5" s="21"/>
      <c r="J5" s="14"/>
      <c r="K5" s="14">
        <f t="shared" ref="K5:K68" si="0">SUM(F5:J5)</f>
        <v>2</v>
      </c>
      <c r="L5" s="16">
        <f t="shared" ref="L5:L68" si="1">(C5+E5)-K5</f>
        <v>10</v>
      </c>
      <c r="M5" s="22">
        <v>45444</v>
      </c>
      <c r="N5" s="44" t="s">
        <v>551</v>
      </c>
      <c r="O5" s="23" t="s">
        <v>16</v>
      </c>
      <c r="P5" s="24" t="s">
        <v>17</v>
      </c>
      <c r="Q5" s="28" t="s">
        <v>18</v>
      </c>
    </row>
    <row r="6" spans="1:17" ht="25.5">
      <c r="A6" s="14">
        <v>2</v>
      </c>
      <c r="B6" s="15" t="s">
        <v>656</v>
      </c>
      <c r="C6" s="16"/>
      <c r="D6" s="17"/>
      <c r="E6" s="14">
        <f>27</f>
        <v>27</v>
      </c>
      <c r="F6" s="18"/>
      <c r="G6" s="19"/>
      <c r="H6" s="20"/>
      <c r="I6" s="21"/>
      <c r="J6" s="14"/>
      <c r="K6" s="14">
        <f t="shared" si="0"/>
        <v>0</v>
      </c>
      <c r="L6" s="16">
        <f t="shared" si="1"/>
        <v>27</v>
      </c>
      <c r="M6" s="22">
        <v>45505</v>
      </c>
      <c r="N6" s="44" t="s">
        <v>551</v>
      </c>
      <c r="O6" s="23" t="s">
        <v>26</v>
      </c>
      <c r="P6" s="24" t="s">
        <v>17</v>
      </c>
      <c r="Q6" s="28" t="s">
        <v>657</v>
      </c>
    </row>
    <row r="7" spans="1:17" ht="25.5">
      <c r="A7" s="14">
        <v>3</v>
      </c>
      <c r="B7" s="15" t="s">
        <v>656</v>
      </c>
      <c r="C7" s="16"/>
      <c r="D7" s="17"/>
      <c r="E7" s="14">
        <f>3</f>
        <v>3</v>
      </c>
      <c r="F7" s="18"/>
      <c r="G7" s="19"/>
      <c r="H7" s="20"/>
      <c r="I7" s="21"/>
      <c r="J7" s="14"/>
      <c r="K7" s="14">
        <f t="shared" si="0"/>
        <v>0</v>
      </c>
      <c r="L7" s="16">
        <f t="shared" si="1"/>
        <v>3</v>
      </c>
      <c r="M7" s="22">
        <v>45505</v>
      </c>
      <c r="N7" s="44" t="s">
        <v>551</v>
      </c>
      <c r="O7" s="23" t="s">
        <v>16</v>
      </c>
      <c r="P7" s="24" t="s">
        <v>17</v>
      </c>
      <c r="Q7" s="28" t="s">
        <v>657</v>
      </c>
    </row>
    <row r="8" spans="1:17">
      <c r="A8" s="14">
        <v>4</v>
      </c>
      <c r="B8" s="15" t="s">
        <v>658</v>
      </c>
      <c r="C8" s="16"/>
      <c r="D8" s="17"/>
      <c r="E8" s="14">
        <f>150</f>
        <v>150</v>
      </c>
      <c r="F8" s="18">
        <f>5</f>
        <v>5</v>
      </c>
      <c r="G8" s="19"/>
      <c r="H8" s="20"/>
      <c r="I8" s="21"/>
      <c r="J8" s="14"/>
      <c r="K8" s="14">
        <f t="shared" si="0"/>
        <v>5</v>
      </c>
      <c r="L8" s="16">
        <f t="shared" si="1"/>
        <v>145</v>
      </c>
      <c r="M8" s="22">
        <v>46082</v>
      </c>
      <c r="N8" s="44" t="s">
        <v>551</v>
      </c>
      <c r="O8" s="23" t="s">
        <v>16</v>
      </c>
      <c r="P8" s="24" t="s">
        <v>17</v>
      </c>
      <c r="Q8" s="28" t="s">
        <v>659</v>
      </c>
    </row>
    <row r="9" spans="1:17">
      <c r="A9" s="14">
        <v>5</v>
      </c>
      <c r="B9" s="15" t="s">
        <v>19</v>
      </c>
      <c r="C9" s="16">
        <f>'Медикаменты Сентябрь'!L6</f>
        <v>11</v>
      </c>
      <c r="D9" s="17"/>
      <c r="E9" s="14"/>
      <c r="F9" s="18"/>
      <c r="G9" s="19"/>
      <c r="H9" s="20"/>
      <c r="I9" s="21"/>
      <c r="J9" s="14"/>
      <c r="K9" s="14">
        <f t="shared" si="0"/>
        <v>0</v>
      </c>
      <c r="L9" s="16">
        <f t="shared" si="1"/>
        <v>11</v>
      </c>
      <c r="M9" s="22">
        <v>44593</v>
      </c>
      <c r="N9" s="44" t="s">
        <v>45</v>
      </c>
      <c r="O9" s="23" t="s">
        <v>16</v>
      </c>
      <c r="P9" s="24" t="s">
        <v>17</v>
      </c>
      <c r="Q9" s="28" t="s">
        <v>20</v>
      </c>
    </row>
    <row r="10" spans="1:17">
      <c r="A10" s="14">
        <v>6</v>
      </c>
      <c r="B10" s="15" t="s">
        <v>19</v>
      </c>
      <c r="C10" s="16">
        <f>'Медикаменты Сентябрь'!L7</f>
        <v>50</v>
      </c>
      <c r="D10" s="17"/>
      <c r="E10" s="14"/>
      <c r="F10" s="18"/>
      <c r="G10" s="19"/>
      <c r="H10" s="20"/>
      <c r="I10" s="21"/>
      <c r="J10" s="14"/>
      <c r="K10" s="14">
        <f t="shared" si="0"/>
        <v>0</v>
      </c>
      <c r="L10" s="16">
        <f t="shared" si="1"/>
        <v>50</v>
      </c>
      <c r="M10" s="22">
        <v>45231</v>
      </c>
      <c r="N10" s="44" t="s">
        <v>551</v>
      </c>
      <c r="O10" s="23" t="s">
        <v>16</v>
      </c>
      <c r="P10" s="24" t="s">
        <v>17</v>
      </c>
      <c r="Q10" s="28" t="s">
        <v>20</v>
      </c>
    </row>
    <row r="11" spans="1:17">
      <c r="A11" s="14">
        <v>7</v>
      </c>
      <c r="B11" s="15" t="s">
        <v>21</v>
      </c>
      <c r="C11" s="16">
        <f>'Медикаменты Сентябрь'!L8</f>
        <v>84</v>
      </c>
      <c r="D11" s="17"/>
      <c r="E11" s="14"/>
      <c r="F11" s="18">
        <f>5+8+10</f>
        <v>23</v>
      </c>
      <c r="G11" s="19"/>
      <c r="H11" s="20"/>
      <c r="I11" s="21"/>
      <c r="J11" s="14"/>
      <c r="K11" s="14">
        <f t="shared" si="0"/>
        <v>23</v>
      </c>
      <c r="L11" s="16">
        <f t="shared" si="1"/>
        <v>61</v>
      </c>
      <c r="M11" s="22">
        <v>45566</v>
      </c>
      <c r="N11" s="44" t="s">
        <v>45</v>
      </c>
      <c r="O11" s="23" t="s">
        <v>16</v>
      </c>
      <c r="P11" s="24" t="s">
        <v>17</v>
      </c>
      <c r="Q11" s="28" t="s">
        <v>22</v>
      </c>
    </row>
    <row r="12" spans="1:17">
      <c r="A12" s="14">
        <v>8</v>
      </c>
      <c r="B12" s="15" t="s">
        <v>590</v>
      </c>
      <c r="C12" s="16">
        <f>'Медикаменты Сентябрь'!L9</f>
        <v>48</v>
      </c>
      <c r="D12" s="17"/>
      <c r="E12" s="14"/>
      <c r="F12" s="18"/>
      <c r="G12" s="19"/>
      <c r="H12" s="20"/>
      <c r="I12" s="21"/>
      <c r="J12" s="14"/>
      <c r="K12" s="14">
        <f t="shared" si="0"/>
        <v>0</v>
      </c>
      <c r="L12" s="16">
        <f t="shared" si="1"/>
        <v>48</v>
      </c>
      <c r="M12" s="22">
        <v>45047</v>
      </c>
      <c r="N12" s="44" t="s">
        <v>551</v>
      </c>
      <c r="O12" s="23" t="s">
        <v>16</v>
      </c>
      <c r="P12" s="24" t="s">
        <v>17</v>
      </c>
      <c r="Q12" s="28" t="s">
        <v>591</v>
      </c>
    </row>
    <row r="13" spans="1:17">
      <c r="A13" s="14">
        <v>9</v>
      </c>
      <c r="B13" s="15" t="s">
        <v>24</v>
      </c>
      <c r="C13" s="16">
        <f>'Медикаменты Сентябрь'!L11</f>
        <v>0</v>
      </c>
      <c r="D13" s="17"/>
      <c r="E13" s="14"/>
      <c r="F13" s="18"/>
      <c r="G13" s="19"/>
      <c r="H13" s="20"/>
      <c r="I13" s="21"/>
      <c r="J13" s="14"/>
      <c r="K13" s="14">
        <f t="shared" si="0"/>
        <v>0</v>
      </c>
      <c r="L13" s="16">
        <f t="shared" si="1"/>
        <v>0</v>
      </c>
      <c r="M13" s="22">
        <v>44866</v>
      </c>
      <c r="N13" s="44"/>
      <c r="O13" s="23" t="s">
        <v>16</v>
      </c>
      <c r="P13" s="24" t="s">
        <v>17</v>
      </c>
      <c r="Q13" s="28" t="s">
        <v>25</v>
      </c>
    </row>
    <row r="14" spans="1:17">
      <c r="A14" s="14">
        <v>10</v>
      </c>
      <c r="B14" s="15" t="s">
        <v>24</v>
      </c>
      <c r="C14" s="16">
        <f>'Медикаменты Сентябрь'!L12</f>
        <v>0</v>
      </c>
      <c r="D14" s="17"/>
      <c r="E14" s="14"/>
      <c r="F14" s="18"/>
      <c r="G14" s="19"/>
      <c r="H14" s="20"/>
      <c r="I14" s="21"/>
      <c r="J14" s="14"/>
      <c r="K14" s="14">
        <f t="shared" si="0"/>
        <v>0</v>
      </c>
      <c r="L14" s="16">
        <f t="shared" si="1"/>
        <v>0</v>
      </c>
      <c r="M14" s="22"/>
      <c r="N14" s="44"/>
      <c r="O14" s="23" t="s">
        <v>26</v>
      </c>
      <c r="P14" s="24"/>
      <c r="Q14" s="45"/>
    </row>
    <row r="15" spans="1:17">
      <c r="A15" s="14">
        <v>11</v>
      </c>
      <c r="B15" s="15" t="s">
        <v>27</v>
      </c>
      <c r="C15" s="16">
        <f>'Медикаменты Сентябрь'!L13</f>
        <v>0</v>
      </c>
      <c r="D15" s="17"/>
      <c r="E15" s="14"/>
      <c r="F15" s="18"/>
      <c r="G15" s="19"/>
      <c r="H15" s="20"/>
      <c r="I15" s="21"/>
      <c r="J15" s="14"/>
      <c r="K15" s="14">
        <f t="shared" si="0"/>
        <v>0</v>
      </c>
      <c r="L15" s="16">
        <f t="shared" si="1"/>
        <v>0</v>
      </c>
      <c r="M15" s="22">
        <v>44805</v>
      </c>
      <c r="N15" s="44" t="s">
        <v>45</v>
      </c>
      <c r="O15" s="23" t="s">
        <v>16</v>
      </c>
      <c r="P15" s="24" t="s">
        <v>17</v>
      </c>
      <c r="Q15" s="28" t="s">
        <v>28</v>
      </c>
    </row>
    <row r="16" spans="1:17">
      <c r="A16" s="14">
        <v>12</v>
      </c>
      <c r="B16" s="15" t="s">
        <v>27</v>
      </c>
      <c r="C16" s="16">
        <f>'Медикаменты Сентябрь'!L14</f>
        <v>0</v>
      </c>
      <c r="D16" s="17"/>
      <c r="E16" s="14"/>
      <c r="F16" s="18"/>
      <c r="G16" s="19"/>
      <c r="H16" s="20"/>
      <c r="I16" s="21"/>
      <c r="J16" s="14"/>
      <c r="K16" s="14">
        <f t="shared" si="0"/>
        <v>0</v>
      </c>
      <c r="L16" s="16">
        <f t="shared" si="1"/>
        <v>0</v>
      </c>
      <c r="M16" s="22"/>
      <c r="N16" s="44"/>
      <c r="O16" s="23" t="s">
        <v>26</v>
      </c>
      <c r="P16" s="24"/>
      <c r="Q16" s="45"/>
    </row>
    <row r="17" spans="1:17">
      <c r="A17" s="14">
        <v>13</v>
      </c>
      <c r="B17" s="15" t="s">
        <v>29</v>
      </c>
      <c r="C17" s="16">
        <f>'Медикаменты Сентябрь'!L15</f>
        <v>17</v>
      </c>
      <c r="D17" s="17"/>
      <c r="E17" s="14"/>
      <c r="F17" s="18"/>
      <c r="G17" s="19"/>
      <c r="H17" s="20"/>
      <c r="I17" s="21"/>
      <c r="J17" s="14"/>
      <c r="K17" s="14">
        <f t="shared" si="0"/>
        <v>0</v>
      </c>
      <c r="L17" s="16">
        <f t="shared" si="1"/>
        <v>17</v>
      </c>
      <c r="M17" s="22">
        <v>44835</v>
      </c>
      <c r="N17" s="44" t="s">
        <v>45</v>
      </c>
      <c r="O17" s="23" t="s">
        <v>16</v>
      </c>
      <c r="P17" s="24" t="s">
        <v>17</v>
      </c>
      <c r="Q17" s="28" t="s">
        <v>30</v>
      </c>
    </row>
    <row r="18" spans="1:17">
      <c r="A18" s="14">
        <v>14</v>
      </c>
      <c r="B18" s="15" t="s">
        <v>31</v>
      </c>
      <c r="C18" s="16">
        <f>'Медикаменты Сентябрь'!L16</f>
        <v>22</v>
      </c>
      <c r="D18" s="26"/>
      <c r="E18" s="14"/>
      <c r="F18" s="18">
        <f>5</f>
        <v>5</v>
      </c>
      <c r="G18" s="19"/>
      <c r="H18" s="20"/>
      <c r="I18" s="21"/>
      <c r="J18" s="14"/>
      <c r="K18" s="14">
        <f t="shared" si="0"/>
        <v>5</v>
      </c>
      <c r="L18" s="16">
        <f t="shared" si="1"/>
        <v>17</v>
      </c>
      <c r="M18" s="22">
        <v>44621</v>
      </c>
      <c r="N18" s="44" t="s">
        <v>45</v>
      </c>
      <c r="O18" s="23" t="s">
        <v>16</v>
      </c>
      <c r="P18" s="24" t="s">
        <v>17</v>
      </c>
      <c r="Q18" s="28" t="s">
        <v>32</v>
      </c>
    </row>
    <row r="19" spans="1:17">
      <c r="A19" s="14">
        <v>15</v>
      </c>
      <c r="B19" s="15" t="s">
        <v>35</v>
      </c>
      <c r="C19" s="16">
        <f>'Медикаменты Сентябрь'!L19</f>
        <v>22</v>
      </c>
      <c r="D19" s="17"/>
      <c r="E19" s="14"/>
      <c r="F19" s="18">
        <f>5+3+3</f>
        <v>11</v>
      </c>
      <c r="G19" s="19"/>
      <c r="H19" s="20"/>
      <c r="I19" s="21"/>
      <c r="J19" s="14"/>
      <c r="K19" s="14">
        <f t="shared" si="0"/>
        <v>11</v>
      </c>
      <c r="L19" s="16">
        <f t="shared" si="1"/>
        <v>11</v>
      </c>
      <c r="M19" s="22">
        <v>44621</v>
      </c>
      <c r="N19" s="44" t="s">
        <v>45</v>
      </c>
      <c r="O19" s="23" t="s">
        <v>16</v>
      </c>
      <c r="P19" s="24" t="s">
        <v>17</v>
      </c>
      <c r="Q19" s="28" t="s">
        <v>36</v>
      </c>
    </row>
    <row r="20" spans="1:17">
      <c r="A20" s="14">
        <v>16</v>
      </c>
      <c r="B20" s="15" t="s">
        <v>37</v>
      </c>
      <c r="C20" s="16">
        <f>'Медикаменты Сентябрь'!L20</f>
        <v>95</v>
      </c>
      <c r="D20" s="17"/>
      <c r="E20" s="14"/>
      <c r="F20" s="18"/>
      <c r="G20" s="19"/>
      <c r="H20" s="20"/>
      <c r="I20" s="21"/>
      <c r="J20" s="14"/>
      <c r="K20" s="14">
        <f t="shared" si="0"/>
        <v>0</v>
      </c>
      <c r="L20" s="16">
        <f t="shared" si="1"/>
        <v>95</v>
      </c>
      <c r="M20" s="22">
        <v>44621</v>
      </c>
      <c r="N20" s="44" t="s">
        <v>45</v>
      </c>
      <c r="O20" s="23" t="s">
        <v>16</v>
      </c>
      <c r="P20" s="24" t="s">
        <v>17</v>
      </c>
      <c r="Q20" s="28" t="s">
        <v>38</v>
      </c>
    </row>
    <row r="21" spans="1:17">
      <c r="A21" s="14">
        <v>17</v>
      </c>
      <c r="B21" s="15" t="s">
        <v>39</v>
      </c>
      <c r="C21" s="16">
        <f>'Медикаменты Сентябрь'!L21</f>
        <v>0</v>
      </c>
      <c r="D21" s="17"/>
      <c r="E21" s="14"/>
      <c r="F21" s="18"/>
      <c r="G21" s="19"/>
      <c r="H21" s="20"/>
      <c r="I21" s="21"/>
      <c r="J21" s="14"/>
      <c r="K21" s="14">
        <f t="shared" si="0"/>
        <v>0</v>
      </c>
      <c r="L21" s="16">
        <f t="shared" si="1"/>
        <v>0</v>
      </c>
      <c r="M21" s="22">
        <v>44409</v>
      </c>
      <c r="N21" s="44" t="s">
        <v>45</v>
      </c>
      <c r="O21" s="23" t="s">
        <v>16</v>
      </c>
      <c r="P21" s="24" t="s">
        <v>17</v>
      </c>
      <c r="Q21" s="28" t="s">
        <v>40</v>
      </c>
    </row>
    <row r="22" spans="1:17">
      <c r="A22" s="14">
        <v>18</v>
      </c>
      <c r="B22" s="15" t="s">
        <v>618</v>
      </c>
      <c r="C22" s="16">
        <f>'Медикаменты Сентябрь'!L22</f>
        <v>0</v>
      </c>
      <c r="D22" s="17"/>
      <c r="E22" s="14"/>
      <c r="F22" s="18"/>
      <c r="G22" s="19"/>
      <c r="H22" s="20"/>
      <c r="I22" s="21"/>
      <c r="J22" s="14"/>
      <c r="K22" s="14">
        <f t="shared" si="0"/>
        <v>0</v>
      </c>
      <c r="L22" s="16">
        <f t="shared" si="1"/>
        <v>0</v>
      </c>
      <c r="M22" s="22">
        <v>44743</v>
      </c>
      <c r="N22" s="44" t="s">
        <v>551</v>
      </c>
      <c r="O22" s="23" t="s">
        <v>16</v>
      </c>
      <c r="P22" s="24" t="s">
        <v>17</v>
      </c>
      <c r="Q22" s="28" t="s">
        <v>42</v>
      </c>
    </row>
    <row r="23" spans="1:17">
      <c r="A23" s="14">
        <v>19</v>
      </c>
      <c r="B23" s="15" t="s">
        <v>43</v>
      </c>
      <c r="C23" s="16">
        <f>'Медикаменты Сентябрь'!L23</f>
        <v>0</v>
      </c>
      <c r="D23" s="17"/>
      <c r="E23" s="14"/>
      <c r="F23" s="18"/>
      <c r="G23" s="19"/>
      <c r="H23" s="20"/>
      <c r="I23" s="21"/>
      <c r="J23" s="14"/>
      <c r="K23" s="14">
        <f t="shared" si="0"/>
        <v>0</v>
      </c>
      <c r="L23" s="16">
        <f t="shared" si="1"/>
        <v>0</v>
      </c>
      <c r="M23" s="22"/>
      <c r="N23" s="44"/>
      <c r="O23" s="23" t="s">
        <v>16</v>
      </c>
      <c r="P23" s="24"/>
      <c r="Q23" s="45"/>
    </row>
    <row r="24" spans="1:17">
      <c r="A24" s="14">
        <v>20</v>
      </c>
      <c r="B24" s="15" t="s">
        <v>44</v>
      </c>
      <c r="C24" s="16">
        <f>'Медикаменты Сентябрь'!L24</f>
        <v>4</v>
      </c>
      <c r="D24" s="17"/>
      <c r="E24" s="14"/>
      <c r="F24" s="18"/>
      <c r="G24" s="19"/>
      <c r="H24" s="20"/>
      <c r="I24" s="21"/>
      <c r="J24" s="14"/>
      <c r="K24" s="14">
        <f t="shared" si="0"/>
        <v>0</v>
      </c>
      <c r="L24" s="16">
        <f t="shared" si="1"/>
        <v>4</v>
      </c>
      <c r="M24" s="22">
        <v>44621</v>
      </c>
      <c r="N24" s="44" t="s">
        <v>45</v>
      </c>
      <c r="O24" s="23" t="s">
        <v>16</v>
      </c>
      <c r="P24" s="24" t="s">
        <v>45</v>
      </c>
      <c r="Q24" s="28" t="s">
        <v>46</v>
      </c>
    </row>
    <row r="25" spans="1:17">
      <c r="A25" s="14">
        <v>21</v>
      </c>
      <c r="B25" s="15" t="s">
        <v>44</v>
      </c>
      <c r="C25" s="16">
        <f>'Медикаменты Сентябрь'!L25</f>
        <v>0</v>
      </c>
      <c r="D25" s="17"/>
      <c r="E25" s="14"/>
      <c r="F25" s="18"/>
      <c r="G25" s="19"/>
      <c r="H25" s="20"/>
      <c r="I25" s="21"/>
      <c r="J25" s="14"/>
      <c r="K25" s="14">
        <f t="shared" si="0"/>
        <v>0</v>
      </c>
      <c r="L25" s="16">
        <f t="shared" si="1"/>
        <v>0</v>
      </c>
      <c r="M25" s="22">
        <v>44621</v>
      </c>
      <c r="N25" s="44"/>
      <c r="O25" s="23" t="s">
        <v>26</v>
      </c>
      <c r="P25" s="24"/>
      <c r="Q25" s="28" t="s">
        <v>46</v>
      </c>
    </row>
    <row r="26" spans="1:17">
      <c r="A26" s="14">
        <v>22</v>
      </c>
      <c r="B26" s="15" t="s">
        <v>47</v>
      </c>
      <c r="C26" s="16">
        <f>'Медикаменты Сентябрь'!L26</f>
        <v>70</v>
      </c>
      <c r="D26" s="17"/>
      <c r="E26" s="14"/>
      <c r="F26" s="18">
        <f>3+3</f>
        <v>6</v>
      </c>
      <c r="G26" s="19"/>
      <c r="H26" s="20"/>
      <c r="I26" s="21"/>
      <c r="J26" s="14"/>
      <c r="K26" s="14">
        <f t="shared" si="0"/>
        <v>6</v>
      </c>
      <c r="L26" s="16">
        <f t="shared" si="1"/>
        <v>64</v>
      </c>
      <c r="M26" s="22">
        <v>44621</v>
      </c>
      <c r="N26" s="44" t="s">
        <v>45</v>
      </c>
      <c r="O26" s="23" t="s">
        <v>16</v>
      </c>
      <c r="P26" s="24" t="s">
        <v>45</v>
      </c>
      <c r="Q26" s="28" t="s">
        <v>48</v>
      </c>
    </row>
    <row r="27" spans="1:17">
      <c r="A27" s="14">
        <v>23</v>
      </c>
      <c r="B27" s="15" t="s">
        <v>49</v>
      </c>
      <c r="C27" s="16">
        <f>'Медикаменты Сентябрь'!L27</f>
        <v>0</v>
      </c>
      <c r="D27" s="17"/>
      <c r="E27" s="14"/>
      <c r="F27" s="18"/>
      <c r="G27" s="19"/>
      <c r="H27" s="20"/>
      <c r="I27" s="21"/>
      <c r="J27" s="14"/>
      <c r="K27" s="14">
        <f t="shared" si="0"/>
        <v>0</v>
      </c>
      <c r="L27" s="16">
        <f t="shared" si="1"/>
        <v>0</v>
      </c>
      <c r="M27" s="22">
        <v>44652</v>
      </c>
      <c r="N27" s="44"/>
      <c r="O27" s="23" t="s">
        <v>16</v>
      </c>
      <c r="P27" s="24"/>
      <c r="Q27" s="28" t="s">
        <v>50</v>
      </c>
    </row>
    <row r="28" spans="1:17">
      <c r="A28" s="14">
        <v>24</v>
      </c>
      <c r="B28" s="15" t="s">
        <v>51</v>
      </c>
      <c r="C28" s="16">
        <f>'Медикаменты Сентябрь'!L28</f>
        <v>37</v>
      </c>
      <c r="D28" s="17"/>
      <c r="E28" s="14"/>
      <c r="F28" s="18"/>
      <c r="G28" s="19"/>
      <c r="H28" s="20"/>
      <c r="I28" s="21"/>
      <c r="J28" s="14"/>
      <c r="K28" s="14">
        <f t="shared" si="0"/>
        <v>0</v>
      </c>
      <c r="L28" s="16">
        <f t="shared" si="1"/>
        <v>37</v>
      </c>
      <c r="M28" s="22">
        <v>45641</v>
      </c>
      <c r="N28" s="44" t="s">
        <v>551</v>
      </c>
      <c r="O28" s="23" t="s">
        <v>16</v>
      </c>
      <c r="P28" s="24" t="s">
        <v>17</v>
      </c>
      <c r="Q28" s="28" t="s">
        <v>52</v>
      </c>
    </row>
    <row r="29" spans="1:17">
      <c r="A29" s="14">
        <v>25</v>
      </c>
      <c r="B29" s="15" t="s">
        <v>54</v>
      </c>
      <c r="C29" s="16">
        <f>'Медикаменты Сентябрь'!L30</f>
        <v>0</v>
      </c>
      <c r="D29" s="17"/>
      <c r="E29" s="14"/>
      <c r="F29" s="18"/>
      <c r="G29" s="19"/>
      <c r="H29" s="20"/>
      <c r="I29" s="21"/>
      <c r="J29" s="14"/>
      <c r="K29" s="14">
        <f t="shared" si="0"/>
        <v>0</v>
      </c>
      <c r="L29" s="16">
        <f t="shared" si="1"/>
        <v>0</v>
      </c>
      <c r="M29" s="22"/>
      <c r="N29" s="44"/>
      <c r="O29" s="23" t="s">
        <v>16</v>
      </c>
      <c r="P29" s="24"/>
      <c r="Q29" s="45"/>
    </row>
    <row r="30" spans="1:17">
      <c r="A30" s="14">
        <v>26</v>
      </c>
      <c r="B30" s="15" t="s">
        <v>55</v>
      </c>
      <c r="C30" s="16">
        <f>'Медикаменты Сентябрь'!L31</f>
        <v>0</v>
      </c>
      <c r="D30" s="17"/>
      <c r="E30" s="14"/>
      <c r="F30" s="18"/>
      <c r="G30" s="19"/>
      <c r="H30" s="20"/>
      <c r="I30" s="21"/>
      <c r="J30" s="14"/>
      <c r="K30" s="14">
        <f t="shared" si="0"/>
        <v>0</v>
      </c>
      <c r="L30" s="16">
        <f t="shared" si="1"/>
        <v>0</v>
      </c>
      <c r="M30" s="22"/>
      <c r="N30" s="44"/>
      <c r="O30" s="23" t="s">
        <v>16</v>
      </c>
      <c r="P30" s="24"/>
      <c r="Q30" s="45"/>
    </row>
    <row r="31" spans="1:17">
      <c r="A31" s="14">
        <v>27</v>
      </c>
      <c r="B31" s="15" t="s">
        <v>56</v>
      </c>
      <c r="C31" s="16">
        <f>'Медикаменты Сентябрь'!L32</f>
        <v>0</v>
      </c>
      <c r="D31" s="17"/>
      <c r="E31" s="14"/>
      <c r="F31" s="18"/>
      <c r="G31" s="19"/>
      <c r="H31" s="20"/>
      <c r="I31" s="21"/>
      <c r="J31" s="14"/>
      <c r="K31" s="14">
        <f t="shared" si="0"/>
        <v>0</v>
      </c>
      <c r="L31" s="16">
        <f t="shared" si="1"/>
        <v>0</v>
      </c>
      <c r="M31" s="22">
        <v>44743</v>
      </c>
      <c r="N31" s="44"/>
      <c r="O31" s="23" t="s">
        <v>16</v>
      </c>
      <c r="P31" s="24"/>
      <c r="Q31" s="45"/>
    </row>
    <row r="32" spans="1:17">
      <c r="A32" s="14">
        <v>28</v>
      </c>
      <c r="B32" s="15" t="s">
        <v>57</v>
      </c>
      <c r="C32" s="16">
        <f>'Медикаменты Сентябрь'!L33</f>
        <v>0</v>
      </c>
      <c r="D32" s="17"/>
      <c r="E32" s="14"/>
      <c r="F32" s="18"/>
      <c r="G32" s="19"/>
      <c r="H32" s="20"/>
      <c r="I32" s="21"/>
      <c r="J32" s="14"/>
      <c r="K32" s="14">
        <f t="shared" si="0"/>
        <v>0</v>
      </c>
      <c r="L32" s="16">
        <f t="shared" si="1"/>
        <v>0</v>
      </c>
      <c r="M32" s="22">
        <v>44958</v>
      </c>
      <c r="N32" s="44"/>
      <c r="O32" s="23" t="s">
        <v>16</v>
      </c>
      <c r="P32" s="24"/>
      <c r="Q32" s="28" t="s">
        <v>58</v>
      </c>
    </row>
    <row r="33" spans="1:17" ht="25.5">
      <c r="A33" s="14">
        <v>29</v>
      </c>
      <c r="B33" s="15" t="s">
        <v>59</v>
      </c>
      <c r="C33" s="16">
        <f>'Медикаменты Сентябрь'!L34</f>
        <v>0</v>
      </c>
      <c r="D33" s="17"/>
      <c r="E33" s="14"/>
      <c r="F33" s="18"/>
      <c r="G33" s="19"/>
      <c r="H33" s="20"/>
      <c r="I33" s="21"/>
      <c r="J33" s="14"/>
      <c r="K33" s="14">
        <f t="shared" si="0"/>
        <v>0</v>
      </c>
      <c r="L33" s="16">
        <f t="shared" si="1"/>
        <v>0</v>
      </c>
      <c r="M33" s="22">
        <v>44957</v>
      </c>
      <c r="N33" s="44" t="s">
        <v>551</v>
      </c>
      <c r="O33" s="23" t="s">
        <v>16</v>
      </c>
      <c r="P33" s="24" t="s">
        <v>17</v>
      </c>
      <c r="Q33" s="28" t="s">
        <v>60</v>
      </c>
    </row>
    <row r="34" spans="1:17" ht="25.5">
      <c r="A34" s="14">
        <v>30</v>
      </c>
      <c r="B34" s="15" t="s">
        <v>59</v>
      </c>
      <c r="C34" s="16">
        <f>'Медикаменты Сентябрь'!L35</f>
        <v>50</v>
      </c>
      <c r="D34" s="17"/>
      <c r="E34" s="14"/>
      <c r="F34" s="18"/>
      <c r="G34" s="19">
        <f>50</f>
        <v>50</v>
      </c>
      <c r="H34" s="20"/>
      <c r="I34" s="21"/>
      <c r="J34" s="14"/>
      <c r="K34" s="14">
        <f t="shared" si="0"/>
        <v>50</v>
      </c>
      <c r="L34" s="16">
        <f t="shared" si="1"/>
        <v>0</v>
      </c>
      <c r="M34" s="22">
        <v>44957</v>
      </c>
      <c r="N34" s="44" t="s">
        <v>551</v>
      </c>
      <c r="O34" s="23" t="s">
        <v>26</v>
      </c>
      <c r="P34" s="24" t="s">
        <v>17</v>
      </c>
      <c r="Q34" s="28" t="s">
        <v>60</v>
      </c>
    </row>
    <row r="35" spans="1:17">
      <c r="A35" s="14">
        <v>31</v>
      </c>
      <c r="B35" s="15" t="s">
        <v>61</v>
      </c>
      <c r="C35" s="16">
        <f>'Медикаменты Сентябрь'!L36</f>
        <v>0</v>
      </c>
      <c r="D35" s="17"/>
      <c r="E35" s="14"/>
      <c r="F35" s="18"/>
      <c r="G35" s="19"/>
      <c r="H35" s="20"/>
      <c r="I35" s="21"/>
      <c r="J35" s="14"/>
      <c r="K35" s="14">
        <f t="shared" si="0"/>
        <v>0</v>
      </c>
      <c r="L35" s="16">
        <f t="shared" si="1"/>
        <v>0</v>
      </c>
      <c r="M35" s="22">
        <v>44713</v>
      </c>
      <c r="N35" s="44"/>
      <c r="O35" s="23" t="s">
        <v>16</v>
      </c>
      <c r="P35" s="24"/>
      <c r="Q35" s="28" t="s">
        <v>62</v>
      </c>
    </row>
    <row r="36" spans="1:17">
      <c r="A36" s="14">
        <v>32</v>
      </c>
      <c r="B36" s="15" t="s">
        <v>63</v>
      </c>
      <c r="C36" s="16">
        <f>'Медикаменты Сентябрь'!L37</f>
        <v>0</v>
      </c>
      <c r="D36" s="17"/>
      <c r="E36" s="14"/>
      <c r="F36" s="18"/>
      <c r="G36" s="19"/>
      <c r="H36" s="20"/>
      <c r="I36" s="21"/>
      <c r="J36" s="14"/>
      <c r="K36" s="14">
        <f t="shared" si="0"/>
        <v>0</v>
      </c>
      <c r="L36" s="16">
        <f t="shared" si="1"/>
        <v>0</v>
      </c>
      <c r="M36" s="22"/>
      <c r="N36" s="44"/>
      <c r="O36" s="23" t="s">
        <v>16</v>
      </c>
      <c r="P36" s="24"/>
      <c r="Q36" s="45"/>
    </row>
    <row r="37" spans="1:17" ht="26.25">
      <c r="A37" s="14">
        <v>33</v>
      </c>
      <c r="B37" s="15" t="s">
        <v>592</v>
      </c>
      <c r="C37" s="16">
        <f>'Медикаменты Сентябрь'!L38</f>
        <v>20</v>
      </c>
      <c r="D37" s="17"/>
      <c r="E37" s="14"/>
      <c r="F37" s="18"/>
      <c r="G37" s="19"/>
      <c r="H37" s="20"/>
      <c r="I37" s="21"/>
      <c r="J37" s="14"/>
      <c r="K37" s="14">
        <f t="shared" si="0"/>
        <v>0</v>
      </c>
      <c r="L37" s="16">
        <f t="shared" si="1"/>
        <v>20</v>
      </c>
      <c r="M37" s="22">
        <v>44958</v>
      </c>
      <c r="N37" s="44" t="s">
        <v>551</v>
      </c>
      <c r="O37" s="23" t="s">
        <v>16</v>
      </c>
      <c r="P37" s="24" t="s">
        <v>17</v>
      </c>
      <c r="Q37" s="28" t="s">
        <v>593</v>
      </c>
    </row>
    <row r="38" spans="1:17">
      <c r="A38" s="14">
        <v>34</v>
      </c>
      <c r="B38" s="15" t="s">
        <v>64</v>
      </c>
      <c r="C38" s="16">
        <f>'Медикаменты Сентябрь'!L39</f>
        <v>0</v>
      </c>
      <c r="D38" s="17"/>
      <c r="E38" s="14"/>
      <c r="F38" s="18"/>
      <c r="G38" s="19"/>
      <c r="H38" s="20"/>
      <c r="I38" s="21"/>
      <c r="J38" s="14"/>
      <c r="K38" s="14">
        <f t="shared" si="0"/>
        <v>0</v>
      </c>
      <c r="L38" s="16">
        <f t="shared" si="1"/>
        <v>0</v>
      </c>
      <c r="M38" s="22"/>
      <c r="N38" s="44"/>
      <c r="O38" s="23" t="s">
        <v>16</v>
      </c>
      <c r="P38" s="24"/>
      <c r="Q38" s="45"/>
    </row>
    <row r="39" spans="1:17">
      <c r="A39" s="14">
        <v>35</v>
      </c>
      <c r="B39" s="15" t="s">
        <v>65</v>
      </c>
      <c r="C39" s="16">
        <f>'Медикаменты Сентябрь'!L40</f>
        <v>56</v>
      </c>
      <c r="D39" s="17"/>
      <c r="E39" s="14"/>
      <c r="F39" s="18">
        <f>1</f>
        <v>1</v>
      </c>
      <c r="G39" s="19"/>
      <c r="H39" s="20"/>
      <c r="I39" s="21"/>
      <c r="J39" s="14"/>
      <c r="K39" s="14">
        <f t="shared" si="0"/>
        <v>1</v>
      </c>
      <c r="L39" s="16">
        <f t="shared" si="1"/>
        <v>55</v>
      </c>
      <c r="M39" s="22">
        <v>45261</v>
      </c>
      <c r="N39" s="44" t="s">
        <v>45</v>
      </c>
      <c r="O39" s="23" t="s">
        <v>16</v>
      </c>
      <c r="P39" s="24" t="s">
        <v>17</v>
      </c>
      <c r="Q39" s="28" t="s">
        <v>66</v>
      </c>
    </row>
    <row r="40" spans="1:17">
      <c r="A40" s="14">
        <v>36</v>
      </c>
      <c r="B40" s="15" t="s">
        <v>67</v>
      </c>
      <c r="C40" s="16">
        <f>'Медикаменты Сентябрь'!L41</f>
        <v>37</v>
      </c>
      <c r="D40" s="17"/>
      <c r="E40" s="14"/>
      <c r="F40" s="18"/>
      <c r="G40" s="19"/>
      <c r="H40" s="20"/>
      <c r="I40" s="21"/>
      <c r="J40" s="14"/>
      <c r="K40" s="14">
        <f t="shared" si="0"/>
        <v>0</v>
      </c>
      <c r="L40" s="16">
        <f t="shared" si="1"/>
        <v>37</v>
      </c>
      <c r="M40" s="22">
        <v>45200</v>
      </c>
      <c r="N40" s="44" t="s">
        <v>551</v>
      </c>
      <c r="O40" s="23" t="s">
        <v>16</v>
      </c>
      <c r="P40" s="24" t="s">
        <v>17</v>
      </c>
      <c r="Q40" s="46" t="s">
        <v>68</v>
      </c>
    </row>
    <row r="41" spans="1:17">
      <c r="A41" s="14">
        <v>37</v>
      </c>
      <c r="B41" s="15" t="s">
        <v>69</v>
      </c>
      <c r="C41" s="16">
        <f>'Медикаменты Сентябрь'!L42</f>
        <v>0</v>
      </c>
      <c r="D41" s="17"/>
      <c r="E41" s="14">
        <f>50</f>
        <v>50</v>
      </c>
      <c r="F41" s="18">
        <f>10</f>
        <v>10</v>
      </c>
      <c r="G41" s="19"/>
      <c r="H41" s="20">
        <f>10</f>
        <v>10</v>
      </c>
      <c r="I41" s="21"/>
      <c r="J41" s="14"/>
      <c r="K41" s="14">
        <f t="shared" si="0"/>
        <v>20</v>
      </c>
      <c r="L41" s="16">
        <f t="shared" si="1"/>
        <v>30</v>
      </c>
      <c r="M41" s="22">
        <v>45778</v>
      </c>
      <c r="N41" s="44" t="s">
        <v>551</v>
      </c>
      <c r="O41" s="23" t="s">
        <v>16</v>
      </c>
      <c r="P41" s="24" t="s">
        <v>17</v>
      </c>
      <c r="Q41" s="28" t="s">
        <v>70</v>
      </c>
    </row>
    <row r="42" spans="1:17" ht="25.5">
      <c r="A42" s="14">
        <v>38</v>
      </c>
      <c r="B42" s="15" t="s">
        <v>594</v>
      </c>
      <c r="C42" s="16">
        <f>'Медикаменты Сентябрь'!L43</f>
        <v>140</v>
      </c>
      <c r="D42" s="17"/>
      <c r="E42" s="14"/>
      <c r="F42" s="18">
        <f>10</f>
        <v>10</v>
      </c>
      <c r="G42" s="19"/>
      <c r="H42" s="20"/>
      <c r="I42" s="21"/>
      <c r="J42" s="14"/>
      <c r="K42" s="14">
        <f t="shared" si="0"/>
        <v>10</v>
      </c>
      <c r="L42" s="16">
        <f t="shared" si="1"/>
        <v>130</v>
      </c>
      <c r="M42" s="22">
        <v>44986</v>
      </c>
      <c r="N42" s="44" t="s">
        <v>551</v>
      </c>
      <c r="O42" s="23" t="s">
        <v>16</v>
      </c>
      <c r="P42" s="24" t="s">
        <v>17</v>
      </c>
      <c r="Q42" s="28" t="s">
        <v>595</v>
      </c>
    </row>
    <row r="43" spans="1:17">
      <c r="A43" s="14">
        <v>39</v>
      </c>
      <c r="B43" s="15" t="s">
        <v>71</v>
      </c>
      <c r="C43" s="16">
        <f>'Медикаменты Сентябрь'!L44</f>
        <v>0</v>
      </c>
      <c r="D43" s="17"/>
      <c r="E43" s="14"/>
      <c r="F43" s="18"/>
      <c r="G43" s="19"/>
      <c r="H43" s="20"/>
      <c r="I43" s="21"/>
      <c r="J43" s="14"/>
      <c r="K43" s="14">
        <f t="shared" si="0"/>
        <v>0</v>
      </c>
      <c r="L43" s="16">
        <f t="shared" si="1"/>
        <v>0</v>
      </c>
      <c r="M43" s="22"/>
      <c r="N43" s="44"/>
      <c r="O43" s="23" t="s">
        <v>16</v>
      </c>
      <c r="P43" s="24"/>
      <c r="Q43" s="45"/>
    </row>
    <row r="44" spans="1:17">
      <c r="A44" s="14">
        <v>40</v>
      </c>
      <c r="B44" s="15" t="s">
        <v>72</v>
      </c>
      <c r="C44" s="16">
        <f>'Медикаменты Сентябрь'!L45</f>
        <v>13</v>
      </c>
      <c r="D44" s="17"/>
      <c r="E44" s="14"/>
      <c r="F44" s="18"/>
      <c r="G44" s="19"/>
      <c r="H44" s="20"/>
      <c r="I44" s="21"/>
      <c r="J44" s="14"/>
      <c r="K44" s="14">
        <f t="shared" si="0"/>
        <v>0</v>
      </c>
      <c r="L44" s="16">
        <f t="shared" si="1"/>
        <v>13</v>
      </c>
      <c r="M44" s="22">
        <v>44652</v>
      </c>
      <c r="N44" s="44" t="s">
        <v>45</v>
      </c>
      <c r="O44" s="23" t="s">
        <v>16</v>
      </c>
      <c r="P44" s="24" t="s">
        <v>17</v>
      </c>
      <c r="Q44" s="28" t="s">
        <v>73</v>
      </c>
    </row>
    <row r="45" spans="1:17">
      <c r="A45" s="14">
        <v>41</v>
      </c>
      <c r="B45" s="15" t="s">
        <v>74</v>
      </c>
      <c r="C45" s="16">
        <f>'Медикаменты Сентябрь'!L46</f>
        <v>0</v>
      </c>
      <c r="D45" s="17"/>
      <c r="E45" s="14"/>
      <c r="F45" s="18"/>
      <c r="G45" s="19"/>
      <c r="H45" s="20"/>
      <c r="I45" s="21"/>
      <c r="J45" s="14"/>
      <c r="K45" s="14">
        <f t="shared" si="0"/>
        <v>0</v>
      </c>
      <c r="L45" s="16">
        <f t="shared" si="1"/>
        <v>0</v>
      </c>
      <c r="M45" s="22">
        <v>45108</v>
      </c>
      <c r="N45" s="44" t="s">
        <v>45</v>
      </c>
      <c r="O45" s="23" t="s">
        <v>16</v>
      </c>
      <c r="P45" s="24" t="s">
        <v>17</v>
      </c>
      <c r="Q45" s="28" t="s">
        <v>75</v>
      </c>
    </row>
    <row r="46" spans="1:17">
      <c r="A46" s="14">
        <v>42</v>
      </c>
      <c r="B46" s="15" t="s">
        <v>76</v>
      </c>
      <c r="C46" s="16">
        <f>'Медикаменты Сентябрь'!L47</f>
        <v>0</v>
      </c>
      <c r="D46" s="17"/>
      <c r="E46" s="14"/>
      <c r="F46" s="18"/>
      <c r="G46" s="19"/>
      <c r="H46" s="20"/>
      <c r="I46" s="21"/>
      <c r="J46" s="14"/>
      <c r="K46" s="14">
        <f t="shared" si="0"/>
        <v>0</v>
      </c>
      <c r="L46" s="16">
        <f t="shared" si="1"/>
        <v>0</v>
      </c>
      <c r="M46" s="22"/>
      <c r="N46" s="44"/>
      <c r="O46" s="23" t="s">
        <v>16</v>
      </c>
      <c r="P46" s="24"/>
      <c r="Q46" s="45"/>
    </row>
    <row r="47" spans="1:17">
      <c r="A47" s="14">
        <v>43</v>
      </c>
      <c r="B47" s="15" t="s">
        <v>77</v>
      </c>
      <c r="C47" s="16">
        <f>'Медикаменты Сентябрь'!L48</f>
        <v>0</v>
      </c>
      <c r="D47" s="17"/>
      <c r="E47" s="14"/>
      <c r="F47" s="18"/>
      <c r="G47" s="19"/>
      <c r="H47" s="20"/>
      <c r="I47" s="21"/>
      <c r="J47" s="14"/>
      <c r="K47" s="14">
        <f t="shared" si="0"/>
        <v>0</v>
      </c>
      <c r="L47" s="16">
        <f t="shared" si="1"/>
        <v>0</v>
      </c>
      <c r="M47" s="22"/>
      <c r="N47" s="44"/>
      <c r="O47" s="23" t="s">
        <v>16</v>
      </c>
      <c r="P47" s="24"/>
      <c r="Q47" s="45"/>
    </row>
    <row r="48" spans="1:17">
      <c r="A48" s="14">
        <v>44</v>
      </c>
      <c r="B48" s="15" t="s">
        <v>619</v>
      </c>
      <c r="C48" s="16">
        <f>'Медикаменты Сентябрь'!L49</f>
        <v>10</v>
      </c>
      <c r="D48" s="17"/>
      <c r="E48" s="14"/>
      <c r="F48" s="18"/>
      <c r="G48" s="19"/>
      <c r="H48" s="20"/>
      <c r="I48" s="21"/>
      <c r="J48" s="14"/>
      <c r="K48" s="14">
        <f t="shared" si="0"/>
        <v>0</v>
      </c>
      <c r="L48" s="16">
        <f t="shared" si="1"/>
        <v>10</v>
      </c>
      <c r="M48" s="22">
        <v>45413</v>
      </c>
      <c r="N48" s="44" t="s">
        <v>551</v>
      </c>
      <c r="O48" s="23" t="s">
        <v>16</v>
      </c>
      <c r="P48" s="24" t="s">
        <v>17</v>
      </c>
      <c r="Q48" s="28" t="s">
        <v>79</v>
      </c>
    </row>
    <row r="49" spans="1:17">
      <c r="A49" s="14">
        <v>45</v>
      </c>
      <c r="B49" s="15" t="s">
        <v>80</v>
      </c>
      <c r="C49" s="16">
        <f>'Медикаменты Сентябрь'!L50</f>
        <v>0</v>
      </c>
      <c r="D49" s="17"/>
      <c r="E49" s="14"/>
      <c r="F49" s="18"/>
      <c r="G49" s="19"/>
      <c r="H49" s="20"/>
      <c r="I49" s="21"/>
      <c r="J49" s="14"/>
      <c r="K49" s="14">
        <f t="shared" si="0"/>
        <v>0</v>
      </c>
      <c r="L49" s="16">
        <f t="shared" si="1"/>
        <v>0</v>
      </c>
      <c r="M49" s="22">
        <v>44317</v>
      </c>
      <c r="N49" s="44"/>
      <c r="O49" s="23" t="s">
        <v>16</v>
      </c>
      <c r="P49" s="24" t="s">
        <v>17</v>
      </c>
      <c r="Q49" s="28" t="s">
        <v>81</v>
      </c>
    </row>
    <row r="50" spans="1:17">
      <c r="A50" s="14">
        <v>46</v>
      </c>
      <c r="B50" s="15" t="s">
        <v>83</v>
      </c>
      <c r="C50" s="16">
        <f>'Медикаменты Сентябрь'!L52</f>
        <v>0</v>
      </c>
      <c r="D50" s="17"/>
      <c r="E50" s="14"/>
      <c r="F50" s="18"/>
      <c r="G50" s="19"/>
      <c r="H50" s="20"/>
      <c r="I50" s="21"/>
      <c r="J50" s="14"/>
      <c r="K50" s="14">
        <f t="shared" si="0"/>
        <v>0</v>
      </c>
      <c r="L50" s="16">
        <f t="shared" si="1"/>
        <v>0</v>
      </c>
      <c r="M50" s="22">
        <v>44317</v>
      </c>
      <c r="N50" s="44" t="s">
        <v>45</v>
      </c>
      <c r="O50" s="23" t="s">
        <v>16</v>
      </c>
      <c r="P50" s="24" t="s">
        <v>17</v>
      </c>
      <c r="Q50" s="28" t="s">
        <v>84</v>
      </c>
    </row>
    <row r="51" spans="1:17">
      <c r="A51" s="14">
        <v>47</v>
      </c>
      <c r="B51" s="15" t="s">
        <v>85</v>
      </c>
      <c r="C51" s="16">
        <f>'Медикаменты Сентябрь'!L53</f>
        <v>0</v>
      </c>
      <c r="D51" s="17"/>
      <c r="E51" s="14"/>
      <c r="F51" s="18"/>
      <c r="G51" s="19"/>
      <c r="H51" s="20"/>
      <c r="I51" s="21"/>
      <c r="J51" s="14"/>
      <c r="K51" s="14">
        <f t="shared" si="0"/>
        <v>0</v>
      </c>
      <c r="L51" s="16">
        <f t="shared" si="1"/>
        <v>0</v>
      </c>
      <c r="M51" s="22">
        <v>44409</v>
      </c>
      <c r="N51" s="44" t="s">
        <v>45</v>
      </c>
      <c r="O51" s="23" t="s">
        <v>16</v>
      </c>
      <c r="P51" s="24" t="s">
        <v>17</v>
      </c>
      <c r="Q51" s="28" t="s">
        <v>86</v>
      </c>
    </row>
    <row r="52" spans="1:17">
      <c r="A52" s="14">
        <v>48</v>
      </c>
      <c r="B52" s="15" t="s">
        <v>87</v>
      </c>
      <c r="C52" s="16">
        <f>'Медикаменты Сентябрь'!L54</f>
        <v>0</v>
      </c>
      <c r="D52" s="17"/>
      <c r="E52" s="14"/>
      <c r="F52" s="18"/>
      <c r="G52" s="19"/>
      <c r="H52" s="20"/>
      <c r="I52" s="21"/>
      <c r="J52" s="14"/>
      <c r="K52" s="14">
        <f t="shared" si="0"/>
        <v>0</v>
      </c>
      <c r="L52" s="16">
        <f t="shared" si="1"/>
        <v>0</v>
      </c>
      <c r="M52" s="22">
        <v>44136</v>
      </c>
      <c r="N52" s="44"/>
      <c r="O52" s="23" t="s">
        <v>16</v>
      </c>
      <c r="P52" s="24"/>
      <c r="Q52" s="28" t="s">
        <v>88</v>
      </c>
    </row>
    <row r="53" spans="1:17">
      <c r="A53" s="14">
        <v>49</v>
      </c>
      <c r="B53" s="15" t="s">
        <v>620</v>
      </c>
      <c r="C53" s="16">
        <f>'Медикаменты Сентябрь'!L55</f>
        <v>30</v>
      </c>
      <c r="D53" s="17"/>
      <c r="E53" s="14"/>
      <c r="F53" s="18"/>
      <c r="G53" s="19"/>
      <c r="H53" s="20"/>
      <c r="I53" s="21"/>
      <c r="J53" s="14"/>
      <c r="K53" s="14">
        <f t="shared" si="0"/>
        <v>0</v>
      </c>
      <c r="L53" s="16">
        <f t="shared" si="1"/>
        <v>30</v>
      </c>
      <c r="M53" s="22">
        <v>44986</v>
      </c>
      <c r="N53" s="44" t="s">
        <v>551</v>
      </c>
      <c r="O53" s="23" t="s">
        <v>16</v>
      </c>
      <c r="P53" s="24" t="s">
        <v>17</v>
      </c>
      <c r="Q53" s="28" t="s">
        <v>621</v>
      </c>
    </row>
    <row r="54" spans="1:17">
      <c r="A54" s="14">
        <v>50</v>
      </c>
      <c r="B54" s="15" t="s">
        <v>622</v>
      </c>
      <c r="C54" s="16">
        <f>'Медикаменты Сентябрь'!L56</f>
        <v>45</v>
      </c>
      <c r="D54" s="17"/>
      <c r="E54" s="14"/>
      <c r="F54" s="18"/>
      <c r="G54" s="19"/>
      <c r="H54" s="20"/>
      <c r="I54" s="21"/>
      <c r="J54" s="14"/>
      <c r="K54" s="14">
        <f t="shared" si="0"/>
        <v>0</v>
      </c>
      <c r="L54" s="16">
        <f t="shared" si="1"/>
        <v>45</v>
      </c>
      <c r="M54" s="22">
        <v>45017</v>
      </c>
      <c r="N54" s="44" t="s">
        <v>551</v>
      </c>
      <c r="O54" s="23" t="s">
        <v>16</v>
      </c>
      <c r="P54" s="24" t="s">
        <v>17</v>
      </c>
      <c r="Q54" s="28" t="s">
        <v>623</v>
      </c>
    </row>
    <row r="55" spans="1:17">
      <c r="A55" s="14">
        <v>51</v>
      </c>
      <c r="B55" s="15" t="s">
        <v>91</v>
      </c>
      <c r="C55" s="16">
        <f>'Медикаменты Сентябрь'!L57</f>
        <v>0</v>
      </c>
      <c r="D55" s="17"/>
      <c r="E55" s="14"/>
      <c r="F55" s="18"/>
      <c r="G55" s="19"/>
      <c r="H55" s="20"/>
      <c r="I55" s="21"/>
      <c r="J55" s="14"/>
      <c r="K55" s="14">
        <f t="shared" si="0"/>
        <v>0</v>
      </c>
      <c r="L55" s="16">
        <f t="shared" si="1"/>
        <v>0</v>
      </c>
      <c r="M55" s="22">
        <v>44317</v>
      </c>
      <c r="N55" s="44" t="s">
        <v>45</v>
      </c>
      <c r="O55" s="23" t="s">
        <v>16</v>
      </c>
      <c r="P55" s="24" t="s">
        <v>17</v>
      </c>
      <c r="Q55" s="28" t="s">
        <v>92</v>
      </c>
    </row>
    <row r="56" spans="1:17">
      <c r="A56" s="14">
        <v>52</v>
      </c>
      <c r="B56" s="15" t="s">
        <v>596</v>
      </c>
      <c r="C56" s="16">
        <f>'Медикаменты Сентябрь'!L58</f>
        <v>35</v>
      </c>
      <c r="D56" s="17"/>
      <c r="E56" s="14"/>
      <c r="F56" s="18"/>
      <c r="G56" s="19"/>
      <c r="H56" s="20"/>
      <c r="I56" s="21"/>
      <c r="J56" s="14"/>
      <c r="K56" s="14">
        <f t="shared" si="0"/>
        <v>0</v>
      </c>
      <c r="L56" s="16">
        <f t="shared" si="1"/>
        <v>35</v>
      </c>
      <c r="M56" s="22">
        <v>45261</v>
      </c>
      <c r="N56" s="44" t="s">
        <v>551</v>
      </c>
      <c r="O56" s="23" t="s">
        <v>16</v>
      </c>
      <c r="P56" s="24" t="s">
        <v>17</v>
      </c>
      <c r="Q56" s="28" t="s">
        <v>597</v>
      </c>
    </row>
    <row r="57" spans="1:17">
      <c r="A57" s="14">
        <v>53</v>
      </c>
      <c r="B57" s="15" t="s">
        <v>93</v>
      </c>
      <c r="C57" s="16">
        <f>'Медикаменты Сентябрь'!L59</f>
        <v>0</v>
      </c>
      <c r="D57" s="17"/>
      <c r="E57" s="14"/>
      <c r="F57" s="18"/>
      <c r="G57" s="19"/>
      <c r="H57" s="20"/>
      <c r="I57" s="21"/>
      <c r="J57" s="14"/>
      <c r="K57" s="14">
        <f t="shared" si="0"/>
        <v>0</v>
      </c>
      <c r="L57" s="16">
        <f t="shared" si="1"/>
        <v>0</v>
      </c>
      <c r="M57" s="22">
        <v>44013</v>
      </c>
      <c r="N57" s="44"/>
      <c r="O57" s="23" t="s">
        <v>16</v>
      </c>
      <c r="P57" s="24"/>
      <c r="Q57" s="28" t="s">
        <v>94</v>
      </c>
    </row>
    <row r="58" spans="1:17">
      <c r="A58" s="14">
        <v>54</v>
      </c>
      <c r="B58" s="15" t="s">
        <v>95</v>
      </c>
      <c r="C58" s="16">
        <f>'Медикаменты Сентябрь'!L60</f>
        <v>29</v>
      </c>
      <c r="D58" s="17"/>
      <c r="E58" s="14"/>
      <c r="F58" s="18"/>
      <c r="G58" s="19"/>
      <c r="H58" s="20"/>
      <c r="I58" s="21"/>
      <c r="J58" s="14"/>
      <c r="K58" s="14">
        <f t="shared" si="0"/>
        <v>0</v>
      </c>
      <c r="L58" s="16">
        <f t="shared" si="1"/>
        <v>29</v>
      </c>
      <c r="M58" s="22">
        <v>44986</v>
      </c>
      <c r="N58" s="44" t="s">
        <v>45</v>
      </c>
      <c r="O58" s="23" t="s">
        <v>16</v>
      </c>
      <c r="P58" s="24" t="s">
        <v>45</v>
      </c>
      <c r="Q58" s="28" t="s">
        <v>96</v>
      </c>
    </row>
    <row r="59" spans="1:17">
      <c r="A59" s="14">
        <v>55</v>
      </c>
      <c r="B59" s="15" t="s">
        <v>97</v>
      </c>
      <c r="C59" s="16">
        <f>'Медикаменты Сентябрь'!L61</f>
        <v>0</v>
      </c>
      <c r="D59" s="17"/>
      <c r="E59" s="14"/>
      <c r="F59" s="18"/>
      <c r="G59" s="19"/>
      <c r="H59" s="20"/>
      <c r="I59" s="21"/>
      <c r="J59" s="14"/>
      <c r="K59" s="14">
        <f t="shared" si="0"/>
        <v>0</v>
      </c>
      <c r="L59" s="16">
        <f t="shared" si="1"/>
        <v>0</v>
      </c>
      <c r="M59" s="22">
        <v>44866</v>
      </c>
      <c r="N59" s="44"/>
      <c r="O59" s="23" t="s">
        <v>16</v>
      </c>
      <c r="P59" s="24"/>
      <c r="Q59" s="28" t="s">
        <v>98</v>
      </c>
    </row>
    <row r="60" spans="1:17">
      <c r="A60" s="14">
        <v>56</v>
      </c>
      <c r="B60" s="15" t="s">
        <v>99</v>
      </c>
      <c r="C60" s="16">
        <f>'Медикаменты Сентябрь'!L62</f>
        <v>0</v>
      </c>
      <c r="D60" s="17"/>
      <c r="E60" s="14"/>
      <c r="F60" s="18"/>
      <c r="G60" s="19"/>
      <c r="H60" s="20"/>
      <c r="I60" s="21"/>
      <c r="J60" s="14"/>
      <c r="K60" s="14">
        <f t="shared" si="0"/>
        <v>0</v>
      </c>
      <c r="L60" s="16">
        <f t="shared" si="1"/>
        <v>0</v>
      </c>
      <c r="M60" s="22"/>
      <c r="N60" s="44"/>
      <c r="O60" s="23" t="s">
        <v>16</v>
      </c>
      <c r="P60" s="24"/>
      <c r="Q60" s="45"/>
    </row>
    <row r="61" spans="1:17">
      <c r="A61" s="14">
        <v>57</v>
      </c>
      <c r="B61" s="15" t="s">
        <v>100</v>
      </c>
      <c r="C61" s="16">
        <f>'Медикаменты Сентябрь'!L63</f>
        <v>0</v>
      </c>
      <c r="D61" s="17"/>
      <c r="E61" s="14"/>
      <c r="F61" s="18"/>
      <c r="G61" s="19"/>
      <c r="H61" s="20"/>
      <c r="I61" s="21"/>
      <c r="J61" s="14"/>
      <c r="K61" s="14">
        <f t="shared" si="0"/>
        <v>0</v>
      </c>
      <c r="L61" s="16">
        <f t="shared" si="1"/>
        <v>0</v>
      </c>
      <c r="M61" s="22"/>
      <c r="N61" s="44"/>
      <c r="O61" s="23" t="s">
        <v>26</v>
      </c>
      <c r="P61" s="24" t="s">
        <v>17</v>
      </c>
      <c r="Q61" s="28" t="s">
        <v>101</v>
      </c>
    </row>
    <row r="62" spans="1:17">
      <c r="A62" s="14">
        <v>58</v>
      </c>
      <c r="B62" s="15" t="s">
        <v>102</v>
      </c>
      <c r="C62" s="16">
        <f>'Медикаменты Сентябрь'!L64</f>
        <v>0</v>
      </c>
      <c r="D62" s="17"/>
      <c r="E62" s="14"/>
      <c r="F62" s="18"/>
      <c r="G62" s="19"/>
      <c r="H62" s="20"/>
      <c r="I62" s="21"/>
      <c r="J62" s="14"/>
      <c r="K62" s="14">
        <f t="shared" si="0"/>
        <v>0</v>
      </c>
      <c r="L62" s="16">
        <f t="shared" si="1"/>
        <v>0</v>
      </c>
      <c r="M62" s="22">
        <v>44866</v>
      </c>
      <c r="N62" s="44" t="s">
        <v>45</v>
      </c>
      <c r="O62" s="23" t="s">
        <v>16</v>
      </c>
      <c r="P62" s="24" t="s">
        <v>45</v>
      </c>
      <c r="Q62" s="28" t="s">
        <v>103</v>
      </c>
    </row>
    <row r="63" spans="1:17">
      <c r="A63" s="14">
        <v>59</v>
      </c>
      <c r="B63" s="15" t="s">
        <v>102</v>
      </c>
      <c r="C63" s="16">
        <f>'Медикаменты Сентябрь'!L65</f>
        <v>0</v>
      </c>
      <c r="D63" s="17"/>
      <c r="E63" s="14"/>
      <c r="F63" s="18"/>
      <c r="G63" s="19"/>
      <c r="H63" s="20"/>
      <c r="I63" s="21"/>
      <c r="J63" s="14"/>
      <c r="K63" s="14">
        <f t="shared" si="0"/>
        <v>0</v>
      </c>
      <c r="L63" s="16">
        <f t="shared" si="1"/>
        <v>0</v>
      </c>
      <c r="M63" s="22">
        <v>44866</v>
      </c>
      <c r="N63" s="44"/>
      <c r="O63" s="23" t="s">
        <v>26</v>
      </c>
      <c r="P63" s="24"/>
      <c r="Q63" s="28" t="s">
        <v>103</v>
      </c>
    </row>
    <row r="64" spans="1:17">
      <c r="A64" s="14">
        <v>60</v>
      </c>
      <c r="B64" s="15" t="s">
        <v>104</v>
      </c>
      <c r="C64" s="16">
        <f>'Медикаменты Сентябрь'!L66</f>
        <v>0</v>
      </c>
      <c r="D64" s="17"/>
      <c r="E64" s="14"/>
      <c r="F64" s="18"/>
      <c r="G64" s="19"/>
      <c r="H64" s="20"/>
      <c r="I64" s="21"/>
      <c r="J64" s="14"/>
      <c r="K64" s="14">
        <f t="shared" si="0"/>
        <v>0</v>
      </c>
      <c r="L64" s="16">
        <f t="shared" si="1"/>
        <v>0</v>
      </c>
      <c r="M64" s="22"/>
      <c r="N64" s="44"/>
      <c r="O64" s="23" t="s">
        <v>16</v>
      </c>
      <c r="P64" s="24"/>
      <c r="Q64" s="45"/>
    </row>
    <row r="65" spans="1:17">
      <c r="A65" s="14">
        <v>61</v>
      </c>
      <c r="B65" s="15" t="s">
        <v>104</v>
      </c>
      <c r="C65" s="16">
        <f>'Медикаменты Сентябрь'!L67</f>
        <v>0</v>
      </c>
      <c r="D65" s="17"/>
      <c r="E65" s="14"/>
      <c r="F65" s="18"/>
      <c r="G65" s="19"/>
      <c r="H65" s="20"/>
      <c r="I65" s="21"/>
      <c r="J65" s="14"/>
      <c r="K65" s="14">
        <f t="shared" si="0"/>
        <v>0</v>
      </c>
      <c r="L65" s="16">
        <f t="shared" si="1"/>
        <v>0</v>
      </c>
      <c r="M65" s="22"/>
      <c r="N65" s="44"/>
      <c r="O65" s="23" t="s">
        <v>26</v>
      </c>
      <c r="P65" s="24"/>
      <c r="Q65" s="45"/>
    </row>
    <row r="66" spans="1:17">
      <c r="A66" s="14">
        <v>62</v>
      </c>
      <c r="B66" s="15" t="s">
        <v>624</v>
      </c>
      <c r="C66" s="16">
        <f>'Медикаменты Сентябрь'!L68</f>
        <v>50</v>
      </c>
      <c r="D66" s="17"/>
      <c r="E66" s="14"/>
      <c r="F66" s="18"/>
      <c r="G66" s="19"/>
      <c r="H66" s="20"/>
      <c r="I66" s="21"/>
      <c r="J66" s="14"/>
      <c r="K66" s="14">
        <f t="shared" si="0"/>
        <v>0</v>
      </c>
      <c r="L66" s="16">
        <f t="shared" si="1"/>
        <v>50</v>
      </c>
      <c r="M66" s="22">
        <v>46054</v>
      </c>
      <c r="N66" s="44" t="s">
        <v>551</v>
      </c>
      <c r="O66" s="23" t="s">
        <v>16</v>
      </c>
      <c r="P66" s="24" t="s">
        <v>17</v>
      </c>
      <c r="Q66" s="28" t="s">
        <v>625</v>
      </c>
    </row>
    <row r="67" spans="1:17">
      <c r="A67" s="14">
        <v>63</v>
      </c>
      <c r="B67" s="15" t="s">
        <v>105</v>
      </c>
      <c r="C67" s="16">
        <f>'Медикаменты Сентябрь'!L69</f>
        <v>40</v>
      </c>
      <c r="D67" s="17"/>
      <c r="E67" s="14"/>
      <c r="F67" s="18">
        <f>5+10</f>
        <v>15</v>
      </c>
      <c r="G67" s="19"/>
      <c r="H67" s="20"/>
      <c r="I67" s="21"/>
      <c r="J67" s="14"/>
      <c r="K67" s="14">
        <f t="shared" si="0"/>
        <v>15</v>
      </c>
      <c r="L67" s="16">
        <f t="shared" si="1"/>
        <v>25</v>
      </c>
      <c r="M67" s="22">
        <v>45017</v>
      </c>
      <c r="N67" s="44" t="s">
        <v>551</v>
      </c>
      <c r="O67" s="23" t="s">
        <v>16</v>
      </c>
      <c r="P67" s="24" t="s">
        <v>17</v>
      </c>
      <c r="Q67" s="28" t="s">
        <v>106</v>
      </c>
    </row>
    <row r="68" spans="1:17">
      <c r="A68" s="14">
        <v>64</v>
      </c>
      <c r="B68" s="15" t="s">
        <v>105</v>
      </c>
      <c r="C68" s="16">
        <f>'Медикаменты Сентябрь'!L70</f>
        <v>0</v>
      </c>
      <c r="D68" s="17"/>
      <c r="E68" s="14"/>
      <c r="F68" s="18"/>
      <c r="G68" s="19"/>
      <c r="H68" s="20"/>
      <c r="I68" s="21"/>
      <c r="J68" s="14"/>
      <c r="K68" s="14">
        <f t="shared" si="0"/>
        <v>0</v>
      </c>
      <c r="L68" s="16">
        <f t="shared" si="1"/>
        <v>0</v>
      </c>
      <c r="M68" s="22">
        <v>44531</v>
      </c>
      <c r="N68" s="44" t="s">
        <v>45</v>
      </c>
      <c r="O68" s="23" t="s">
        <v>16</v>
      </c>
      <c r="P68" s="24" t="s">
        <v>17</v>
      </c>
      <c r="Q68" s="28" t="s">
        <v>106</v>
      </c>
    </row>
    <row r="69" spans="1:17">
      <c r="A69" s="14">
        <v>65</v>
      </c>
      <c r="B69" s="15" t="s">
        <v>107</v>
      </c>
      <c r="C69" s="16">
        <f>'Медикаменты Сентябрь'!L71</f>
        <v>85</v>
      </c>
      <c r="D69" s="17"/>
      <c r="E69" s="14"/>
      <c r="F69" s="18">
        <f>3+5</f>
        <v>8</v>
      </c>
      <c r="G69" s="19"/>
      <c r="H69" s="20"/>
      <c r="I69" s="21"/>
      <c r="J69" s="14"/>
      <c r="K69" s="14">
        <f t="shared" ref="K69:K132" si="2">SUM(F69:J69)</f>
        <v>8</v>
      </c>
      <c r="L69" s="16">
        <f t="shared" ref="L69:L132" si="3">(C69+E69)-K69</f>
        <v>77</v>
      </c>
      <c r="M69" s="22">
        <v>45077</v>
      </c>
      <c r="N69" s="44" t="s">
        <v>551</v>
      </c>
      <c r="O69" s="23" t="s">
        <v>16</v>
      </c>
      <c r="P69" s="24" t="s">
        <v>17</v>
      </c>
      <c r="Q69" s="28" t="s">
        <v>108</v>
      </c>
    </row>
    <row r="70" spans="1:17">
      <c r="A70" s="14">
        <v>66</v>
      </c>
      <c r="B70" s="15" t="s">
        <v>109</v>
      </c>
      <c r="C70" s="16">
        <f>'Медикаменты Сентябрь'!L72</f>
        <v>0</v>
      </c>
      <c r="D70" s="17"/>
      <c r="E70" s="14"/>
      <c r="F70" s="18"/>
      <c r="G70" s="19"/>
      <c r="H70" s="20"/>
      <c r="I70" s="21"/>
      <c r="J70" s="14"/>
      <c r="K70" s="14">
        <f t="shared" si="2"/>
        <v>0</v>
      </c>
      <c r="L70" s="16">
        <f t="shared" si="3"/>
        <v>0</v>
      </c>
      <c r="M70" s="22"/>
      <c r="N70" s="44"/>
      <c r="O70" s="23" t="s">
        <v>16</v>
      </c>
      <c r="P70" s="24"/>
      <c r="Q70" s="45"/>
    </row>
    <row r="71" spans="1:17">
      <c r="A71" s="14">
        <v>67</v>
      </c>
      <c r="B71" s="15" t="s">
        <v>110</v>
      </c>
      <c r="C71" s="16">
        <f>'Медикаменты Сентябрь'!L73</f>
        <v>0</v>
      </c>
      <c r="D71" s="17"/>
      <c r="E71" s="14"/>
      <c r="F71" s="18"/>
      <c r="G71" s="19"/>
      <c r="H71" s="20"/>
      <c r="I71" s="21"/>
      <c r="J71" s="14"/>
      <c r="K71" s="14">
        <f t="shared" si="2"/>
        <v>0</v>
      </c>
      <c r="L71" s="16">
        <f t="shared" si="3"/>
        <v>0</v>
      </c>
      <c r="M71" s="22">
        <v>44682</v>
      </c>
      <c r="N71" s="44"/>
      <c r="O71" s="23" t="s">
        <v>16</v>
      </c>
      <c r="P71" s="24"/>
      <c r="Q71" s="45"/>
    </row>
    <row r="72" spans="1:17">
      <c r="A72" s="14">
        <v>68</v>
      </c>
      <c r="B72" s="15" t="s">
        <v>111</v>
      </c>
      <c r="C72" s="16">
        <f>'Медикаменты Сентябрь'!L74</f>
        <v>12</v>
      </c>
      <c r="D72" s="17"/>
      <c r="E72" s="14"/>
      <c r="F72" s="18">
        <f>12</f>
        <v>12</v>
      </c>
      <c r="G72" s="19"/>
      <c r="H72" s="20"/>
      <c r="I72" s="21"/>
      <c r="J72" s="14"/>
      <c r="K72" s="14">
        <f t="shared" si="2"/>
        <v>12</v>
      </c>
      <c r="L72" s="16">
        <f t="shared" si="3"/>
        <v>0</v>
      </c>
      <c r="M72" s="22">
        <v>44958</v>
      </c>
      <c r="N72" s="44" t="s">
        <v>45</v>
      </c>
      <c r="O72" s="23" t="s">
        <v>16</v>
      </c>
      <c r="P72" s="24" t="s">
        <v>17</v>
      </c>
      <c r="Q72" s="28" t="s">
        <v>112</v>
      </c>
    </row>
    <row r="73" spans="1:17">
      <c r="A73" s="14">
        <v>69</v>
      </c>
      <c r="B73" s="15" t="s">
        <v>111</v>
      </c>
      <c r="C73" s="16">
        <f>'Медикаменты Сентябрь'!L75</f>
        <v>300</v>
      </c>
      <c r="D73" s="17"/>
      <c r="E73" s="14"/>
      <c r="F73" s="18">
        <f>3</f>
        <v>3</v>
      </c>
      <c r="G73" s="19"/>
      <c r="H73" s="20"/>
      <c r="I73" s="21"/>
      <c r="J73" s="14"/>
      <c r="K73" s="14">
        <f t="shared" si="2"/>
        <v>3</v>
      </c>
      <c r="L73" s="16">
        <f t="shared" si="3"/>
        <v>297</v>
      </c>
      <c r="M73" s="22">
        <v>45323</v>
      </c>
      <c r="N73" s="44" t="s">
        <v>551</v>
      </c>
      <c r="O73" s="23" t="s">
        <v>16</v>
      </c>
      <c r="P73" s="24" t="s">
        <v>17</v>
      </c>
      <c r="Q73" s="28" t="s">
        <v>112</v>
      </c>
    </row>
    <row r="74" spans="1:17">
      <c r="A74" s="14">
        <v>70</v>
      </c>
      <c r="B74" s="15" t="s">
        <v>113</v>
      </c>
      <c r="C74" s="16">
        <f>'Медикаменты Сентябрь'!L76</f>
        <v>85</v>
      </c>
      <c r="D74" s="17"/>
      <c r="E74" s="14"/>
      <c r="F74" s="18"/>
      <c r="G74" s="19"/>
      <c r="H74" s="20"/>
      <c r="I74" s="21"/>
      <c r="J74" s="14"/>
      <c r="K74" s="14">
        <f t="shared" si="2"/>
        <v>0</v>
      </c>
      <c r="L74" s="16">
        <f t="shared" si="3"/>
        <v>85</v>
      </c>
      <c r="M74" s="22">
        <v>44986</v>
      </c>
      <c r="N74" s="44" t="s">
        <v>45</v>
      </c>
      <c r="O74" s="23" t="s">
        <v>16</v>
      </c>
      <c r="P74" s="24" t="s">
        <v>17</v>
      </c>
      <c r="Q74" s="28" t="s">
        <v>114</v>
      </c>
    </row>
    <row r="75" spans="1:17">
      <c r="A75" s="14">
        <v>71</v>
      </c>
      <c r="B75" s="15" t="s">
        <v>113</v>
      </c>
      <c r="C75" s="16">
        <f>'Медикаменты Сентябрь'!L77</f>
        <v>0</v>
      </c>
      <c r="D75" s="17"/>
      <c r="E75" s="14"/>
      <c r="F75" s="18"/>
      <c r="G75" s="19"/>
      <c r="H75" s="20"/>
      <c r="I75" s="21"/>
      <c r="J75" s="14"/>
      <c r="K75" s="14">
        <f t="shared" si="2"/>
        <v>0</v>
      </c>
      <c r="L75" s="16">
        <f t="shared" si="3"/>
        <v>0</v>
      </c>
      <c r="M75" s="22">
        <v>44986</v>
      </c>
      <c r="N75" s="44"/>
      <c r="O75" s="23" t="s">
        <v>26</v>
      </c>
      <c r="P75" s="24"/>
      <c r="Q75" s="28" t="s">
        <v>114</v>
      </c>
    </row>
    <row r="76" spans="1:17" ht="26.25">
      <c r="A76" s="14">
        <v>72</v>
      </c>
      <c r="B76" s="15" t="s">
        <v>115</v>
      </c>
      <c r="C76" s="16">
        <f>'Медикаменты Сентябрь'!L78</f>
        <v>20</v>
      </c>
      <c r="D76" s="17"/>
      <c r="E76" s="14"/>
      <c r="F76" s="18"/>
      <c r="G76" s="19"/>
      <c r="H76" s="20"/>
      <c r="I76" s="21"/>
      <c r="J76" s="14"/>
      <c r="K76" s="14">
        <f t="shared" si="2"/>
        <v>0</v>
      </c>
      <c r="L76" s="16">
        <f t="shared" si="3"/>
        <v>20</v>
      </c>
      <c r="M76" s="22">
        <v>46082</v>
      </c>
      <c r="N76" s="44" t="s">
        <v>551</v>
      </c>
      <c r="O76" s="23" t="s">
        <v>16</v>
      </c>
      <c r="P76" s="24" t="s">
        <v>17</v>
      </c>
      <c r="Q76" s="28" t="s">
        <v>116</v>
      </c>
    </row>
    <row r="77" spans="1:17" ht="26.25">
      <c r="A77" s="14">
        <v>73</v>
      </c>
      <c r="B77" s="15" t="s">
        <v>115</v>
      </c>
      <c r="C77" s="16">
        <f>'Медикаменты Сентябрь'!L79</f>
        <v>0</v>
      </c>
      <c r="D77" s="17"/>
      <c r="E77" s="14"/>
      <c r="F77" s="18"/>
      <c r="G77" s="19"/>
      <c r="H77" s="20"/>
      <c r="I77" s="21"/>
      <c r="J77" s="14"/>
      <c r="K77" s="14">
        <f t="shared" si="2"/>
        <v>0</v>
      </c>
      <c r="L77" s="16">
        <f t="shared" si="3"/>
        <v>0</v>
      </c>
      <c r="M77" s="22">
        <v>45901</v>
      </c>
      <c r="N77" s="44" t="s">
        <v>551</v>
      </c>
      <c r="O77" s="23" t="s">
        <v>26</v>
      </c>
      <c r="P77" s="24" t="s">
        <v>17</v>
      </c>
      <c r="Q77" s="28" t="s">
        <v>116</v>
      </c>
    </row>
    <row r="78" spans="1:17">
      <c r="A78" s="14">
        <v>74</v>
      </c>
      <c r="B78" s="15" t="s">
        <v>117</v>
      </c>
      <c r="C78" s="16">
        <f>'Медикаменты Сентябрь'!L80</f>
        <v>0</v>
      </c>
      <c r="D78" s="17"/>
      <c r="E78" s="14">
        <f>200</f>
        <v>200</v>
      </c>
      <c r="F78" s="18"/>
      <c r="G78" s="19"/>
      <c r="H78" s="20"/>
      <c r="I78" s="21"/>
      <c r="J78" s="14"/>
      <c r="K78" s="14">
        <f t="shared" si="2"/>
        <v>0</v>
      </c>
      <c r="L78" s="16">
        <f t="shared" si="3"/>
        <v>200</v>
      </c>
      <c r="M78" s="22">
        <v>45046</v>
      </c>
      <c r="N78" s="44" t="s">
        <v>551</v>
      </c>
      <c r="O78" s="23" t="s">
        <v>16</v>
      </c>
      <c r="P78" s="24" t="s">
        <v>17</v>
      </c>
      <c r="Q78" s="28" t="s">
        <v>118</v>
      </c>
    </row>
    <row r="79" spans="1:17">
      <c r="A79" s="14">
        <v>75</v>
      </c>
      <c r="B79" s="15" t="s">
        <v>117</v>
      </c>
      <c r="C79" s="16">
        <f>'Медикаменты Сентябрь'!L81</f>
        <v>150</v>
      </c>
      <c r="D79" s="17"/>
      <c r="E79" s="14"/>
      <c r="F79" s="18">
        <f>5+5</f>
        <v>10</v>
      </c>
      <c r="G79" s="19"/>
      <c r="H79" s="20"/>
      <c r="I79" s="21"/>
      <c r="J79" s="14"/>
      <c r="K79" s="14">
        <f t="shared" si="2"/>
        <v>10</v>
      </c>
      <c r="L79" s="16">
        <f t="shared" si="3"/>
        <v>140</v>
      </c>
      <c r="M79" s="22">
        <v>44682</v>
      </c>
      <c r="N79" s="44" t="s">
        <v>45</v>
      </c>
      <c r="O79" s="23" t="s">
        <v>16</v>
      </c>
      <c r="P79" s="24" t="s">
        <v>17</v>
      </c>
      <c r="Q79" s="28" t="s">
        <v>118</v>
      </c>
    </row>
    <row r="80" spans="1:17">
      <c r="A80" s="14">
        <v>76</v>
      </c>
      <c r="B80" s="15" t="s">
        <v>117</v>
      </c>
      <c r="C80" s="16">
        <f>'Медикаменты Сентябрь'!L82</f>
        <v>50</v>
      </c>
      <c r="D80" s="17"/>
      <c r="E80" s="14"/>
      <c r="F80" s="18"/>
      <c r="G80" s="19">
        <f>50</f>
        <v>50</v>
      </c>
      <c r="H80" s="20"/>
      <c r="I80" s="21"/>
      <c r="J80" s="14"/>
      <c r="K80" s="14">
        <f t="shared" si="2"/>
        <v>50</v>
      </c>
      <c r="L80" s="16">
        <f t="shared" si="3"/>
        <v>0</v>
      </c>
      <c r="M80" s="22">
        <v>45017</v>
      </c>
      <c r="N80" s="44" t="s">
        <v>551</v>
      </c>
      <c r="O80" s="23" t="s">
        <v>26</v>
      </c>
      <c r="P80" s="24" t="s">
        <v>17</v>
      </c>
      <c r="Q80" s="28" t="s">
        <v>118</v>
      </c>
    </row>
    <row r="81" spans="1:17">
      <c r="A81" s="14">
        <v>77</v>
      </c>
      <c r="B81" s="15" t="s">
        <v>119</v>
      </c>
      <c r="C81" s="16">
        <f>'Медикаменты Сентябрь'!L83</f>
        <v>0</v>
      </c>
      <c r="D81" s="17"/>
      <c r="E81" s="14"/>
      <c r="F81" s="18"/>
      <c r="G81" s="19"/>
      <c r="H81" s="20"/>
      <c r="I81" s="21"/>
      <c r="J81" s="14"/>
      <c r="K81" s="14">
        <f t="shared" si="2"/>
        <v>0</v>
      </c>
      <c r="L81" s="16">
        <f t="shared" si="3"/>
        <v>0</v>
      </c>
      <c r="M81" s="22"/>
      <c r="N81" s="44"/>
      <c r="O81" s="23" t="s">
        <v>16</v>
      </c>
      <c r="P81" s="24"/>
      <c r="Q81" s="45"/>
    </row>
    <row r="82" spans="1:17">
      <c r="A82" s="14">
        <v>78</v>
      </c>
      <c r="B82" s="15" t="s">
        <v>120</v>
      </c>
      <c r="C82" s="16">
        <f>'Медикаменты Сентябрь'!L84</f>
        <v>0</v>
      </c>
      <c r="D82" s="17"/>
      <c r="E82" s="14"/>
      <c r="F82" s="18"/>
      <c r="G82" s="19"/>
      <c r="H82" s="20"/>
      <c r="I82" s="21"/>
      <c r="J82" s="14"/>
      <c r="K82" s="14">
        <f t="shared" si="2"/>
        <v>0</v>
      </c>
      <c r="L82" s="16">
        <f t="shared" si="3"/>
        <v>0</v>
      </c>
      <c r="M82" s="22">
        <v>45444</v>
      </c>
      <c r="N82" s="44"/>
      <c r="O82" s="23" t="s">
        <v>26</v>
      </c>
      <c r="P82" s="24"/>
      <c r="Q82" s="28" t="s">
        <v>121</v>
      </c>
    </row>
    <row r="83" spans="1:17">
      <c r="A83" s="14">
        <v>79</v>
      </c>
      <c r="B83" s="29" t="s">
        <v>122</v>
      </c>
      <c r="C83" s="16">
        <f>'Медикаменты Сентябрь'!L85</f>
        <v>20</v>
      </c>
      <c r="D83" s="17"/>
      <c r="E83" s="14"/>
      <c r="F83" s="18">
        <f>20</f>
        <v>20</v>
      </c>
      <c r="G83" s="19"/>
      <c r="H83" s="20"/>
      <c r="I83" s="21"/>
      <c r="J83" s="14"/>
      <c r="K83" s="14">
        <f t="shared" si="2"/>
        <v>20</v>
      </c>
      <c r="L83" s="16">
        <f t="shared" si="3"/>
        <v>0</v>
      </c>
      <c r="M83" s="22">
        <v>44986</v>
      </c>
      <c r="N83" s="44" t="s">
        <v>45</v>
      </c>
      <c r="O83" s="23" t="s">
        <v>16</v>
      </c>
      <c r="P83" s="24" t="s">
        <v>17</v>
      </c>
      <c r="Q83" s="28" t="s">
        <v>123</v>
      </c>
    </row>
    <row r="84" spans="1:17">
      <c r="A84" s="14">
        <v>80</v>
      </c>
      <c r="B84" s="15" t="s">
        <v>124</v>
      </c>
      <c r="C84" s="16">
        <f>'Медикаменты Сентябрь'!L86</f>
        <v>0</v>
      </c>
      <c r="D84" s="17"/>
      <c r="E84" s="14"/>
      <c r="F84" s="18"/>
      <c r="G84" s="19"/>
      <c r="H84" s="20"/>
      <c r="I84" s="21"/>
      <c r="J84" s="14"/>
      <c r="K84" s="14">
        <f t="shared" si="2"/>
        <v>0</v>
      </c>
      <c r="L84" s="16">
        <f t="shared" si="3"/>
        <v>0</v>
      </c>
      <c r="M84" s="22"/>
      <c r="N84" s="44"/>
      <c r="O84" s="23" t="s">
        <v>16</v>
      </c>
      <c r="P84" s="24"/>
      <c r="Q84" s="45"/>
    </row>
    <row r="85" spans="1:17">
      <c r="A85" s="14">
        <v>81</v>
      </c>
      <c r="B85" s="15" t="s">
        <v>125</v>
      </c>
      <c r="C85" s="16">
        <f>'Медикаменты Сентябрь'!L87</f>
        <v>0</v>
      </c>
      <c r="D85" s="17"/>
      <c r="E85" s="14"/>
      <c r="F85" s="18"/>
      <c r="G85" s="19"/>
      <c r="H85" s="20"/>
      <c r="I85" s="21"/>
      <c r="J85" s="14"/>
      <c r="K85" s="14">
        <f t="shared" si="2"/>
        <v>0</v>
      </c>
      <c r="L85" s="16">
        <f t="shared" si="3"/>
        <v>0</v>
      </c>
      <c r="M85" s="22">
        <v>44531</v>
      </c>
      <c r="N85" s="44" t="s">
        <v>45</v>
      </c>
      <c r="O85" s="23" t="s">
        <v>16</v>
      </c>
      <c r="P85" s="24" t="s">
        <v>17</v>
      </c>
      <c r="Q85" s="28" t="s">
        <v>126</v>
      </c>
    </row>
    <row r="86" spans="1:17">
      <c r="A86" s="14">
        <v>82</v>
      </c>
      <c r="B86" s="15" t="s">
        <v>127</v>
      </c>
      <c r="C86" s="16">
        <f>'Медикаменты Сентябрь'!L88</f>
        <v>0</v>
      </c>
      <c r="D86" s="17"/>
      <c r="E86" s="14"/>
      <c r="F86" s="18"/>
      <c r="G86" s="19"/>
      <c r="H86" s="20"/>
      <c r="I86" s="21"/>
      <c r="J86" s="14"/>
      <c r="K86" s="14">
        <f t="shared" si="2"/>
        <v>0</v>
      </c>
      <c r="L86" s="16">
        <f t="shared" si="3"/>
        <v>0</v>
      </c>
      <c r="M86" s="22">
        <v>44501</v>
      </c>
      <c r="N86" s="44" t="s">
        <v>45</v>
      </c>
      <c r="O86" s="23" t="s">
        <v>16</v>
      </c>
      <c r="P86" s="24" t="s">
        <v>45</v>
      </c>
      <c r="Q86" s="28" t="s">
        <v>128</v>
      </c>
    </row>
    <row r="87" spans="1:17" ht="25.5">
      <c r="A87" s="14">
        <v>83</v>
      </c>
      <c r="B87" s="15" t="s">
        <v>129</v>
      </c>
      <c r="C87" s="16">
        <f>'Медикаменты Сентябрь'!L89</f>
        <v>0</v>
      </c>
      <c r="D87" s="17"/>
      <c r="E87" s="14"/>
      <c r="F87" s="18"/>
      <c r="G87" s="19"/>
      <c r="H87" s="20"/>
      <c r="I87" s="21"/>
      <c r="J87" s="14"/>
      <c r="K87" s="14">
        <f t="shared" si="2"/>
        <v>0</v>
      </c>
      <c r="L87" s="16">
        <f t="shared" si="3"/>
        <v>0</v>
      </c>
      <c r="M87" s="22">
        <v>44713</v>
      </c>
      <c r="N87" s="44" t="s">
        <v>45</v>
      </c>
      <c r="O87" s="23" t="s">
        <v>16</v>
      </c>
      <c r="P87" s="24" t="s">
        <v>17</v>
      </c>
      <c r="Q87" s="28" t="s">
        <v>130</v>
      </c>
    </row>
    <row r="88" spans="1:17" ht="25.5">
      <c r="A88" s="14">
        <v>84</v>
      </c>
      <c r="B88" s="15" t="s">
        <v>129</v>
      </c>
      <c r="C88" s="16">
        <f>'Медикаменты Сентябрь'!L90</f>
        <v>0</v>
      </c>
      <c r="D88" s="17"/>
      <c r="E88" s="14"/>
      <c r="F88" s="18"/>
      <c r="G88" s="19"/>
      <c r="H88" s="20"/>
      <c r="I88" s="21"/>
      <c r="J88" s="14"/>
      <c r="K88" s="14">
        <f t="shared" si="2"/>
        <v>0</v>
      </c>
      <c r="L88" s="16">
        <f t="shared" si="3"/>
        <v>0</v>
      </c>
      <c r="M88" s="22">
        <v>44713</v>
      </c>
      <c r="N88" s="44"/>
      <c r="O88" s="23" t="s">
        <v>26</v>
      </c>
      <c r="P88" s="24"/>
      <c r="Q88" s="28" t="s">
        <v>130</v>
      </c>
    </row>
    <row r="89" spans="1:17" ht="25.5">
      <c r="A89" s="14">
        <v>85</v>
      </c>
      <c r="B89" s="15" t="s">
        <v>131</v>
      </c>
      <c r="C89" s="16">
        <f>'Медикаменты Сентябрь'!L91</f>
        <v>0</v>
      </c>
      <c r="D89" s="17"/>
      <c r="E89" s="14"/>
      <c r="F89" s="18"/>
      <c r="G89" s="19"/>
      <c r="H89" s="20"/>
      <c r="I89" s="21"/>
      <c r="J89" s="14"/>
      <c r="K89" s="14">
        <f t="shared" si="2"/>
        <v>0</v>
      </c>
      <c r="L89" s="16">
        <f t="shared" si="3"/>
        <v>0</v>
      </c>
      <c r="M89" s="22"/>
      <c r="N89" s="44"/>
      <c r="O89" s="23" t="s">
        <v>16</v>
      </c>
      <c r="P89" s="24"/>
      <c r="Q89" s="45"/>
    </row>
    <row r="90" spans="1:17">
      <c r="A90" s="14">
        <v>86</v>
      </c>
      <c r="B90" s="15" t="s">
        <v>626</v>
      </c>
      <c r="C90" s="16">
        <f>'Медикаменты Сентябрь'!L92</f>
        <v>257</v>
      </c>
      <c r="D90" s="17"/>
      <c r="E90" s="14"/>
      <c r="F90" s="18">
        <f>10+10</f>
        <v>20</v>
      </c>
      <c r="G90" s="19"/>
      <c r="H90" s="20"/>
      <c r="I90" s="21"/>
      <c r="J90" s="14"/>
      <c r="K90" s="14">
        <f t="shared" si="2"/>
        <v>20</v>
      </c>
      <c r="L90" s="16">
        <f t="shared" si="3"/>
        <v>237</v>
      </c>
      <c r="M90" s="22">
        <v>45017</v>
      </c>
      <c r="N90" s="44" t="s">
        <v>551</v>
      </c>
      <c r="O90" s="23" t="s">
        <v>16</v>
      </c>
      <c r="P90" s="24" t="s">
        <v>17</v>
      </c>
      <c r="Q90" s="28" t="s">
        <v>133</v>
      </c>
    </row>
    <row r="91" spans="1:17">
      <c r="A91" s="14">
        <v>87</v>
      </c>
      <c r="B91" s="15" t="s">
        <v>626</v>
      </c>
      <c r="C91" s="16">
        <f>'Медикаменты Сентябрь'!L93</f>
        <v>100</v>
      </c>
      <c r="D91" s="17"/>
      <c r="E91" s="14"/>
      <c r="F91" s="18"/>
      <c r="G91" s="19"/>
      <c r="H91" s="20"/>
      <c r="I91" s="21"/>
      <c r="J91" s="14"/>
      <c r="K91" s="14">
        <f t="shared" si="2"/>
        <v>0</v>
      </c>
      <c r="L91" s="16">
        <f t="shared" si="3"/>
        <v>100</v>
      </c>
      <c r="M91" s="22">
        <v>45017</v>
      </c>
      <c r="N91" s="44" t="s">
        <v>551</v>
      </c>
      <c r="O91" s="23" t="s">
        <v>26</v>
      </c>
      <c r="P91" s="24" t="s">
        <v>17</v>
      </c>
      <c r="Q91" s="28" t="s">
        <v>133</v>
      </c>
    </row>
    <row r="92" spans="1:17">
      <c r="A92" s="14">
        <v>88</v>
      </c>
      <c r="B92" s="15" t="s">
        <v>134</v>
      </c>
      <c r="C92" s="16">
        <f>'Медикаменты Сентябрь'!L94</f>
        <v>0</v>
      </c>
      <c r="D92" s="17"/>
      <c r="E92" s="14"/>
      <c r="F92" s="18"/>
      <c r="G92" s="19"/>
      <c r="H92" s="20"/>
      <c r="I92" s="21"/>
      <c r="J92" s="14"/>
      <c r="K92" s="14">
        <f t="shared" si="2"/>
        <v>0</v>
      </c>
      <c r="L92" s="16">
        <f t="shared" si="3"/>
        <v>0</v>
      </c>
      <c r="M92" s="22">
        <v>44228</v>
      </c>
      <c r="N92" s="44"/>
      <c r="O92" s="23" t="s">
        <v>16</v>
      </c>
      <c r="P92" s="24" t="s">
        <v>17</v>
      </c>
      <c r="Q92" s="28" t="s">
        <v>135</v>
      </c>
    </row>
    <row r="93" spans="1:17">
      <c r="A93" s="14">
        <v>89</v>
      </c>
      <c r="B93" s="15" t="s">
        <v>136</v>
      </c>
      <c r="C93" s="16">
        <f>'Медикаменты Сентябрь'!L95</f>
        <v>0</v>
      </c>
      <c r="D93" s="17"/>
      <c r="E93" s="14"/>
      <c r="F93" s="18"/>
      <c r="G93" s="19"/>
      <c r="H93" s="20"/>
      <c r="I93" s="21"/>
      <c r="J93" s="14"/>
      <c r="K93" s="14">
        <f t="shared" si="2"/>
        <v>0</v>
      </c>
      <c r="L93" s="16">
        <f t="shared" si="3"/>
        <v>0</v>
      </c>
      <c r="M93" s="22">
        <v>45778</v>
      </c>
      <c r="N93" s="44" t="s">
        <v>45</v>
      </c>
      <c r="O93" s="23" t="s">
        <v>16</v>
      </c>
      <c r="P93" s="24" t="s">
        <v>17</v>
      </c>
      <c r="Q93" s="28" t="s">
        <v>137</v>
      </c>
    </row>
    <row r="94" spans="1:17">
      <c r="A94" s="14">
        <v>90</v>
      </c>
      <c r="B94" s="15" t="s">
        <v>138</v>
      </c>
      <c r="C94" s="16">
        <f>'Медикаменты Сентябрь'!L96</f>
        <v>75</v>
      </c>
      <c r="D94" s="30"/>
      <c r="E94" s="14"/>
      <c r="F94" s="18"/>
      <c r="G94" s="19"/>
      <c r="H94" s="20"/>
      <c r="I94" s="21"/>
      <c r="J94" s="14"/>
      <c r="K94" s="14">
        <f t="shared" si="2"/>
        <v>0</v>
      </c>
      <c r="L94" s="16">
        <f t="shared" si="3"/>
        <v>75</v>
      </c>
      <c r="M94" s="22">
        <v>44927</v>
      </c>
      <c r="N94" s="44" t="s">
        <v>551</v>
      </c>
      <c r="O94" s="23" t="s">
        <v>16</v>
      </c>
      <c r="P94" s="24" t="s">
        <v>17</v>
      </c>
      <c r="Q94" s="28" t="s">
        <v>568</v>
      </c>
    </row>
    <row r="95" spans="1:17">
      <c r="A95" s="14">
        <v>91</v>
      </c>
      <c r="B95" s="15" t="s">
        <v>138</v>
      </c>
      <c r="C95" s="16">
        <f>'Медикаменты Сентябрь'!L97</f>
        <v>0</v>
      </c>
      <c r="D95" s="30"/>
      <c r="E95" s="14"/>
      <c r="F95" s="18"/>
      <c r="G95" s="19"/>
      <c r="H95" s="20"/>
      <c r="I95" s="21"/>
      <c r="J95" s="14"/>
      <c r="K95" s="14">
        <f t="shared" si="2"/>
        <v>0</v>
      </c>
      <c r="L95" s="16">
        <f t="shared" si="3"/>
        <v>0</v>
      </c>
      <c r="M95" s="22">
        <v>44927</v>
      </c>
      <c r="N95" s="44" t="s">
        <v>551</v>
      </c>
      <c r="O95" s="23" t="s">
        <v>26</v>
      </c>
      <c r="P95" s="24" t="s">
        <v>17</v>
      </c>
      <c r="Q95" s="28" t="s">
        <v>568</v>
      </c>
    </row>
    <row r="96" spans="1:17">
      <c r="A96" s="14">
        <v>92</v>
      </c>
      <c r="B96" s="15" t="s">
        <v>569</v>
      </c>
      <c r="C96" s="16">
        <f>'Медикаменты Сентябрь'!L98</f>
        <v>3</v>
      </c>
      <c r="D96" s="17"/>
      <c r="E96" s="14"/>
      <c r="F96" s="18">
        <f>2</f>
        <v>2</v>
      </c>
      <c r="G96" s="19"/>
      <c r="H96" s="20"/>
      <c r="I96" s="21"/>
      <c r="J96" s="14"/>
      <c r="K96" s="14">
        <f t="shared" si="2"/>
        <v>2</v>
      </c>
      <c r="L96" s="16">
        <f t="shared" si="3"/>
        <v>1</v>
      </c>
      <c r="M96" s="22">
        <v>45108</v>
      </c>
      <c r="N96" s="44" t="s">
        <v>551</v>
      </c>
      <c r="O96" s="23" t="s">
        <v>16</v>
      </c>
      <c r="P96" s="24" t="s">
        <v>17</v>
      </c>
      <c r="Q96" s="28" t="s">
        <v>585</v>
      </c>
    </row>
    <row r="97" spans="1:17">
      <c r="A97" s="14">
        <v>93</v>
      </c>
      <c r="B97" s="15" t="s">
        <v>569</v>
      </c>
      <c r="C97" s="16">
        <f>'Медикаменты Сентябрь'!L99</f>
        <v>0</v>
      </c>
      <c r="D97" s="17"/>
      <c r="E97" s="14"/>
      <c r="F97" s="18"/>
      <c r="G97" s="19"/>
      <c r="H97" s="20"/>
      <c r="I97" s="21"/>
      <c r="J97" s="14"/>
      <c r="K97" s="14">
        <f t="shared" si="2"/>
        <v>0</v>
      </c>
      <c r="L97" s="16">
        <f t="shared" si="3"/>
        <v>0</v>
      </c>
      <c r="M97" s="22">
        <v>45108</v>
      </c>
      <c r="N97" s="44" t="s">
        <v>551</v>
      </c>
      <c r="O97" s="23" t="s">
        <v>26</v>
      </c>
      <c r="P97" s="24" t="s">
        <v>17</v>
      </c>
      <c r="Q97" s="28" t="s">
        <v>585</v>
      </c>
    </row>
    <row r="98" spans="1:17">
      <c r="A98" s="14">
        <v>94</v>
      </c>
      <c r="B98" s="15" t="s">
        <v>140</v>
      </c>
      <c r="C98" s="16">
        <f>'Медикаменты Сентябрь'!L100</f>
        <v>0</v>
      </c>
      <c r="D98" s="17"/>
      <c r="E98" s="14"/>
      <c r="F98" s="18"/>
      <c r="G98" s="19"/>
      <c r="H98" s="20"/>
      <c r="I98" s="21"/>
      <c r="J98" s="14"/>
      <c r="K98" s="14">
        <f t="shared" si="2"/>
        <v>0</v>
      </c>
      <c r="L98" s="16">
        <f t="shared" si="3"/>
        <v>0</v>
      </c>
      <c r="M98" s="22">
        <v>44682</v>
      </c>
      <c r="N98" s="44" t="s">
        <v>45</v>
      </c>
      <c r="O98" s="23" t="s">
        <v>16</v>
      </c>
      <c r="P98" s="24" t="s">
        <v>45</v>
      </c>
      <c r="Q98" s="28" t="s">
        <v>141</v>
      </c>
    </row>
    <row r="99" spans="1:17">
      <c r="A99" s="14">
        <v>95</v>
      </c>
      <c r="B99" s="15" t="s">
        <v>142</v>
      </c>
      <c r="C99" s="16">
        <f>'Медикаменты Сентябрь'!L101</f>
        <v>0</v>
      </c>
      <c r="D99" s="17"/>
      <c r="E99" s="14"/>
      <c r="F99" s="18"/>
      <c r="G99" s="19"/>
      <c r="H99" s="20"/>
      <c r="I99" s="21"/>
      <c r="J99" s="14"/>
      <c r="K99" s="14">
        <f t="shared" si="2"/>
        <v>0</v>
      </c>
      <c r="L99" s="16">
        <f t="shared" si="3"/>
        <v>0</v>
      </c>
      <c r="M99" s="22">
        <v>45352</v>
      </c>
      <c r="N99" s="44"/>
      <c r="O99" s="23" t="s">
        <v>16</v>
      </c>
      <c r="P99" s="24"/>
      <c r="Q99" s="28" t="s">
        <v>143</v>
      </c>
    </row>
    <row r="100" spans="1:17">
      <c r="A100" s="14">
        <v>96</v>
      </c>
      <c r="B100" s="15" t="s">
        <v>144</v>
      </c>
      <c r="C100" s="16">
        <f>'Медикаменты Сентябрь'!L102</f>
        <v>0</v>
      </c>
      <c r="D100" s="17"/>
      <c r="E100" s="14"/>
      <c r="F100" s="18"/>
      <c r="G100" s="19"/>
      <c r="H100" s="20"/>
      <c r="I100" s="21"/>
      <c r="J100" s="14"/>
      <c r="K100" s="14">
        <f t="shared" si="2"/>
        <v>0</v>
      </c>
      <c r="L100" s="16">
        <f t="shared" si="3"/>
        <v>0</v>
      </c>
      <c r="M100" s="22">
        <v>44228</v>
      </c>
      <c r="N100" s="44"/>
      <c r="O100" s="23" t="s">
        <v>16</v>
      </c>
      <c r="P100" s="24"/>
      <c r="Q100" s="28" t="s">
        <v>145</v>
      </c>
    </row>
    <row r="101" spans="1:17">
      <c r="A101" s="14">
        <v>97</v>
      </c>
      <c r="B101" s="15" t="s">
        <v>146</v>
      </c>
      <c r="C101" s="16">
        <f>'Медикаменты Сентябрь'!L103</f>
        <v>0</v>
      </c>
      <c r="D101" s="17"/>
      <c r="E101" s="14"/>
      <c r="F101" s="18"/>
      <c r="G101" s="19"/>
      <c r="H101" s="20"/>
      <c r="I101" s="21"/>
      <c r="J101" s="14"/>
      <c r="K101" s="14">
        <f t="shared" si="2"/>
        <v>0</v>
      </c>
      <c r="L101" s="16">
        <f t="shared" si="3"/>
        <v>0</v>
      </c>
      <c r="M101" s="22">
        <v>45474</v>
      </c>
      <c r="N101" s="44"/>
      <c r="O101" s="23" t="s">
        <v>16</v>
      </c>
      <c r="P101" s="24" t="s">
        <v>45</v>
      </c>
      <c r="Q101" s="28" t="s">
        <v>147</v>
      </c>
    </row>
    <row r="102" spans="1:17">
      <c r="A102" s="14">
        <v>98</v>
      </c>
      <c r="B102" s="15" t="s">
        <v>148</v>
      </c>
      <c r="C102" s="16">
        <f>'Медикаменты Сентябрь'!L104</f>
        <v>0</v>
      </c>
      <c r="D102" s="17"/>
      <c r="E102" s="14"/>
      <c r="F102" s="18"/>
      <c r="G102" s="19"/>
      <c r="H102" s="20"/>
      <c r="I102" s="21"/>
      <c r="J102" s="14"/>
      <c r="K102" s="14">
        <f t="shared" si="2"/>
        <v>0</v>
      </c>
      <c r="L102" s="16">
        <f t="shared" si="3"/>
        <v>0</v>
      </c>
      <c r="M102" s="22"/>
      <c r="N102" s="44"/>
      <c r="O102" s="23" t="s">
        <v>16</v>
      </c>
      <c r="P102" s="24"/>
      <c r="Q102" s="45"/>
    </row>
    <row r="103" spans="1:17">
      <c r="A103" s="14">
        <v>99</v>
      </c>
      <c r="B103" s="15" t="s">
        <v>149</v>
      </c>
      <c r="C103" s="16">
        <f>'Медикаменты Сентябрь'!L105</f>
        <v>0</v>
      </c>
      <c r="D103" s="17"/>
      <c r="E103" s="14"/>
      <c r="F103" s="18"/>
      <c r="G103" s="19"/>
      <c r="H103" s="20"/>
      <c r="I103" s="21"/>
      <c r="J103" s="14"/>
      <c r="K103" s="14">
        <f t="shared" si="2"/>
        <v>0</v>
      </c>
      <c r="L103" s="16">
        <f t="shared" si="3"/>
        <v>0</v>
      </c>
      <c r="M103" s="22">
        <v>44348</v>
      </c>
      <c r="N103" s="44"/>
      <c r="O103" s="23" t="s">
        <v>16</v>
      </c>
      <c r="P103" s="24"/>
      <c r="Q103" s="28" t="s">
        <v>150</v>
      </c>
    </row>
    <row r="104" spans="1:17">
      <c r="A104" s="14">
        <v>100</v>
      </c>
      <c r="B104" s="15" t="s">
        <v>151</v>
      </c>
      <c r="C104" s="16">
        <f>'Медикаменты Сентябрь'!L106</f>
        <v>0</v>
      </c>
      <c r="D104" s="17"/>
      <c r="E104" s="14"/>
      <c r="F104" s="18"/>
      <c r="G104" s="19"/>
      <c r="H104" s="20"/>
      <c r="I104" s="21"/>
      <c r="J104" s="14"/>
      <c r="K104" s="14">
        <f t="shared" si="2"/>
        <v>0</v>
      </c>
      <c r="L104" s="16">
        <f t="shared" si="3"/>
        <v>0</v>
      </c>
      <c r="M104" s="22">
        <v>44743</v>
      </c>
      <c r="N104" s="44" t="s">
        <v>45</v>
      </c>
      <c r="O104" s="23" t="s">
        <v>16</v>
      </c>
      <c r="P104" s="24" t="s">
        <v>45</v>
      </c>
      <c r="Q104" s="28" t="s">
        <v>152</v>
      </c>
    </row>
    <row r="105" spans="1:17">
      <c r="A105" s="14">
        <v>101</v>
      </c>
      <c r="B105" s="15" t="s">
        <v>153</v>
      </c>
      <c r="C105" s="16">
        <f>'Медикаменты Сентябрь'!L107</f>
        <v>0</v>
      </c>
      <c r="D105" s="17"/>
      <c r="E105" s="14"/>
      <c r="F105" s="18"/>
      <c r="G105" s="19"/>
      <c r="H105" s="20"/>
      <c r="I105" s="21"/>
      <c r="J105" s="14"/>
      <c r="K105" s="14">
        <f t="shared" si="2"/>
        <v>0</v>
      </c>
      <c r="L105" s="16">
        <f t="shared" si="3"/>
        <v>0</v>
      </c>
      <c r="M105" s="22">
        <v>44256</v>
      </c>
      <c r="N105" s="44"/>
      <c r="O105" s="23" t="s">
        <v>16</v>
      </c>
      <c r="P105" s="24"/>
      <c r="Q105" s="28" t="s">
        <v>154</v>
      </c>
    </row>
    <row r="106" spans="1:17">
      <c r="A106" s="14">
        <v>102</v>
      </c>
      <c r="B106" s="15" t="s">
        <v>155</v>
      </c>
      <c r="C106" s="16">
        <f>'Медикаменты Сентябрь'!L108</f>
        <v>0</v>
      </c>
      <c r="D106" s="17"/>
      <c r="E106" s="14"/>
      <c r="F106" s="18"/>
      <c r="G106" s="19"/>
      <c r="H106" s="20"/>
      <c r="I106" s="21"/>
      <c r="J106" s="14"/>
      <c r="K106" s="14">
        <f t="shared" si="2"/>
        <v>0</v>
      </c>
      <c r="L106" s="16">
        <f t="shared" si="3"/>
        <v>0</v>
      </c>
      <c r="M106" s="22"/>
      <c r="N106" s="44"/>
      <c r="O106" s="23" t="s">
        <v>16</v>
      </c>
      <c r="P106" s="24"/>
      <c r="Q106" s="45"/>
    </row>
    <row r="107" spans="1:17">
      <c r="A107" s="14">
        <v>103</v>
      </c>
      <c r="B107" s="15" t="s">
        <v>156</v>
      </c>
      <c r="C107" s="16">
        <f>'Медикаменты Сентябрь'!L109</f>
        <v>0</v>
      </c>
      <c r="D107" s="17"/>
      <c r="E107" s="14"/>
      <c r="F107" s="18"/>
      <c r="G107" s="19"/>
      <c r="H107" s="20"/>
      <c r="I107" s="21"/>
      <c r="J107" s="14"/>
      <c r="K107" s="14">
        <f t="shared" si="2"/>
        <v>0</v>
      </c>
      <c r="L107" s="16">
        <f t="shared" si="3"/>
        <v>0</v>
      </c>
      <c r="M107" s="22">
        <v>44197</v>
      </c>
      <c r="N107" s="44"/>
      <c r="O107" s="23" t="s">
        <v>16</v>
      </c>
      <c r="P107" s="24"/>
      <c r="Q107" s="28" t="s">
        <v>157</v>
      </c>
    </row>
    <row r="108" spans="1:17">
      <c r="A108" s="14">
        <v>104</v>
      </c>
      <c r="B108" s="15" t="s">
        <v>158</v>
      </c>
      <c r="C108" s="16">
        <f>'Медикаменты Сентябрь'!L110</f>
        <v>5</v>
      </c>
      <c r="D108" s="17"/>
      <c r="E108" s="14"/>
      <c r="F108" s="18"/>
      <c r="G108" s="19"/>
      <c r="H108" s="20"/>
      <c r="I108" s="21"/>
      <c r="J108" s="14"/>
      <c r="K108" s="14">
        <f t="shared" si="2"/>
        <v>0</v>
      </c>
      <c r="L108" s="16">
        <f t="shared" si="3"/>
        <v>5</v>
      </c>
      <c r="M108" s="22">
        <v>44774</v>
      </c>
      <c r="N108" s="44" t="s">
        <v>45</v>
      </c>
      <c r="O108" s="23" t="s">
        <v>16</v>
      </c>
      <c r="P108" s="24" t="s">
        <v>17</v>
      </c>
      <c r="Q108" s="28" t="s">
        <v>159</v>
      </c>
    </row>
    <row r="109" spans="1:17">
      <c r="A109" s="14">
        <v>105</v>
      </c>
      <c r="B109" s="15" t="s">
        <v>160</v>
      </c>
      <c r="C109" s="16">
        <f>'Медикаменты Сентябрь'!L111</f>
        <v>83</v>
      </c>
      <c r="D109" s="17"/>
      <c r="E109" s="14"/>
      <c r="F109" s="18">
        <f>5+5</f>
        <v>10</v>
      </c>
      <c r="G109" s="19"/>
      <c r="H109" s="20"/>
      <c r="I109" s="21"/>
      <c r="J109" s="14"/>
      <c r="K109" s="14">
        <f t="shared" si="2"/>
        <v>10</v>
      </c>
      <c r="L109" s="16">
        <f t="shared" si="3"/>
        <v>73</v>
      </c>
      <c r="M109" s="22">
        <v>44805</v>
      </c>
      <c r="N109" s="44" t="s">
        <v>45</v>
      </c>
      <c r="O109" s="23" t="s">
        <v>16</v>
      </c>
      <c r="P109" s="24" t="s">
        <v>17</v>
      </c>
      <c r="Q109" s="28" t="s">
        <v>161</v>
      </c>
    </row>
    <row r="110" spans="1:17">
      <c r="A110" s="14">
        <v>106</v>
      </c>
      <c r="B110" s="15" t="s">
        <v>162</v>
      </c>
      <c r="C110" s="16">
        <f>'Медикаменты Сентябрь'!L112</f>
        <v>81</v>
      </c>
      <c r="D110" s="17"/>
      <c r="E110" s="14"/>
      <c r="F110" s="18"/>
      <c r="G110" s="19"/>
      <c r="H110" s="20"/>
      <c r="I110" s="21"/>
      <c r="J110" s="14"/>
      <c r="K110" s="14">
        <f t="shared" si="2"/>
        <v>0</v>
      </c>
      <c r="L110" s="16">
        <f t="shared" si="3"/>
        <v>81</v>
      </c>
      <c r="M110" s="22">
        <v>44742</v>
      </c>
      <c r="N110" s="44" t="s">
        <v>45</v>
      </c>
      <c r="O110" s="23" t="s">
        <v>16</v>
      </c>
      <c r="P110" s="24" t="s">
        <v>17</v>
      </c>
      <c r="Q110" s="28" t="s">
        <v>163</v>
      </c>
    </row>
    <row r="111" spans="1:17">
      <c r="A111" s="14">
        <v>107</v>
      </c>
      <c r="B111" s="15" t="s">
        <v>645</v>
      </c>
      <c r="C111" s="16">
        <f>'Медикаменты Сентябрь'!L113</f>
        <v>40</v>
      </c>
      <c r="D111" s="17"/>
      <c r="E111" s="14"/>
      <c r="F111" s="18">
        <f>2+11</f>
        <v>13</v>
      </c>
      <c r="G111" s="19"/>
      <c r="H111" s="20"/>
      <c r="I111" s="21"/>
      <c r="J111" s="14"/>
      <c r="K111" s="14">
        <f t="shared" si="2"/>
        <v>13</v>
      </c>
      <c r="L111" s="16">
        <f t="shared" si="3"/>
        <v>27</v>
      </c>
      <c r="M111" s="22">
        <v>45261</v>
      </c>
      <c r="N111" s="44" t="s">
        <v>551</v>
      </c>
      <c r="O111" s="23" t="s">
        <v>16</v>
      </c>
      <c r="P111" s="24" t="s">
        <v>17</v>
      </c>
      <c r="Q111" s="28" t="s">
        <v>646</v>
      </c>
    </row>
    <row r="112" spans="1:17">
      <c r="A112" s="14">
        <v>108</v>
      </c>
      <c r="B112" s="15" t="s">
        <v>660</v>
      </c>
      <c r="C112" s="16">
        <f>'Медикаменты Сентябрь'!L114</f>
        <v>0</v>
      </c>
      <c r="D112" s="17"/>
      <c r="E112" s="14">
        <f>14</f>
        <v>14</v>
      </c>
      <c r="F112" s="18"/>
      <c r="G112" s="19"/>
      <c r="H112" s="20"/>
      <c r="I112" s="21"/>
      <c r="J112" s="14"/>
      <c r="K112" s="14">
        <f t="shared" si="2"/>
        <v>0</v>
      </c>
      <c r="L112" s="16">
        <f t="shared" si="3"/>
        <v>14</v>
      </c>
      <c r="M112" s="22">
        <v>45046</v>
      </c>
      <c r="N112" s="44" t="s">
        <v>551</v>
      </c>
      <c r="O112" s="23" t="s">
        <v>16</v>
      </c>
      <c r="P112" s="24" t="s">
        <v>17</v>
      </c>
      <c r="Q112" s="28" t="s">
        <v>661</v>
      </c>
    </row>
    <row r="113" spans="1:17">
      <c r="A113" s="14">
        <v>109</v>
      </c>
      <c r="B113" s="15" t="s">
        <v>169</v>
      </c>
      <c r="C113" s="16">
        <f>'Медикаменты Сентябрь'!L115</f>
        <v>0</v>
      </c>
      <c r="D113" s="17"/>
      <c r="E113" s="14"/>
      <c r="F113" s="18"/>
      <c r="G113" s="19"/>
      <c r="H113" s="20"/>
      <c r="I113" s="21"/>
      <c r="J113" s="14"/>
      <c r="K113" s="14">
        <f t="shared" si="2"/>
        <v>0</v>
      </c>
      <c r="L113" s="16">
        <f t="shared" si="3"/>
        <v>0</v>
      </c>
      <c r="M113" s="22">
        <v>44197</v>
      </c>
      <c r="N113" s="44"/>
      <c r="O113" s="23" t="s">
        <v>16</v>
      </c>
      <c r="P113" s="24"/>
      <c r="Q113" s="28" t="s">
        <v>170</v>
      </c>
    </row>
    <row r="114" spans="1:17">
      <c r="A114" s="14">
        <v>110</v>
      </c>
      <c r="B114" s="15" t="s">
        <v>171</v>
      </c>
      <c r="C114" s="16">
        <f>'Медикаменты Сентябрь'!L116</f>
        <v>0</v>
      </c>
      <c r="D114" s="17"/>
      <c r="E114" s="14"/>
      <c r="F114" s="18"/>
      <c r="G114" s="19"/>
      <c r="H114" s="20"/>
      <c r="I114" s="21"/>
      <c r="J114" s="14"/>
      <c r="K114" s="14">
        <f t="shared" si="2"/>
        <v>0</v>
      </c>
      <c r="L114" s="16">
        <f t="shared" si="3"/>
        <v>0</v>
      </c>
      <c r="M114" s="22"/>
      <c r="N114" s="44"/>
      <c r="O114" s="23" t="s">
        <v>16</v>
      </c>
      <c r="P114" s="24"/>
      <c r="Q114" s="45"/>
    </row>
    <row r="115" spans="1:17">
      <c r="A115" s="14">
        <v>111</v>
      </c>
      <c r="B115" s="15" t="s">
        <v>172</v>
      </c>
      <c r="C115" s="16">
        <f>'Медикаменты Сентябрь'!L117</f>
        <v>0</v>
      </c>
      <c r="D115" s="17"/>
      <c r="E115" s="14"/>
      <c r="F115" s="18"/>
      <c r="G115" s="19"/>
      <c r="H115" s="20"/>
      <c r="I115" s="21"/>
      <c r="J115" s="14"/>
      <c r="K115" s="14">
        <f t="shared" si="2"/>
        <v>0</v>
      </c>
      <c r="L115" s="16">
        <f t="shared" si="3"/>
        <v>0</v>
      </c>
      <c r="M115" s="22">
        <v>44287</v>
      </c>
      <c r="N115" s="44"/>
      <c r="O115" s="23" t="s">
        <v>26</v>
      </c>
      <c r="P115" s="24" t="s">
        <v>17</v>
      </c>
      <c r="Q115" s="28" t="s">
        <v>173</v>
      </c>
    </row>
    <row r="116" spans="1:17">
      <c r="A116" s="14">
        <v>112</v>
      </c>
      <c r="B116" s="15" t="s">
        <v>172</v>
      </c>
      <c r="C116" s="16">
        <f>'Медикаменты Сентябрь'!L118</f>
        <v>32</v>
      </c>
      <c r="D116" s="17"/>
      <c r="E116" s="14"/>
      <c r="F116" s="18">
        <f>15+3+5+9</f>
        <v>32</v>
      </c>
      <c r="G116" s="19"/>
      <c r="H116" s="20"/>
      <c r="I116" s="21"/>
      <c r="J116" s="14"/>
      <c r="K116" s="14">
        <f t="shared" si="2"/>
        <v>32</v>
      </c>
      <c r="L116" s="16">
        <f t="shared" si="3"/>
        <v>0</v>
      </c>
      <c r="M116" s="22">
        <v>44805</v>
      </c>
      <c r="N116" s="44" t="s">
        <v>45</v>
      </c>
      <c r="O116" s="23" t="s">
        <v>26</v>
      </c>
      <c r="P116" s="24" t="s">
        <v>17</v>
      </c>
      <c r="Q116" s="28" t="s">
        <v>173</v>
      </c>
    </row>
    <row r="117" spans="1:17">
      <c r="A117" s="14">
        <v>113</v>
      </c>
      <c r="B117" s="15" t="s">
        <v>174</v>
      </c>
      <c r="C117" s="16">
        <f>'Медикаменты Сентябрь'!L119</f>
        <v>54</v>
      </c>
      <c r="D117" s="17"/>
      <c r="E117" s="14"/>
      <c r="F117" s="18"/>
      <c r="G117" s="19"/>
      <c r="H117" s="20"/>
      <c r="I117" s="21"/>
      <c r="J117" s="14"/>
      <c r="K117" s="14">
        <f t="shared" si="2"/>
        <v>0</v>
      </c>
      <c r="L117" s="16">
        <f t="shared" si="3"/>
        <v>54</v>
      </c>
      <c r="M117" s="22">
        <v>46054</v>
      </c>
      <c r="N117" s="44" t="s">
        <v>551</v>
      </c>
      <c r="O117" s="23" t="s">
        <v>26</v>
      </c>
      <c r="P117" s="24" t="s">
        <v>17</v>
      </c>
      <c r="Q117" s="28" t="s">
        <v>571</v>
      </c>
    </row>
    <row r="118" spans="1:17">
      <c r="A118" s="14">
        <v>114</v>
      </c>
      <c r="B118" s="15" t="s">
        <v>547</v>
      </c>
      <c r="C118" s="16">
        <f>'Медикаменты Сентябрь'!L120</f>
        <v>0</v>
      </c>
      <c r="D118" s="17"/>
      <c r="E118" s="14"/>
      <c r="F118" s="18"/>
      <c r="G118" s="19"/>
      <c r="H118" s="20"/>
      <c r="I118" s="21"/>
      <c r="J118" s="14"/>
      <c r="K118" s="14">
        <f t="shared" si="2"/>
        <v>0</v>
      </c>
      <c r="L118" s="16">
        <f t="shared" si="3"/>
        <v>0</v>
      </c>
      <c r="M118" s="22">
        <v>44317</v>
      </c>
      <c r="N118" s="44" t="s">
        <v>45</v>
      </c>
      <c r="O118" s="23" t="s">
        <v>16</v>
      </c>
      <c r="P118" s="24" t="s">
        <v>17</v>
      </c>
      <c r="Q118" s="28" t="s">
        <v>176</v>
      </c>
    </row>
    <row r="119" spans="1:17">
      <c r="A119" s="14">
        <v>115</v>
      </c>
      <c r="B119" s="15" t="s">
        <v>177</v>
      </c>
      <c r="C119" s="16">
        <f>'Медикаменты Сентябрь'!L121</f>
        <v>0</v>
      </c>
      <c r="D119" s="17"/>
      <c r="E119" s="14"/>
      <c r="F119" s="18"/>
      <c r="G119" s="19"/>
      <c r="H119" s="20"/>
      <c r="I119" s="21"/>
      <c r="J119" s="14"/>
      <c r="K119" s="14">
        <f t="shared" si="2"/>
        <v>0</v>
      </c>
      <c r="L119" s="16">
        <f t="shared" si="3"/>
        <v>0</v>
      </c>
      <c r="M119" s="22"/>
      <c r="N119" s="44"/>
      <c r="O119" s="23" t="s">
        <v>16</v>
      </c>
      <c r="P119" s="24"/>
      <c r="Q119" s="45"/>
    </row>
    <row r="120" spans="1:17">
      <c r="A120" s="14">
        <v>116</v>
      </c>
      <c r="B120" s="15" t="s">
        <v>627</v>
      </c>
      <c r="C120" s="16">
        <f>'Медикаменты Сентябрь'!L122</f>
        <v>55</v>
      </c>
      <c r="D120" s="17"/>
      <c r="E120" s="14">
        <f>150</f>
        <v>150</v>
      </c>
      <c r="F120" s="18">
        <f>15+5+5+5+5</f>
        <v>35</v>
      </c>
      <c r="G120" s="19"/>
      <c r="H120" s="20"/>
      <c r="I120" s="21"/>
      <c r="J120" s="14"/>
      <c r="K120" s="14">
        <f t="shared" si="2"/>
        <v>35</v>
      </c>
      <c r="L120" s="16">
        <f t="shared" si="3"/>
        <v>170</v>
      </c>
      <c r="M120" s="22">
        <v>45474</v>
      </c>
      <c r="N120" s="44" t="s">
        <v>551</v>
      </c>
      <c r="O120" s="23" t="s">
        <v>16</v>
      </c>
      <c r="P120" s="24" t="s">
        <v>17</v>
      </c>
      <c r="Q120" s="28" t="s">
        <v>628</v>
      </c>
    </row>
    <row r="121" spans="1:17">
      <c r="A121" s="14">
        <v>117</v>
      </c>
      <c r="B121" s="15" t="s">
        <v>572</v>
      </c>
      <c r="C121" s="16">
        <f>'Медикаменты Сентябрь'!L123</f>
        <v>10</v>
      </c>
      <c r="D121" s="17"/>
      <c r="E121" s="14"/>
      <c r="F121" s="18">
        <f>4</f>
        <v>4</v>
      </c>
      <c r="G121" s="19"/>
      <c r="H121" s="20"/>
      <c r="I121" s="21"/>
      <c r="J121" s="14"/>
      <c r="K121" s="14">
        <f t="shared" si="2"/>
        <v>4</v>
      </c>
      <c r="L121" s="16">
        <f t="shared" si="3"/>
        <v>6</v>
      </c>
      <c r="M121" s="22">
        <v>45200</v>
      </c>
      <c r="N121" s="44" t="s">
        <v>551</v>
      </c>
      <c r="O121" s="23" t="s">
        <v>16</v>
      </c>
      <c r="P121" s="24" t="s">
        <v>17</v>
      </c>
      <c r="Q121" s="28" t="s">
        <v>181</v>
      </c>
    </row>
    <row r="122" spans="1:17">
      <c r="A122" s="14">
        <v>118</v>
      </c>
      <c r="B122" s="15" t="s">
        <v>182</v>
      </c>
      <c r="C122" s="16">
        <f>'Медикаменты Сентябрь'!L124</f>
        <v>0</v>
      </c>
      <c r="D122" s="17"/>
      <c r="E122" s="14"/>
      <c r="F122" s="18"/>
      <c r="G122" s="19"/>
      <c r="H122" s="20"/>
      <c r="I122" s="21"/>
      <c r="J122" s="14"/>
      <c r="K122" s="14">
        <f t="shared" si="2"/>
        <v>0</v>
      </c>
      <c r="L122" s="16">
        <f t="shared" si="3"/>
        <v>0</v>
      </c>
      <c r="M122" s="22">
        <v>44409</v>
      </c>
      <c r="N122" s="44"/>
      <c r="O122" s="23" t="s">
        <v>16</v>
      </c>
      <c r="P122" s="24"/>
      <c r="Q122" s="28" t="s">
        <v>183</v>
      </c>
    </row>
    <row r="123" spans="1:17">
      <c r="A123" s="14">
        <v>119</v>
      </c>
      <c r="B123" s="15" t="s">
        <v>184</v>
      </c>
      <c r="C123" s="16">
        <f>'Медикаменты Сентябрь'!L125</f>
        <v>32</v>
      </c>
      <c r="D123" s="17"/>
      <c r="E123" s="14"/>
      <c r="F123" s="18">
        <f>2</f>
        <v>2</v>
      </c>
      <c r="G123" s="19"/>
      <c r="H123" s="20"/>
      <c r="I123" s="21"/>
      <c r="J123" s="14"/>
      <c r="K123" s="14">
        <f t="shared" si="2"/>
        <v>2</v>
      </c>
      <c r="L123" s="16">
        <f t="shared" si="3"/>
        <v>30</v>
      </c>
      <c r="M123" s="22">
        <v>45323</v>
      </c>
      <c r="N123" s="44" t="s">
        <v>551</v>
      </c>
      <c r="O123" s="23" t="s">
        <v>16</v>
      </c>
      <c r="P123" s="24" t="s">
        <v>17</v>
      </c>
      <c r="Q123" s="28" t="s">
        <v>598</v>
      </c>
    </row>
    <row r="124" spans="1:17">
      <c r="A124" s="14">
        <v>120</v>
      </c>
      <c r="B124" s="15" t="s">
        <v>186</v>
      </c>
      <c r="C124" s="16">
        <f>'Медикаменты Сентябрь'!L126</f>
        <v>0</v>
      </c>
      <c r="D124" s="17"/>
      <c r="E124" s="14"/>
      <c r="F124" s="18"/>
      <c r="G124" s="19"/>
      <c r="H124" s="20"/>
      <c r="I124" s="21"/>
      <c r="J124" s="14"/>
      <c r="K124" s="14">
        <f t="shared" si="2"/>
        <v>0</v>
      </c>
      <c r="L124" s="16">
        <f t="shared" si="3"/>
        <v>0</v>
      </c>
      <c r="M124" s="22">
        <v>44743</v>
      </c>
      <c r="N124" s="44" t="s">
        <v>45</v>
      </c>
      <c r="O124" s="23" t="s">
        <v>16</v>
      </c>
      <c r="P124" s="24" t="s">
        <v>17</v>
      </c>
      <c r="Q124" s="28" t="s">
        <v>187</v>
      </c>
    </row>
    <row r="125" spans="1:17">
      <c r="A125" s="14">
        <v>121</v>
      </c>
      <c r="B125" s="15" t="s">
        <v>188</v>
      </c>
      <c r="C125" s="16">
        <f>'Медикаменты Сентябрь'!L127</f>
        <v>0</v>
      </c>
      <c r="D125" s="17"/>
      <c r="E125" s="14"/>
      <c r="F125" s="18"/>
      <c r="G125" s="19"/>
      <c r="H125" s="20"/>
      <c r="I125" s="21"/>
      <c r="J125" s="14"/>
      <c r="K125" s="14">
        <f t="shared" si="2"/>
        <v>0</v>
      </c>
      <c r="L125" s="16">
        <f t="shared" si="3"/>
        <v>0</v>
      </c>
      <c r="M125" s="22"/>
      <c r="N125" s="44"/>
      <c r="O125" s="23" t="s">
        <v>16</v>
      </c>
      <c r="P125" s="24"/>
      <c r="Q125" s="45"/>
    </row>
    <row r="126" spans="1:17">
      <c r="A126" s="14">
        <v>122</v>
      </c>
      <c r="B126" s="15" t="s">
        <v>189</v>
      </c>
      <c r="C126" s="16">
        <f>'Медикаменты Сентябрь'!L128</f>
        <v>0</v>
      </c>
      <c r="D126" s="17"/>
      <c r="E126" s="14"/>
      <c r="F126" s="18"/>
      <c r="G126" s="19"/>
      <c r="H126" s="20"/>
      <c r="I126" s="21"/>
      <c r="J126" s="14"/>
      <c r="K126" s="14">
        <f t="shared" si="2"/>
        <v>0</v>
      </c>
      <c r="L126" s="16">
        <f t="shared" si="3"/>
        <v>0</v>
      </c>
      <c r="M126" s="22">
        <v>44348</v>
      </c>
      <c r="N126" s="44"/>
      <c r="O126" s="23" t="s">
        <v>16</v>
      </c>
      <c r="P126" s="24" t="s">
        <v>45</v>
      </c>
      <c r="Q126" s="28" t="s">
        <v>190</v>
      </c>
    </row>
    <row r="127" spans="1:17">
      <c r="A127" s="14">
        <v>123</v>
      </c>
      <c r="B127" s="15" t="s">
        <v>191</v>
      </c>
      <c r="C127" s="16">
        <f>'Медикаменты Сентябрь'!L129</f>
        <v>0</v>
      </c>
      <c r="D127" s="17"/>
      <c r="E127" s="14"/>
      <c r="F127" s="18"/>
      <c r="G127" s="19"/>
      <c r="H127" s="20"/>
      <c r="I127" s="21"/>
      <c r="J127" s="14"/>
      <c r="K127" s="14">
        <f t="shared" si="2"/>
        <v>0</v>
      </c>
      <c r="L127" s="16">
        <f t="shared" si="3"/>
        <v>0</v>
      </c>
      <c r="M127" s="22"/>
      <c r="N127" s="44"/>
      <c r="O127" s="23" t="s">
        <v>16</v>
      </c>
      <c r="P127" s="24"/>
      <c r="Q127" s="45"/>
    </row>
    <row r="128" spans="1:17">
      <c r="A128" s="14">
        <v>124</v>
      </c>
      <c r="B128" s="15" t="s">
        <v>192</v>
      </c>
      <c r="C128" s="16">
        <f>'Медикаменты Сентябрь'!L130</f>
        <v>110</v>
      </c>
      <c r="D128" s="17"/>
      <c r="E128" s="14"/>
      <c r="F128" s="18"/>
      <c r="G128" s="19"/>
      <c r="H128" s="20"/>
      <c r="I128" s="21"/>
      <c r="J128" s="14"/>
      <c r="K128" s="14">
        <f t="shared" si="2"/>
        <v>0</v>
      </c>
      <c r="L128" s="16">
        <f t="shared" si="3"/>
        <v>110</v>
      </c>
      <c r="M128" s="22">
        <v>45047</v>
      </c>
      <c r="N128" s="44" t="s">
        <v>45</v>
      </c>
      <c r="O128" s="23" t="s">
        <v>16</v>
      </c>
      <c r="P128" s="24" t="s">
        <v>17</v>
      </c>
      <c r="Q128" s="28" t="s">
        <v>193</v>
      </c>
    </row>
    <row r="129" spans="1:17">
      <c r="A129" s="14">
        <v>125</v>
      </c>
      <c r="B129" s="15" t="s">
        <v>192</v>
      </c>
      <c r="C129" s="16">
        <f>'Медикаменты Сентябрь'!L131</f>
        <v>0</v>
      </c>
      <c r="D129" s="17"/>
      <c r="E129" s="14"/>
      <c r="F129" s="18"/>
      <c r="G129" s="19"/>
      <c r="H129" s="20"/>
      <c r="I129" s="21"/>
      <c r="J129" s="14"/>
      <c r="K129" s="14">
        <f t="shared" si="2"/>
        <v>0</v>
      </c>
      <c r="L129" s="16">
        <f t="shared" si="3"/>
        <v>0</v>
      </c>
      <c r="M129" s="22">
        <v>45047</v>
      </c>
      <c r="N129" s="44"/>
      <c r="O129" s="23" t="s">
        <v>26</v>
      </c>
      <c r="P129" s="24"/>
      <c r="Q129" s="28" t="s">
        <v>193</v>
      </c>
    </row>
    <row r="130" spans="1:17">
      <c r="A130" s="14">
        <v>126</v>
      </c>
      <c r="B130" s="15" t="s">
        <v>194</v>
      </c>
      <c r="C130" s="16">
        <f>'Медикаменты Сентябрь'!L132</f>
        <v>10</v>
      </c>
      <c r="D130" s="17"/>
      <c r="E130" s="14"/>
      <c r="F130" s="18"/>
      <c r="G130" s="19"/>
      <c r="H130" s="20"/>
      <c r="I130" s="21"/>
      <c r="J130" s="14"/>
      <c r="K130" s="14">
        <f t="shared" si="2"/>
        <v>0</v>
      </c>
      <c r="L130" s="16">
        <f t="shared" si="3"/>
        <v>10</v>
      </c>
      <c r="M130" s="22">
        <v>45658</v>
      </c>
      <c r="N130" s="44" t="s">
        <v>45</v>
      </c>
      <c r="O130" s="23" t="s">
        <v>16</v>
      </c>
      <c r="P130" s="24" t="s">
        <v>45</v>
      </c>
      <c r="Q130" s="28" t="s">
        <v>195</v>
      </c>
    </row>
    <row r="131" spans="1:17">
      <c r="A131" s="14">
        <v>127</v>
      </c>
      <c r="B131" s="15" t="s">
        <v>196</v>
      </c>
      <c r="C131" s="16">
        <f>'Медикаменты Сентябрь'!L133</f>
        <v>46</v>
      </c>
      <c r="D131" s="17"/>
      <c r="E131" s="14"/>
      <c r="F131" s="18"/>
      <c r="G131" s="19"/>
      <c r="H131" s="20"/>
      <c r="I131" s="21"/>
      <c r="J131" s="14"/>
      <c r="K131" s="14">
        <f t="shared" si="2"/>
        <v>0</v>
      </c>
      <c r="L131" s="16">
        <f t="shared" si="3"/>
        <v>46</v>
      </c>
      <c r="M131" s="22">
        <v>44593</v>
      </c>
      <c r="N131" s="44" t="s">
        <v>45</v>
      </c>
      <c r="O131" s="23" t="s">
        <v>16</v>
      </c>
      <c r="P131" s="24" t="s">
        <v>17</v>
      </c>
      <c r="Q131" s="28" t="s">
        <v>197</v>
      </c>
    </row>
    <row r="132" spans="1:17">
      <c r="A132" s="14">
        <v>128</v>
      </c>
      <c r="B132" s="15" t="s">
        <v>198</v>
      </c>
      <c r="C132" s="16">
        <f>'Медикаменты Сентябрь'!L134</f>
        <v>0</v>
      </c>
      <c r="D132" s="17"/>
      <c r="E132" s="14"/>
      <c r="F132" s="18"/>
      <c r="G132" s="19"/>
      <c r="H132" s="20"/>
      <c r="I132" s="21"/>
      <c r="J132" s="14"/>
      <c r="K132" s="14">
        <f t="shared" si="2"/>
        <v>0</v>
      </c>
      <c r="L132" s="16">
        <f t="shared" si="3"/>
        <v>0</v>
      </c>
      <c r="M132" s="22"/>
      <c r="N132" s="44"/>
      <c r="O132" s="23" t="s">
        <v>16</v>
      </c>
      <c r="P132" s="24"/>
      <c r="Q132" s="45"/>
    </row>
    <row r="133" spans="1:17">
      <c r="A133" s="14">
        <v>129</v>
      </c>
      <c r="B133" s="15" t="s">
        <v>599</v>
      </c>
      <c r="C133" s="16">
        <f>'Медикаменты Сентябрь'!L135</f>
        <v>78</v>
      </c>
      <c r="D133" s="17"/>
      <c r="E133" s="14"/>
      <c r="F133" s="18"/>
      <c r="G133" s="19"/>
      <c r="H133" s="20"/>
      <c r="I133" s="21"/>
      <c r="J133" s="14"/>
      <c r="K133" s="14">
        <f t="shared" ref="K133:K196" si="4">SUM(F133:J133)</f>
        <v>0</v>
      </c>
      <c r="L133" s="16">
        <f t="shared" ref="L133:L196" si="5">(C133+E133)-K133</f>
        <v>78</v>
      </c>
      <c r="M133" s="22">
        <v>45383</v>
      </c>
      <c r="N133" s="44" t="s">
        <v>551</v>
      </c>
      <c r="O133" s="23" t="s">
        <v>16</v>
      </c>
      <c r="P133" s="24" t="s">
        <v>17</v>
      </c>
      <c r="Q133" s="28" t="s">
        <v>600</v>
      </c>
    </row>
    <row r="134" spans="1:17">
      <c r="A134" s="14">
        <v>130</v>
      </c>
      <c r="B134" s="15" t="s">
        <v>548</v>
      </c>
      <c r="C134" s="16">
        <f>'Медикаменты Сентябрь'!L136</f>
        <v>0</v>
      </c>
      <c r="D134" s="17"/>
      <c r="E134" s="14"/>
      <c r="F134" s="18"/>
      <c r="G134" s="19"/>
      <c r="H134" s="20"/>
      <c r="I134" s="21"/>
      <c r="J134" s="14"/>
      <c r="K134" s="14">
        <f t="shared" si="4"/>
        <v>0</v>
      </c>
      <c r="L134" s="16">
        <f t="shared" si="5"/>
        <v>0</v>
      </c>
      <c r="M134" s="22">
        <v>45658</v>
      </c>
      <c r="N134" s="44" t="s">
        <v>45</v>
      </c>
      <c r="O134" s="23" t="s">
        <v>26</v>
      </c>
      <c r="P134" s="24" t="s">
        <v>17</v>
      </c>
      <c r="Q134" s="28" t="s">
        <v>201</v>
      </c>
    </row>
    <row r="135" spans="1:17">
      <c r="A135" s="14">
        <v>131</v>
      </c>
      <c r="B135" s="15" t="s">
        <v>202</v>
      </c>
      <c r="C135" s="16">
        <f>'Медикаменты Сентябрь'!L137</f>
        <v>0</v>
      </c>
      <c r="D135" s="17"/>
      <c r="E135" s="14"/>
      <c r="F135" s="18"/>
      <c r="G135" s="19"/>
      <c r="H135" s="20"/>
      <c r="I135" s="21"/>
      <c r="J135" s="14"/>
      <c r="K135" s="14">
        <f t="shared" si="4"/>
        <v>0</v>
      </c>
      <c r="L135" s="16">
        <f t="shared" si="5"/>
        <v>0</v>
      </c>
      <c r="M135" s="22"/>
      <c r="N135" s="44"/>
      <c r="O135" s="23" t="s">
        <v>16</v>
      </c>
      <c r="P135" s="24"/>
      <c r="Q135" s="45"/>
    </row>
    <row r="136" spans="1:17">
      <c r="A136" s="14">
        <v>132</v>
      </c>
      <c r="B136" s="15" t="s">
        <v>203</v>
      </c>
      <c r="C136" s="16">
        <f>'Медикаменты Сентябрь'!L138</f>
        <v>0</v>
      </c>
      <c r="D136" s="17"/>
      <c r="E136" s="14"/>
      <c r="F136" s="18"/>
      <c r="G136" s="19"/>
      <c r="H136" s="20"/>
      <c r="I136" s="21"/>
      <c r="J136" s="14"/>
      <c r="K136" s="14">
        <f t="shared" si="4"/>
        <v>0</v>
      </c>
      <c r="L136" s="16">
        <f t="shared" si="5"/>
        <v>0</v>
      </c>
      <c r="M136" s="22">
        <v>44287</v>
      </c>
      <c r="N136" s="44"/>
      <c r="O136" s="23" t="s">
        <v>16</v>
      </c>
      <c r="P136" s="24"/>
      <c r="Q136" s="28" t="s">
        <v>204</v>
      </c>
    </row>
    <row r="137" spans="1:17">
      <c r="A137" s="14">
        <v>133</v>
      </c>
      <c r="B137" s="15" t="s">
        <v>205</v>
      </c>
      <c r="C137" s="16">
        <f>'Медикаменты Сентябрь'!L139</f>
        <v>0</v>
      </c>
      <c r="D137" s="17"/>
      <c r="E137" s="14"/>
      <c r="F137" s="18"/>
      <c r="G137" s="19"/>
      <c r="H137" s="20"/>
      <c r="I137" s="21"/>
      <c r="J137" s="14"/>
      <c r="K137" s="14">
        <f t="shared" si="4"/>
        <v>0</v>
      </c>
      <c r="L137" s="16">
        <f t="shared" si="5"/>
        <v>0</v>
      </c>
      <c r="M137" s="22"/>
      <c r="N137" s="44"/>
      <c r="O137" s="23" t="s">
        <v>16</v>
      </c>
      <c r="P137" s="24"/>
      <c r="Q137" s="45"/>
    </row>
    <row r="138" spans="1:17">
      <c r="A138" s="14">
        <v>134</v>
      </c>
      <c r="B138" s="15" t="s">
        <v>206</v>
      </c>
      <c r="C138" s="16">
        <f>'Медикаменты Сентябрь'!L140</f>
        <v>0</v>
      </c>
      <c r="D138" s="17"/>
      <c r="E138" s="14"/>
      <c r="F138" s="18"/>
      <c r="G138" s="19"/>
      <c r="H138" s="20"/>
      <c r="I138" s="21"/>
      <c r="J138" s="14"/>
      <c r="K138" s="14">
        <f t="shared" si="4"/>
        <v>0</v>
      </c>
      <c r="L138" s="16">
        <f t="shared" si="5"/>
        <v>0</v>
      </c>
      <c r="M138" s="22"/>
      <c r="N138" s="44"/>
      <c r="O138" s="23" t="s">
        <v>16</v>
      </c>
      <c r="P138" s="24"/>
      <c r="Q138" s="45"/>
    </row>
    <row r="139" spans="1:17">
      <c r="A139" s="14">
        <v>135</v>
      </c>
      <c r="B139" s="15" t="s">
        <v>207</v>
      </c>
      <c r="C139" s="16">
        <f>'Медикаменты Сентябрь'!L141</f>
        <v>0</v>
      </c>
      <c r="D139" s="17"/>
      <c r="E139" s="14"/>
      <c r="F139" s="18"/>
      <c r="G139" s="19"/>
      <c r="H139" s="20"/>
      <c r="I139" s="21"/>
      <c r="J139" s="14"/>
      <c r="K139" s="14">
        <f t="shared" si="4"/>
        <v>0</v>
      </c>
      <c r="L139" s="16">
        <f t="shared" si="5"/>
        <v>0</v>
      </c>
      <c r="M139" s="22"/>
      <c r="N139" s="44"/>
      <c r="O139" s="23" t="s">
        <v>16</v>
      </c>
      <c r="P139" s="24"/>
      <c r="Q139" s="45"/>
    </row>
    <row r="140" spans="1:17">
      <c r="A140" s="14">
        <v>136</v>
      </c>
      <c r="B140" s="15" t="s">
        <v>208</v>
      </c>
      <c r="C140" s="16">
        <f>'Медикаменты Сентябрь'!L142</f>
        <v>20</v>
      </c>
      <c r="D140" s="17"/>
      <c r="E140" s="14"/>
      <c r="F140" s="18">
        <f>5+5+5+5</f>
        <v>20</v>
      </c>
      <c r="G140" s="19"/>
      <c r="H140" s="20"/>
      <c r="I140" s="21"/>
      <c r="J140" s="14"/>
      <c r="K140" s="14">
        <f t="shared" si="4"/>
        <v>20</v>
      </c>
      <c r="L140" s="16">
        <f t="shared" si="5"/>
        <v>0</v>
      </c>
      <c r="M140" s="22">
        <v>44986</v>
      </c>
      <c r="N140" s="44" t="s">
        <v>551</v>
      </c>
      <c r="O140" s="23" t="s">
        <v>16</v>
      </c>
      <c r="P140" s="24" t="s">
        <v>17</v>
      </c>
      <c r="Q140" s="28" t="s">
        <v>209</v>
      </c>
    </row>
    <row r="141" spans="1:17">
      <c r="A141" s="14">
        <v>137</v>
      </c>
      <c r="B141" s="15" t="s">
        <v>210</v>
      </c>
      <c r="C141" s="16">
        <f>'Медикаменты Сентябрь'!L143</f>
        <v>0</v>
      </c>
      <c r="D141" s="17"/>
      <c r="E141" s="14"/>
      <c r="F141" s="18"/>
      <c r="G141" s="19"/>
      <c r="H141" s="20"/>
      <c r="I141" s="21"/>
      <c r="J141" s="14"/>
      <c r="K141" s="14">
        <f t="shared" si="4"/>
        <v>0</v>
      </c>
      <c r="L141" s="16">
        <f t="shared" si="5"/>
        <v>0</v>
      </c>
      <c r="M141" s="22">
        <v>45413</v>
      </c>
      <c r="N141" s="44" t="s">
        <v>45</v>
      </c>
      <c r="O141" s="23" t="s">
        <v>16</v>
      </c>
      <c r="P141" s="24" t="s">
        <v>17</v>
      </c>
      <c r="Q141" s="28" t="s">
        <v>211</v>
      </c>
    </row>
    <row r="142" spans="1:17">
      <c r="A142" s="14">
        <v>138</v>
      </c>
      <c r="B142" s="15" t="s">
        <v>210</v>
      </c>
      <c r="C142" s="16">
        <f>'Медикаменты Сентябрь'!L144</f>
        <v>0</v>
      </c>
      <c r="D142" s="17"/>
      <c r="E142" s="14"/>
      <c r="F142" s="18"/>
      <c r="G142" s="19"/>
      <c r="H142" s="20"/>
      <c r="I142" s="21"/>
      <c r="J142" s="14"/>
      <c r="K142" s="14">
        <f t="shared" si="4"/>
        <v>0</v>
      </c>
      <c r="L142" s="16">
        <f t="shared" si="5"/>
        <v>0</v>
      </c>
      <c r="M142" s="22">
        <v>45413</v>
      </c>
      <c r="N142" s="44" t="s">
        <v>45</v>
      </c>
      <c r="O142" s="23" t="s">
        <v>26</v>
      </c>
      <c r="P142" s="24" t="s">
        <v>17</v>
      </c>
      <c r="Q142" s="28" t="s">
        <v>211</v>
      </c>
    </row>
    <row r="143" spans="1:17">
      <c r="A143" s="14">
        <v>139</v>
      </c>
      <c r="B143" s="15" t="s">
        <v>212</v>
      </c>
      <c r="C143" s="16">
        <f>'Медикаменты Сентябрь'!L145</f>
        <v>0</v>
      </c>
      <c r="D143" s="17"/>
      <c r="E143" s="14"/>
      <c r="F143" s="18"/>
      <c r="G143" s="19"/>
      <c r="H143" s="20"/>
      <c r="I143" s="21"/>
      <c r="J143" s="14"/>
      <c r="K143" s="14">
        <f t="shared" si="4"/>
        <v>0</v>
      </c>
      <c r="L143" s="16">
        <f t="shared" si="5"/>
        <v>0</v>
      </c>
      <c r="M143" s="22"/>
      <c r="N143" s="44"/>
      <c r="O143" s="23" t="s">
        <v>16</v>
      </c>
      <c r="P143" s="24"/>
      <c r="Q143" s="45"/>
    </row>
    <row r="144" spans="1:17" ht="26.25">
      <c r="A144" s="14">
        <v>140</v>
      </c>
      <c r="B144" s="15" t="s">
        <v>215</v>
      </c>
      <c r="C144" s="16">
        <f>'Медикаменты Сентябрь'!L146</f>
        <v>40</v>
      </c>
      <c r="D144" s="17"/>
      <c r="E144" s="14"/>
      <c r="F144" s="18">
        <f>2+15</f>
        <v>17</v>
      </c>
      <c r="G144" s="19"/>
      <c r="H144" s="20"/>
      <c r="I144" s="21"/>
      <c r="J144" s="14"/>
      <c r="K144" s="14">
        <f t="shared" si="4"/>
        <v>17</v>
      </c>
      <c r="L144" s="16">
        <f t="shared" si="5"/>
        <v>23</v>
      </c>
      <c r="M144" s="22">
        <v>44986</v>
      </c>
      <c r="N144" s="44" t="s">
        <v>551</v>
      </c>
      <c r="O144" s="23" t="s">
        <v>16</v>
      </c>
      <c r="P144" s="24" t="s">
        <v>17</v>
      </c>
      <c r="Q144" s="28" t="s">
        <v>214</v>
      </c>
    </row>
    <row r="145" spans="1:17" ht="26.25">
      <c r="A145" s="14">
        <v>141</v>
      </c>
      <c r="B145" s="15" t="s">
        <v>215</v>
      </c>
      <c r="C145" s="16">
        <f>'Медикаменты Сентябрь'!L147</f>
        <v>5</v>
      </c>
      <c r="D145" s="17"/>
      <c r="E145" s="14"/>
      <c r="F145" s="18">
        <f>5</f>
        <v>5</v>
      </c>
      <c r="G145" s="19"/>
      <c r="H145" s="20"/>
      <c r="I145" s="21"/>
      <c r="J145" s="14"/>
      <c r="K145" s="14">
        <f t="shared" si="4"/>
        <v>5</v>
      </c>
      <c r="L145" s="16">
        <f t="shared" si="5"/>
        <v>0</v>
      </c>
      <c r="M145" s="22">
        <v>44986</v>
      </c>
      <c r="N145" s="44" t="s">
        <v>551</v>
      </c>
      <c r="O145" s="23" t="s">
        <v>26</v>
      </c>
      <c r="P145" s="24" t="s">
        <v>17</v>
      </c>
      <c r="Q145" s="28" t="s">
        <v>214</v>
      </c>
    </row>
    <row r="146" spans="1:17" ht="26.25">
      <c r="A146" s="14">
        <v>142</v>
      </c>
      <c r="B146" s="15" t="s">
        <v>216</v>
      </c>
      <c r="C146" s="16">
        <f>'Медикаменты Сентябрь'!L148</f>
        <v>0</v>
      </c>
      <c r="D146" s="17"/>
      <c r="E146" s="14"/>
      <c r="F146" s="18"/>
      <c r="G146" s="19"/>
      <c r="H146" s="20"/>
      <c r="I146" s="21"/>
      <c r="J146" s="14"/>
      <c r="K146" s="14">
        <f t="shared" si="4"/>
        <v>0</v>
      </c>
      <c r="L146" s="16">
        <f t="shared" si="5"/>
        <v>0</v>
      </c>
      <c r="M146" s="22">
        <v>44805</v>
      </c>
      <c r="N146" s="44" t="s">
        <v>45</v>
      </c>
      <c r="O146" s="23" t="s">
        <v>16</v>
      </c>
      <c r="P146" s="24" t="s">
        <v>17</v>
      </c>
      <c r="Q146" s="28" t="s">
        <v>217</v>
      </c>
    </row>
    <row r="147" spans="1:17" ht="26.25">
      <c r="A147" s="14">
        <v>143</v>
      </c>
      <c r="B147" s="15" t="s">
        <v>216</v>
      </c>
      <c r="C147" s="16">
        <f>'Медикаменты Сентябрь'!L149</f>
        <v>5</v>
      </c>
      <c r="D147" s="17"/>
      <c r="E147" s="14"/>
      <c r="F147" s="18"/>
      <c r="G147" s="19"/>
      <c r="H147" s="20"/>
      <c r="I147" s="21"/>
      <c r="J147" s="14"/>
      <c r="K147" s="14">
        <f t="shared" si="4"/>
        <v>0</v>
      </c>
      <c r="L147" s="16">
        <f t="shared" si="5"/>
        <v>5</v>
      </c>
      <c r="M147" s="22">
        <v>45292</v>
      </c>
      <c r="N147" s="44" t="s">
        <v>551</v>
      </c>
      <c r="O147" s="23" t="s">
        <v>16</v>
      </c>
      <c r="P147" s="24" t="s">
        <v>17</v>
      </c>
      <c r="Q147" s="28" t="s">
        <v>217</v>
      </c>
    </row>
    <row r="148" spans="1:17">
      <c r="A148" s="14">
        <v>144</v>
      </c>
      <c r="B148" s="15" t="s">
        <v>218</v>
      </c>
      <c r="C148" s="16">
        <f>'Медикаменты Сентябрь'!L150</f>
        <v>0</v>
      </c>
      <c r="D148" s="17"/>
      <c r="E148" s="14"/>
      <c r="F148" s="18"/>
      <c r="G148" s="19"/>
      <c r="H148" s="20"/>
      <c r="I148" s="21"/>
      <c r="J148" s="14"/>
      <c r="K148" s="14">
        <f t="shared" si="4"/>
        <v>0</v>
      </c>
      <c r="L148" s="16">
        <f t="shared" si="5"/>
        <v>0</v>
      </c>
      <c r="M148" s="22"/>
      <c r="N148" s="44"/>
      <c r="O148" s="23" t="s">
        <v>16</v>
      </c>
      <c r="P148" s="24"/>
      <c r="Q148" s="45"/>
    </row>
    <row r="149" spans="1:17">
      <c r="A149" s="14">
        <v>145</v>
      </c>
      <c r="B149" s="15" t="s">
        <v>219</v>
      </c>
      <c r="C149" s="16">
        <f>'Медикаменты Сентябрь'!L151</f>
        <v>0</v>
      </c>
      <c r="D149" s="17"/>
      <c r="E149" s="14"/>
      <c r="F149" s="18"/>
      <c r="G149" s="19"/>
      <c r="H149" s="20"/>
      <c r="I149" s="21"/>
      <c r="J149" s="14"/>
      <c r="K149" s="14">
        <f t="shared" si="4"/>
        <v>0</v>
      </c>
      <c r="L149" s="16">
        <f t="shared" si="5"/>
        <v>0</v>
      </c>
      <c r="M149" s="22"/>
      <c r="N149" s="44"/>
      <c r="O149" s="23" t="s">
        <v>16</v>
      </c>
      <c r="P149" s="24"/>
      <c r="Q149" s="45"/>
    </row>
    <row r="150" spans="1:17">
      <c r="A150" s="14">
        <v>146</v>
      </c>
      <c r="B150" s="15" t="s">
        <v>220</v>
      </c>
      <c r="C150" s="16">
        <f>'Медикаменты Сентябрь'!L152</f>
        <v>80</v>
      </c>
      <c r="D150" s="17"/>
      <c r="E150" s="14"/>
      <c r="F150" s="18"/>
      <c r="G150" s="19"/>
      <c r="H150" s="20"/>
      <c r="I150" s="21"/>
      <c r="J150" s="14"/>
      <c r="K150" s="14">
        <f t="shared" si="4"/>
        <v>0</v>
      </c>
      <c r="L150" s="16">
        <f t="shared" si="5"/>
        <v>80</v>
      </c>
      <c r="M150" s="22">
        <v>44927</v>
      </c>
      <c r="N150" s="44" t="s">
        <v>551</v>
      </c>
      <c r="O150" s="23" t="s">
        <v>16</v>
      </c>
      <c r="P150" s="24" t="s">
        <v>17</v>
      </c>
      <c r="Q150" s="28" t="s">
        <v>221</v>
      </c>
    </row>
    <row r="151" spans="1:17">
      <c r="A151" s="14">
        <v>147</v>
      </c>
      <c r="B151" s="15" t="s">
        <v>222</v>
      </c>
      <c r="C151" s="16">
        <f>'Медикаменты Сентябрь'!L153</f>
        <v>30</v>
      </c>
      <c r="D151" s="17"/>
      <c r="E151" s="14"/>
      <c r="F151" s="18"/>
      <c r="G151" s="19"/>
      <c r="H151" s="20"/>
      <c r="I151" s="21"/>
      <c r="J151" s="14"/>
      <c r="K151" s="14">
        <f t="shared" si="4"/>
        <v>0</v>
      </c>
      <c r="L151" s="16">
        <f t="shared" si="5"/>
        <v>30</v>
      </c>
      <c r="M151" s="22">
        <v>44866</v>
      </c>
      <c r="N151" s="44" t="s">
        <v>551</v>
      </c>
      <c r="O151" s="23" t="s">
        <v>16</v>
      </c>
      <c r="P151" s="24" t="s">
        <v>17</v>
      </c>
      <c r="Q151" s="28" t="s">
        <v>223</v>
      </c>
    </row>
    <row r="152" spans="1:17">
      <c r="A152" s="14">
        <v>148</v>
      </c>
      <c r="B152" s="15" t="s">
        <v>224</v>
      </c>
      <c r="C152" s="16">
        <f>'Медикаменты Сентябрь'!L154</f>
        <v>40</v>
      </c>
      <c r="D152" s="17"/>
      <c r="E152" s="14"/>
      <c r="F152" s="18"/>
      <c r="G152" s="19"/>
      <c r="H152" s="20"/>
      <c r="I152" s="21"/>
      <c r="J152" s="14"/>
      <c r="K152" s="14">
        <f t="shared" si="4"/>
        <v>0</v>
      </c>
      <c r="L152" s="16">
        <f t="shared" si="5"/>
        <v>40</v>
      </c>
      <c r="M152" s="22">
        <v>46023</v>
      </c>
      <c r="N152" s="44" t="s">
        <v>551</v>
      </c>
      <c r="O152" s="23" t="s">
        <v>16</v>
      </c>
      <c r="P152" s="24" t="s">
        <v>17</v>
      </c>
      <c r="Q152" s="28" t="s">
        <v>225</v>
      </c>
    </row>
    <row r="153" spans="1:17">
      <c r="A153" s="14">
        <v>149</v>
      </c>
      <c r="B153" s="15" t="s">
        <v>226</v>
      </c>
      <c r="C153" s="16">
        <f>'Медикаменты Сентябрь'!L155</f>
        <v>0</v>
      </c>
      <c r="D153" s="17"/>
      <c r="E153" s="14"/>
      <c r="F153" s="18"/>
      <c r="G153" s="19"/>
      <c r="H153" s="20"/>
      <c r="I153" s="21"/>
      <c r="J153" s="14"/>
      <c r="K153" s="14">
        <f t="shared" si="4"/>
        <v>0</v>
      </c>
      <c r="L153" s="16">
        <f t="shared" si="5"/>
        <v>0</v>
      </c>
      <c r="M153" s="22"/>
      <c r="N153" s="44"/>
      <c r="O153" s="23" t="s">
        <v>16</v>
      </c>
      <c r="P153" s="24"/>
      <c r="Q153" s="45"/>
    </row>
    <row r="154" spans="1:17">
      <c r="A154" s="14">
        <v>150</v>
      </c>
      <c r="B154" s="15" t="s">
        <v>227</v>
      </c>
      <c r="C154" s="16">
        <f>'Медикаменты Сентябрь'!L156</f>
        <v>0</v>
      </c>
      <c r="D154" s="17"/>
      <c r="E154" s="14"/>
      <c r="F154" s="18"/>
      <c r="G154" s="19"/>
      <c r="H154" s="20"/>
      <c r="I154" s="21"/>
      <c r="J154" s="14"/>
      <c r="K154" s="14">
        <f t="shared" si="4"/>
        <v>0</v>
      </c>
      <c r="L154" s="16">
        <f t="shared" si="5"/>
        <v>0</v>
      </c>
      <c r="M154" s="22">
        <v>44562</v>
      </c>
      <c r="N154" s="44"/>
      <c r="O154" s="23" t="s">
        <v>16</v>
      </c>
      <c r="P154" s="24"/>
      <c r="Q154" s="28" t="s">
        <v>228</v>
      </c>
    </row>
    <row r="155" spans="1:17">
      <c r="A155" s="14">
        <v>151</v>
      </c>
      <c r="B155" s="15" t="s">
        <v>229</v>
      </c>
      <c r="C155" s="16">
        <f>'Медикаменты Сентябрь'!L157</f>
        <v>15</v>
      </c>
      <c r="D155" s="17"/>
      <c r="E155" s="14"/>
      <c r="F155" s="18">
        <f>5</f>
        <v>5</v>
      </c>
      <c r="G155" s="19"/>
      <c r="H155" s="20"/>
      <c r="I155" s="21"/>
      <c r="J155" s="14"/>
      <c r="K155" s="14">
        <f t="shared" si="4"/>
        <v>5</v>
      </c>
      <c r="L155" s="16">
        <f t="shared" si="5"/>
        <v>10</v>
      </c>
      <c r="M155" s="22">
        <v>44986</v>
      </c>
      <c r="N155" s="44" t="s">
        <v>45</v>
      </c>
      <c r="O155" s="23" t="s">
        <v>16</v>
      </c>
      <c r="P155" s="24" t="s">
        <v>17</v>
      </c>
      <c r="Q155" s="28" t="s">
        <v>230</v>
      </c>
    </row>
    <row r="156" spans="1:17">
      <c r="A156" s="14">
        <v>152</v>
      </c>
      <c r="B156" s="15" t="s">
        <v>231</v>
      </c>
      <c r="C156" s="16">
        <f>'Медикаменты Сентябрь'!L158</f>
        <v>0</v>
      </c>
      <c r="D156" s="17"/>
      <c r="E156" s="14"/>
      <c r="F156" s="18"/>
      <c r="G156" s="19"/>
      <c r="H156" s="20"/>
      <c r="I156" s="21"/>
      <c r="J156" s="14"/>
      <c r="K156" s="14">
        <f t="shared" si="4"/>
        <v>0</v>
      </c>
      <c r="L156" s="16">
        <f t="shared" si="5"/>
        <v>0</v>
      </c>
      <c r="M156" s="22"/>
      <c r="N156" s="44"/>
      <c r="O156" s="23" t="s">
        <v>16</v>
      </c>
      <c r="P156" s="24"/>
      <c r="Q156" s="45"/>
    </row>
    <row r="157" spans="1:17">
      <c r="A157" s="14">
        <v>153</v>
      </c>
      <c r="B157" s="15" t="s">
        <v>232</v>
      </c>
      <c r="C157" s="16">
        <f>'Медикаменты Сентябрь'!L159</f>
        <v>0</v>
      </c>
      <c r="D157" s="17"/>
      <c r="E157" s="14"/>
      <c r="F157" s="18"/>
      <c r="G157" s="19"/>
      <c r="H157" s="20"/>
      <c r="I157" s="21"/>
      <c r="J157" s="14"/>
      <c r="K157" s="14">
        <f t="shared" si="4"/>
        <v>0</v>
      </c>
      <c r="L157" s="16">
        <f t="shared" si="5"/>
        <v>0</v>
      </c>
      <c r="M157" s="22"/>
      <c r="N157" s="44"/>
      <c r="O157" s="23" t="s">
        <v>16</v>
      </c>
      <c r="P157" s="24"/>
      <c r="Q157" s="45"/>
    </row>
    <row r="158" spans="1:17">
      <c r="A158" s="14">
        <v>154</v>
      </c>
      <c r="B158" s="15" t="s">
        <v>233</v>
      </c>
      <c r="C158" s="16">
        <f>'Медикаменты Сентябрь'!L160</f>
        <v>0</v>
      </c>
      <c r="D158" s="17"/>
      <c r="E158" s="14"/>
      <c r="F158" s="18"/>
      <c r="G158" s="19"/>
      <c r="H158" s="20"/>
      <c r="I158" s="21"/>
      <c r="J158" s="14"/>
      <c r="K158" s="14">
        <f t="shared" si="4"/>
        <v>0</v>
      </c>
      <c r="L158" s="16">
        <f t="shared" si="5"/>
        <v>0</v>
      </c>
      <c r="M158" s="22">
        <v>44287</v>
      </c>
      <c r="N158" s="44"/>
      <c r="O158" s="23" t="s">
        <v>16</v>
      </c>
      <c r="P158" s="24" t="s">
        <v>45</v>
      </c>
      <c r="Q158" s="28" t="s">
        <v>234</v>
      </c>
    </row>
    <row r="159" spans="1:17">
      <c r="A159" s="14">
        <v>155</v>
      </c>
      <c r="B159" s="15" t="s">
        <v>235</v>
      </c>
      <c r="C159" s="16">
        <f>'Медикаменты Сентябрь'!L161</f>
        <v>0</v>
      </c>
      <c r="D159" s="17"/>
      <c r="E159" s="14"/>
      <c r="F159" s="18"/>
      <c r="G159" s="19"/>
      <c r="H159" s="20"/>
      <c r="I159" s="21"/>
      <c r="J159" s="14"/>
      <c r="K159" s="14">
        <f t="shared" si="4"/>
        <v>0</v>
      </c>
      <c r="L159" s="16">
        <f t="shared" si="5"/>
        <v>0</v>
      </c>
      <c r="M159" s="22"/>
      <c r="N159" s="44"/>
      <c r="O159" s="23" t="s">
        <v>16</v>
      </c>
      <c r="P159" s="24"/>
      <c r="Q159" s="45"/>
    </row>
    <row r="160" spans="1:17">
      <c r="A160" s="14">
        <v>156</v>
      </c>
      <c r="B160" s="15" t="s">
        <v>236</v>
      </c>
      <c r="C160" s="16">
        <f>'Медикаменты Сентябрь'!L162</f>
        <v>67</v>
      </c>
      <c r="D160" s="17"/>
      <c r="E160" s="14"/>
      <c r="F160" s="18"/>
      <c r="G160" s="19"/>
      <c r="H160" s="20"/>
      <c r="I160" s="21"/>
      <c r="J160" s="14"/>
      <c r="K160" s="14">
        <f t="shared" si="4"/>
        <v>0</v>
      </c>
      <c r="L160" s="16">
        <f t="shared" si="5"/>
        <v>67</v>
      </c>
      <c r="M160" s="22">
        <v>44593</v>
      </c>
      <c r="N160" s="44" t="s">
        <v>45</v>
      </c>
      <c r="O160" s="23" t="s">
        <v>16</v>
      </c>
      <c r="P160" s="24" t="s">
        <v>45</v>
      </c>
      <c r="Q160" s="28" t="s">
        <v>237</v>
      </c>
    </row>
    <row r="161" spans="1:17">
      <c r="A161" s="14">
        <v>157</v>
      </c>
      <c r="B161" s="15" t="s">
        <v>238</v>
      </c>
      <c r="C161" s="16">
        <f>'Медикаменты Сентябрь'!L163</f>
        <v>0</v>
      </c>
      <c r="D161" s="17"/>
      <c r="E161" s="14"/>
      <c r="F161" s="18"/>
      <c r="G161" s="19"/>
      <c r="H161" s="20"/>
      <c r="I161" s="21"/>
      <c r="J161" s="14"/>
      <c r="K161" s="14">
        <f t="shared" si="4"/>
        <v>0</v>
      </c>
      <c r="L161" s="16">
        <f t="shared" si="5"/>
        <v>0</v>
      </c>
      <c r="M161" s="22"/>
      <c r="N161" s="44"/>
      <c r="O161" s="23" t="s">
        <v>16</v>
      </c>
      <c r="P161" s="24"/>
      <c r="Q161" s="45"/>
    </row>
    <row r="162" spans="1:17">
      <c r="A162" s="14">
        <v>158</v>
      </c>
      <c r="B162" s="15" t="s">
        <v>239</v>
      </c>
      <c r="C162" s="16">
        <f>'Медикаменты Сентябрь'!L164</f>
        <v>16</v>
      </c>
      <c r="D162" s="17"/>
      <c r="E162" s="14"/>
      <c r="F162" s="18">
        <f>5+6</f>
        <v>11</v>
      </c>
      <c r="G162" s="19"/>
      <c r="H162" s="20"/>
      <c r="I162" s="21"/>
      <c r="J162" s="14"/>
      <c r="K162" s="14">
        <f t="shared" si="4"/>
        <v>11</v>
      </c>
      <c r="L162" s="16">
        <f t="shared" si="5"/>
        <v>5</v>
      </c>
      <c r="M162" s="22">
        <v>45413</v>
      </c>
      <c r="N162" s="44" t="s">
        <v>551</v>
      </c>
      <c r="O162" s="23" t="s">
        <v>16</v>
      </c>
      <c r="P162" s="24" t="s">
        <v>17</v>
      </c>
      <c r="Q162" s="28" t="s">
        <v>629</v>
      </c>
    </row>
    <row r="163" spans="1:17">
      <c r="A163" s="14">
        <v>159</v>
      </c>
      <c r="B163" s="15" t="s">
        <v>239</v>
      </c>
      <c r="C163" s="16">
        <f>'Медикаменты Сентябрь'!L165</f>
        <v>22</v>
      </c>
      <c r="D163" s="17"/>
      <c r="E163" s="14"/>
      <c r="F163" s="18"/>
      <c r="G163" s="19">
        <f>22</f>
        <v>22</v>
      </c>
      <c r="H163" s="20"/>
      <c r="I163" s="21"/>
      <c r="J163" s="14"/>
      <c r="K163" s="14">
        <f t="shared" si="4"/>
        <v>22</v>
      </c>
      <c r="L163" s="16">
        <f t="shared" si="5"/>
        <v>0</v>
      </c>
      <c r="M163" s="22">
        <v>45413</v>
      </c>
      <c r="N163" s="44" t="s">
        <v>551</v>
      </c>
      <c r="O163" s="23" t="s">
        <v>26</v>
      </c>
      <c r="P163" s="24" t="s">
        <v>17</v>
      </c>
      <c r="Q163" s="28" t="s">
        <v>629</v>
      </c>
    </row>
    <row r="164" spans="1:17">
      <c r="A164" s="14">
        <v>160</v>
      </c>
      <c r="B164" s="15" t="s">
        <v>240</v>
      </c>
      <c r="C164" s="16">
        <f>'Медикаменты Сентябрь'!L166</f>
        <v>70</v>
      </c>
      <c r="D164" s="17"/>
      <c r="E164" s="14"/>
      <c r="F164" s="18">
        <f>5+5</f>
        <v>10</v>
      </c>
      <c r="G164" s="19"/>
      <c r="H164" s="20"/>
      <c r="I164" s="21"/>
      <c r="J164" s="14"/>
      <c r="K164" s="14">
        <f t="shared" si="4"/>
        <v>10</v>
      </c>
      <c r="L164" s="16">
        <f t="shared" si="5"/>
        <v>60</v>
      </c>
      <c r="M164" s="22">
        <v>44652</v>
      </c>
      <c r="N164" s="44" t="s">
        <v>45</v>
      </c>
      <c r="O164" s="23" t="s">
        <v>16</v>
      </c>
      <c r="P164" s="24" t="s">
        <v>17</v>
      </c>
      <c r="Q164" s="28" t="s">
        <v>241</v>
      </c>
    </row>
    <row r="165" spans="1:17">
      <c r="A165" s="14">
        <v>161</v>
      </c>
      <c r="B165" s="15" t="s">
        <v>240</v>
      </c>
      <c r="C165" s="16"/>
      <c r="D165" s="17"/>
      <c r="E165" s="14">
        <f>150</f>
        <v>150</v>
      </c>
      <c r="F165" s="18"/>
      <c r="G165" s="19"/>
      <c r="H165" s="20"/>
      <c r="I165" s="21"/>
      <c r="J165" s="14"/>
      <c r="K165" s="14">
        <f t="shared" si="4"/>
        <v>0</v>
      </c>
      <c r="L165" s="16">
        <f t="shared" si="5"/>
        <v>150</v>
      </c>
      <c r="M165" s="22">
        <v>44866</v>
      </c>
      <c r="N165" s="44" t="s">
        <v>551</v>
      </c>
      <c r="O165" s="23" t="s">
        <v>16</v>
      </c>
      <c r="P165" s="24" t="s">
        <v>17</v>
      </c>
      <c r="Q165" s="28" t="s">
        <v>241</v>
      </c>
    </row>
    <row r="166" spans="1:17">
      <c r="A166" s="14">
        <v>162</v>
      </c>
      <c r="B166" s="15" t="s">
        <v>242</v>
      </c>
      <c r="C166" s="16">
        <f>'Медикаменты Сентябрь'!L167</f>
        <v>0</v>
      </c>
      <c r="D166" s="17"/>
      <c r="E166" s="14"/>
      <c r="F166" s="18"/>
      <c r="G166" s="19"/>
      <c r="H166" s="20"/>
      <c r="I166" s="21"/>
      <c r="J166" s="14"/>
      <c r="K166" s="14">
        <f t="shared" si="4"/>
        <v>0</v>
      </c>
      <c r="L166" s="16">
        <f t="shared" si="5"/>
        <v>0</v>
      </c>
      <c r="M166" s="22"/>
      <c r="N166" s="44"/>
      <c r="O166" s="23" t="s">
        <v>16</v>
      </c>
      <c r="P166" s="24"/>
      <c r="Q166" s="45"/>
    </row>
    <row r="167" spans="1:17" ht="26.25">
      <c r="A167" s="14">
        <v>163</v>
      </c>
      <c r="B167" s="15" t="s">
        <v>243</v>
      </c>
      <c r="C167" s="16">
        <f>'Медикаменты Сентябрь'!L168</f>
        <v>126</v>
      </c>
      <c r="D167" s="17"/>
      <c r="E167" s="14"/>
      <c r="F167" s="18">
        <f>3</f>
        <v>3</v>
      </c>
      <c r="G167" s="19">
        <f>2</f>
        <v>2</v>
      </c>
      <c r="H167" s="20"/>
      <c r="I167" s="21"/>
      <c r="J167" s="14"/>
      <c r="K167" s="14">
        <f t="shared" si="4"/>
        <v>5</v>
      </c>
      <c r="L167" s="16">
        <f t="shared" si="5"/>
        <v>121</v>
      </c>
      <c r="M167" s="22">
        <v>44621</v>
      </c>
      <c r="N167" s="44" t="s">
        <v>45</v>
      </c>
      <c r="O167" s="23" t="s">
        <v>16</v>
      </c>
      <c r="P167" s="24" t="s">
        <v>17</v>
      </c>
      <c r="Q167" s="28" t="s">
        <v>244</v>
      </c>
    </row>
    <row r="168" spans="1:17">
      <c r="A168" s="14">
        <v>164</v>
      </c>
      <c r="B168" s="15" t="s">
        <v>245</v>
      </c>
      <c r="C168" s="16">
        <f>'Медикаменты Сентябрь'!L169</f>
        <v>0</v>
      </c>
      <c r="D168" s="17"/>
      <c r="E168" s="14"/>
      <c r="F168" s="18"/>
      <c r="G168" s="19"/>
      <c r="H168" s="20"/>
      <c r="I168" s="21"/>
      <c r="J168" s="14"/>
      <c r="K168" s="14">
        <f t="shared" si="4"/>
        <v>0</v>
      </c>
      <c r="L168" s="16">
        <f t="shared" si="5"/>
        <v>0</v>
      </c>
      <c r="M168" s="22"/>
      <c r="N168" s="44"/>
      <c r="O168" s="23" t="s">
        <v>16</v>
      </c>
      <c r="P168" s="24"/>
      <c r="Q168" s="45"/>
    </row>
    <row r="169" spans="1:17">
      <c r="A169" s="14">
        <v>165</v>
      </c>
      <c r="B169" s="15" t="s">
        <v>246</v>
      </c>
      <c r="C169" s="16">
        <f>'Медикаменты Сентябрь'!L170</f>
        <v>0</v>
      </c>
      <c r="D169" s="17"/>
      <c r="E169" s="14"/>
      <c r="F169" s="18"/>
      <c r="G169" s="19"/>
      <c r="H169" s="20"/>
      <c r="I169" s="21"/>
      <c r="J169" s="14"/>
      <c r="K169" s="14">
        <f t="shared" si="4"/>
        <v>0</v>
      </c>
      <c r="L169" s="16">
        <f t="shared" si="5"/>
        <v>0</v>
      </c>
      <c r="M169" s="22"/>
      <c r="N169" s="44"/>
      <c r="O169" s="23" t="s">
        <v>16</v>
      </c>
      <c r="P169" s="24"/>
      <c r="Q169" s="45"/>
    </row>
    <row r="170" spans="1:17">
      <c r="A170" s="14">
        <v>166</v>
      </c>
      <c r="B170" s="15" t="s">
        <v>247</v>
      </c>
      <c r="C170" s="16">
        <f>'Медикаменты Сентябрь'!L171</f>
        <v>0</v>
      </c>
      <c r="D170" s="17"/>
      <c r="E170" s="14"/>
      <c r="F170" s="18"/>
      <c r="G170" s="19"/>
      <c r="H170" s="20"/>
      <c r="I170" s="21"/>
      <c r="J170" s="14"/>
      <c r="K170" s="14">
        <f t="shared" si="4"/>
        <v>0</v>
      </c>
      <c r="L170" s="16">
        <f t="shared" si="5"/>
        <v>0</v>
      </c>
      <c r="M170" s="22"/>
      <c r="N170" s="44"/>
      <c r="O170" s="23" t="s">
        <v>16</v>
      </c>
      <c r="P170" s="24"/>
      <c r="Q170" s="45"/>
    </row>
    <row r="171" spans="1:17">
      <c r="A171" s="14">
        <v>167</v>
      </c>
      <c r="B171" s="15" t="s">
        <v>248</v>
      </c>
      <c r="C171" s="16">
        <f>'Медикаменты Сентябрь'!L172</f>
        <v>0</v>
      </c>
      <c r="D171" s="17"/>
      <c r="E171" s="14"/>
      <c r="F171" s="18"/>
      <c r="G171" s="19"/>
      <c r="H171" s="20"/>
      <c r="I171" s="21"/>
      <c r="J171" s="14"/>
      <c r="K171" s="14">
        <f t="shared" si="4"/>
        <v>0</v>
      </c>
      <c r="L171" s="16">
        <f t="shared" si="5"/>
        <v>0</v>
      </c>
      <c r="M171" s="22"/>
      <c r="N171" s="44"/>
      <c r="O171" s="23" t="s">
        <v>16</v>
      </c>
      <c r="P171" s="24"/>
      <c r="Q171" s="45"/>
    </row>
    <row r="172" spans="1:17">
      <c r="A172" s="14">
        <v>168</v>
      </c>
      <c r="B172" s="15" t="s">
        <v>249</v>
      </c>
      <c r="C172" s="16">
        <f>'Медикаменты Сентябрь'!L173</f>
        <v>0</v>
      </c>
      <c r="D172" s="17"/>
      <c r="E172" s="14"/>
      <c r="F172" s="18"/>
      <c r="G172" s="19"/>
      <c r="H172" s="20"/>
      <c r="I172" s="21"/>
      <c r="J172" s="14"/>
      <c r="K172" s="14">
        <f t="shared" si="4"/>
        <v>0</v>
      </c>
      <c r="L172" s="16">
        <f t="shared" si="5"/>
        <v>0</v>
      </c>
      <c r="M172" s="22"/>
      <c r="N172" s="44"/>
      <c r="O172" s="23" t="s">
        <v>16</v>
      </c>
      <c r="P172" s="24"/>
      <c r="Q172" s="45"/>
    </row>
    <row r="173" spans="1:17">
      <c r="A173" s="14">
        <v>169</v>
      </c>
      <c r="B173" s="15" t="s">
        <v>250</v>
      </c>
      <c r="C173" s="16">
        <f>'Медикаменты Сентябрь'!L174</f>
        <v>0</v>
      </c>
      <c r="D173" s="17"/>
      <c r="E173" s="14"/>
      <c r="F173" s="18"/>
      <c r="G173" s="19"/>
      <c r="H173" s="20"/>
      <c r="I173" s="21"/>
      <c r="J173" s="14"/>
      <c r="K173" s="14">
        <f t="shared" si="4"/>
        <v>0</v>
      </c>
      <c r="L173" s="16">
        <f t="shared" si="5"/>
        <v>0</v>
      </c>
      <c r="M173" s="22"/>
      <c r="N173" s="44"/>
      <c r="O173" s="23" t="s">
        <v>16</v>
      </c>
      <c r="P173" s="24"/>
      <c r="Q173" s="45"/>
    </row>
    <row r="174" spans="1:17">
      <c r="A174" s="14">
        <v>170</v>
      </c>
      <c r="B174" s="15" t="s">
        <v>251</v>
      </c>
      <c r="C174" s="16">
        <f>'Медикаменты Сентябрь'!L175</f>
        <v>0</v>
      </c>
      <c r="D174" s="17"/>
      <c r="E174" s="14"/>
      <c r="F174" s="18"/>
      <c r="G174" s="19"/>
      <c r="H174" s="20"/>
      <c r="I174" s="21"/>
      <c r="J174" s="14"/>
      <c r="K174" s="14">
        <f t="shared" si="4"/>
        <v>0</v>
      </c>
      <c r="L174" s="16">
        <f t="shared" si="5"/>
        <v>0</v>
      </c>
      <c r="M174" s="22">
        <v>44682</v>
      </c>
      <c r="N174" s="44" t="s">
        <v>45</v>
      </c>
      <c r="O174" s="23" t="s">
        <v>16</v>
      </c>
      <c r="P174" s="24" t="s">
        <v>45</v>
      </c>
      <c r="Q174" s="28" t="s">
        <v>252</v>
      </c>
    </row>
    <row r="175" spans="1:17">
      <c r="A175" s="14">
        <v>171</v>
      </c>
      <c r="B175" s="15" t="s">
        <v>253</v>
      </c>
      <c r="C175" s="16">
        <f>'Медикаменты Сентябрь'!L176</f>
        <v>100</v>
      </c>
      <c r="D175" s="17"/>
      <c r="E175" s="14"/>
      <c r="F175" s="18"/>
      <c r="G175" s="19"/>
      <c r="H175" s="20"/>
      <c r="I175" s="21"/>
      <c r="J175" s="14"/>
      <c r="K175" s="14">
        <f t="shared" si="4"/>
        <v>0</v>
      </c>
      <c r="L175" s="16">
        <f t="shared" si="5"/>
        <v>100</v>
      </c>
      <c r="M175" s="22">
        <v>45047</v>
      </c>
      <c r="N175" s="44" t="s">
        <v>45</v>
      </c>
      <c r="O175" s="23" t="s">
        <v>16</v>
      </c>
      <c r="P175" s="24" t="s">
        <v>17</v>
      </c>
      <c r="Q175" s="28" t="s">
        <v>254</v>
      </c>
    </row>
    <row r="176" spans="1:17">
      <c r="A176" s="14">
        <v>172</v>
      </c>
      <c r="B176" s="15" t="s">
        <v>255</v>
      </c>
      <c r="C176" s="16">
        <f>'Медикаменты Сентябрь'!L177</f>
        <v>0</v>
      </c>
      <c r="D176" s="17"/>
      <c r="E176" s="14"/>
      <c r="F176" s="18"/>
      <c r="G176" s="19"/>
      <c r="H176" s="20"/>
      <c r="I176" s="21"/>
      <c r="J176" s="14"/>
      <c r="K176" s="14">
        <f t="shared" si="4"/>
        <v>0</v>
      </c>
      <c r="L176" s="16">
        <f t="shared" si="5"/>
        <v>0</v>
      </c>
      <c r="M176" s="22">
        <v>44562</v>
      </c>
      <c r="N176" s="44"/>
      <c r="O176" s="23" t="s">
        <v>26</v>
      </c>
      <c r="P176" s="24"/>
      <c r="Q176" s="28"/>
    </row>
    <row r="177" spans="1:17">
      <c r="A177" s="14">
        <v>173</v>
      </c>
      <c r="B177" s="15" t="s">
        <v>256</v>
      </c>
      <c r="C177" s="16">
        <f>'Медикаменты Сентябрь'!L178</f>
        <v>0</v>
      </c>
      <c r="D177" s="17"/>
      <c r="E177" s="14"/>
      <c r="F177" s="18"/>
      <c r="G177" s="19"/>
      <c r="H177" s="20"/>
      <c r="I177" s="21"/>
      <c r="J177" s="14"/>
      <c r="K177" s="14">
        <f t="shared" si="4"/>
        <v>0</v>
      </c>
      <c r="L177" s="16">
        <f t="shared" si="5"/>
        <v>0</v>
      </c>
      <c r="M177" s="22">
        <v>44044</v>
      </c>
      <c r="N177" s="44"/>
      <c r="O177" s="23" t="s">
        <v>16</v>
      </c>
      <c r="P177" s="24"/>
      <c r="Q177" s="45"/>
    </row>
    <row r="178" spans="1:17">
      <c r="A178" s="14">
        <v>174</v>
      </c>
      <c r="B178" s="15" t="s">
        <v>257</v>
      </c>
      <c r="C178" s="16">
        <f>'Медикаменты Сентябрь'!L179</f>
        <v>25</v>
      </c>
      <c r="D178" s="17"/>
      <c r="E178" s="14"/>
      <c r="F178" s="18">
        <f>5+5</f>
        <v>10</v>
      </c>
      <c r="G178" s="19"/>
      <c r="H178" s="20"/>
      <c r="I178" s="21"/>
      <c r="J178" s="14"/>
      <c r="K178" s="14">
        <f t="shared" si="4"/>
        <v>10</v>
      </c>
      <c r="L178" s="16">
        <f t="shared" si="5"/>
        <v>15</v>
      </c>
      <c r="M178" s="22">
        <v>45108</v>
      </c>
      <c r="N178" s="44" t="s">
        <v>551</v>
      </c>
      <c r="O178" s="23" t="s">
        <v>16</v>
      </c>
      <c r="P178" s="24" t="s">
        <v>17</v>
      </c>
      <c r="Q178" s="28" t="s">
        <v>258</v>
      </c>
    </row>
    <row r="179" spans="1:17">
      <c r="A179" s="14">
        <v>175</v>
      </c>
      <c r="B179" s="15" t="s">
        <v>259</v>
      </c>
      <c r="C179" s="16">
        <f>'Медикаменты Сентябрь'!L180</f>
        <v>0</v>
      </c>
      <c r="D179" s="17"/>
      <c r="E179" s="14"/>
      <c r="F179" s="18"/>
      <c r="G179" s="19"/>
      <c r="H179" s="20"/>
      <c r="I179" s="21"/>
      <c r="J179" s="14"/>
      <c r="K179" s="14">
        <f t="shared" si="4"/>
        <v>0</v>
      </c>
      <c r="L179" s="16">
        <f t="shared" si="5"/>
        <v>0</v>
      </c>
      <c r="M179" s="22">
        <v>44531</v>
      </c>
      <c r="N179" s="44" t="s">
        <v>45</v>
      </c>
      <c r="O179" s="23" t="s">
        <v>16</v>
      </c>
      <c r="P179" s="24" t="s">
        <v>17</v>
      </c>
      <c r="Q179" s="28" t="s">
        <v>260</v>
      </c>
    </row>
    <row r="180" spans="1:17">
      <c r="A180" s="14">
        <v>176</v>
      </c>
      <c r="B180" s="15" t="s">
        <v>261</v>
      </c>
      <c r="C180" s="16">
        <f>'Медикаменты Сентябрь'!L181</f>
        <v>120</v>
      </c>
      <c r="D180" s="17"/>
      <c r="E180" s="14"/>
      <c r="F180" s="18">
        <f>5+10+5+15</f>
        <v>35</v>
      </c>
      <c r="G180" s="19"/>
      <c r="H180" s="20"/>
      <c r="I180" s="21"/>
      <c r="J180" s="14"/>
      <c r="K180" s="14">
        <f t="shared" si="4"/>
        <v>35</v>
      </c>
      <c r="L180" s="16">
        <f t="shared" si="5"/>
        <v>85</v>
      </c>
      <c r="M180" s="22">
        <v>45078</v>
      </c>
      <c r="N180" s="44" t="s">
        <v>551</v>
      </c>
      <c r="O180" s="23" t="s">
        <v>16</v>
      </c>
      <c r="P180" s="24" t="s">
        <v>17</v>
      </c>
      <c r="Q180" s="28" t="s">
        <v>262</v>
      </c>
    </row>
    <row r="181" spans="1:17">
      <c r="A181" s="14">
        <v>177</v>
      </c>
      <c r="B181" s="15" t="s">
        <v>261</v>
      </c>
      <c r="C181" s="16">
        <f>'Медикаменты Сентябрь'!L182</f>
        <v>50</v>
      </c>
      <c r="D181" s="17"/>
      <c r="E181" s="14"/>
      <c r="F181" s="18"/>
      <c r="G181" s="19">
        <f>50</f>
        <v>50</v>
      </c>
      <c r="H181" s="20"/>
      <c r="I181" s="21"/>
      <c r="J181" s="14"/>
      <c r="K181" s="14">
        <f t="shared" si="4"/>
        <v>50</v>
      </c>
      <c r="L181" s="16">
        <f t="shared" si="5"/>
        <v>0</v>
      </c>
      <c r="M181" s="22">
        <v>45078</v>
      </c>
      <c r="N181" s="44" t="s">
        <v>551</v>
      </c>
      <c r="O181" s="23" t="s">
        <v>26</v>
      </c>
      <c r="P181" s="24" t="s">
        <v>17</v>
      </c>
      <c r="Q181" s="28" t="s">
        <v>262</v>
      </c>
    </row>
    <row r="182" spans="1:17">
      <c r="A182" s="14">
        <v>178</v>
      </c>
      <c r="B182" s="15" t="s">
        <v>263</v>
      </c>
      <c r="C182" s="16">
        <f>'Медикаменты Сентябрь'!L183</f>
        <v>0</v>
      </c>
      <c r="D182" s="17"/>
      <c r="E182" s="14"/>
      <c r="F182" s="18"/>
      <c r="G182" s="19"/>
      <c r="H182" s="20"/>
      <c r="I182" s="21"/>
      <c r="J182" s="14"/>
      <c r="K182" s="14">
        <f t="shared" si="4"/>
        <v>0</v>
      </c>
      <c r="L182" s="16">
        <f t="shared" si="5"/>
        <v>0</v>
      </c>
      <c r="M182" s="22"/>
      <c r="N182" s="44"/>
      <c r="O182" s="23" t="s">
        <v>16</v>
      </c>
      <c r="P182" s="24"/>
      <c r="Q182" s="45"/>
    </row>
    <row r="183" spans="1:17">
      <c r="A183" s="14">
        <v>179</v>
      </c>
      <c r="B183" s="15" t="s">
        <v>264</v>
      </c>
      <c r="C183" s="16">
        <f>'Медикаменты Сентябрь'!L184</f>
        <v>0</v>
      </c>
      <c r="D183" s="17"/>
      <c r="E183" s="14"/>
      <c r="F183" s="18"/>
      <c r="G183" s="19"/>
      <c r="H183" s="20"/>
      <c r="I183" s="21"/>
      <c r="J183" s="14"/>
      <c r="K183" s="14">
        <f t="shared" si="4"/>
        <v>0</v>
      </c>
      <c r="L183" s="16">
        <f t="shared" si="5"/>
        <v>0</v>
      </c>
      <c r="M183" s="22"/>
      <c r="N183" s="44"/>
      <c r="O183" s="23" t="s">
        <v>16</v>
      </c>
      <c r="P183" s="24"/>
      <c r="Q183" s="45"/>
    </row>
    <row r="184" spans="1:17">
      <c r="A184" s="14">
        <v>180</v>
      </c>
      <c r="B184" s="15" t="s">
        <v>265</v>
      </c>
      <c r="C184" s="16">
        <f>'Медикаменты Сентябрь'!L185</f>
        <v>0</v>
      </c>
      <c r="D184" s="17"/>
      <c r="E184" s="14"/>
      <c r="F184" s="18"/>
      <c r="G184" s="19"/>
      <c r="H184" s="20"/>
      <c r="I184" s="21"/>
      <c r="J184" s="14"/>
      <c r="K184" s="14">
        <f t="shared" si="4"/>
        <v>0</v>
      </c>
      <c r="L184" s="16">
        <f t="shared" si="5"/>
        <v>0</v>
      </c>
      <c r="M184" s="22"/>
      <c r="N184" s="44"/>
      <c r="O184" s="23" t="s">
        <v>16</v>
      </c>
      <c r="P184" s="24"/>
      <c r="Q184" s="45"/>
    </row>
    <row r="185" spans="1:17">
      <c r="A185" s="14">
        <v>181</v>
      </c>
      <c r="B185" s="15" t="s">
        <v>266</v>
      </c>
      <c r="C185" s="16">
        <f>'Медикаменты Сентябрь'!L186</f>
        <v>0</v>
      </c>
      <c r="D185" s="17"/>
      <c r="E185" s="14"/>
      <c r="F185" s="18"/>
      <c r="G185" s="19"/>
      <c r="H185" s="20"/>
      <c r="I185" s="21"/>
      <c r="J185" s="14"/>
      <c r="K185" s="14">
        <f t="shared" si="4"/>
        <v>0</v>
      </c>
      <c r="L185" s="16">
        <f t="shared" si="5"/>
        <v>0</v>
      </c>
      <c r="M185" s="22"/>
      <c r="N185" s="44"/>
      <c r="O185" s="23" t="s">
        <v>16</v>
      </c>
      <c r="P185" s="24"/>
      <c r="Q185" s="45"/>
    </row>
    <row r="186" spans="1:17">
      <c r="A186" s="14">
        <v>182</v>
      </c>
      <c r="B186" s="15" t="s">
        <v>267</v>
      </c>
      <c r="C186" s="16">
        <f>'Медикаменты Сентябрь'!L187</f>
        <v>0</v>
      </c>
      <c r="D186" s="17"/>
      <c r="E186" s="14"/>
      <c r="F186" s="18"/>
      <c r="G186" s="19"/>
      <c r="H186" s="20"/>
      <c r="I186" s="21"/>
      <c r="J186" s="14"/>
      <c r="K186" s="14">
        <f t="shared" si="4"/>
        <v>0</v>
      </c>
      <c r="L186" s="16">
        <f t="shared" si="5"/>
        <v>0</v>
      </c>
      <c r="M186" s="22"/>
      <c r="N186" s="44"/>
      <c r="O186" s="23" t="s">
        <v>16</v>
      </c>
      <c r="P186" s="24"/>
      <c r="Q186" s="45"/>
    </row>
    <row r="187" spans="1:17">
      <c r="A187" s="14">
        <v>183</v>
      </c>
      <c r="B187" s="15" t="s">
        <v>268</v>
      </c>
      <c r="C187" s="16">
        <f>'Медикаменты Сентябрь'!L188</f>
        <v>30</v>
      </c>
      <c r="D187" s="17"/>
      <c r="E187" s="14"/>
      <c r="F187" s="18">
        <f>5+5</f>
        <v>10</v>
      </c>
      <c r="G187" s="19"/>
      <c r="H187" s="20"/>
      <c r="I187" s="21"/>
      <c r="J187" s="14"/>
      <c r="K187" s="14">
        <f t="shared" si="4"/>
        <v>10</v>
      </c>
      <c r="L187" s="16">
        <f t="shared" si="5"/>
        <v>20</v>
      </c>
      <c r="M187" s="22">
        <v>45748</v>
      </c>
      <c r="N187" s="44" t="s">
        <v>551</v>
      </c>
      <c r="O187" s="23" t="s">
        <v>16</v>
      </c>
      <c r="P187" s="24" t="s">
        <v>17</v>
      </c>
      <c r="Q187" s="28" t="s">
        <v>269</v>
      </c>
    </row>
    <row r="188" spans="1:17">
      <c r="A188" s="14">
        <v>184</v>
      </c>
      <c r="B188" s="15" t="s">
        <v>268</v>
      </c>
      <c r="C188" s="16">
        <f>'Медикаменты Сентябрь'!L189</f>
        <v>20</v>
      </c>
      <c r="D188" s="17"/>
      <c r="E188" s="14"/>
      <c r="F188" s="18"/>
      <c r="G188" s="19">
        <f>20</f>
        <v>20</v>
      </c>
      <c r="H188" s="20"/>
      <c r="I188" s="21"/>
      <c r="J188" s="14"/>
      <c r="K188" s="14">
        <f t="shared" si="4"/>
        <v>20</v>
      </c>
      <c r="L188" s="16">
        <f t="shared" si="5"/>
        <v>0</v>
      </c>
      <c r="M188" s="22">
        <v>45748</v>
      </c>
      <c r="N188" s="44" t="s">
        <v>551</v>
      </c>
      <c r="O188" s="23" t="s">
        <v>26</v>
      </c>
      <c r="P188" s="24" t="s">
        <v>17</v>
      </c>
      <c r="Q188" s="28" t="s">
        <v>269</v>
      </c>
    </row>
    <row r="189" spans="1:17">
      <c r="A189" s="14">
        <v>185</v>
      </c>
      <c r="B189" s="15" t="s">
        <v>601</v>
      </c>
      <c r="C189" s="16">
        <f>'Медикаменты Сентябрь'!L190</f>
        <v>70</v>
      </c>
      <c r="D189" s="17"/>
      <c r="E189" s="14"/>
      <c r="F189" s="18">
        <f>7+5</f>
        <v>12</v>
      </c>
      <c r="G189" s="19"/>
      <c r="H189" s="20"/>
      <c r="I189" s="21"/>
      <c r="J189" s="14"/>
      <c r="K189" s="14">
        <f t="shared" si="4"/>
        <v>12</v>
      </c>
      <c r="L189" s="16">
        <f t="shared" si="5"/>
        <v>58</v>
      </c>
      <c r="M189" s="22">
        <v>45383</v>
      </c>
      <c r="N189" s="44" t="s">
        <v>551</v>
      </c>
      <c r="O189" s="23" t="s">
        <v>16</v>
      </c>
      <c r="P189" s="24" t="s">
        <v>17</v>
      </c>
      <c r="Q189" s="28" t="s">
        <v>602</v>
      </c>
    </row>
    <row r="190" spans="1:17">
      <c r="A190" s="14">
        <v>186</v>
      </c>
      <c r="B190" s="15" t="s">
        <v>270</v>
      </c>
      <c r="C190" s="16">
        <f>'Медикаменты Сентябрь'!L191</f>
        <v>0</v>
      </c>
      <c r="D190" s="17"/>
      <c r="E190" s="14"/>
      <c r="F190" s="18"/>
      <c r="G190" s="19"/>
      <c r="H190" s="20"/>
      <c r="I190" s="21"/>
      <c r="J190" s="14"/>
      <c r="K190" s="14">
        <f t="shared" si="4"/>
        <v>0</v>
      </c>
      <c r="L190" s="16">
        <f t="shared" si="5"/>
        <v>0</v>
      </c>
      <c r="M190" s="22">
        <v>44075</v>
      </c>
      <c r="N190" s="44"/>
      <c r="O190" s="23" t="s">
        <v>16</v>
      </c>
      <c r="P190" s="24"/>
      <c r="Q190" s="28" t="s">
        <v>271</v>
      </c>
    </row>
    <row r="191" spans="1:17">
      <c r="A191" s="14">
        <v>187</v>
      </c>
      <c r="B191" s="15" t="s">
        <v>630</v>
      </c>
      <c r="C191" s="16">
        <f>'Медикаменты Сентябрь'!L192</f>
        <v>0</v>
      </c>
      <c r="D191" s="17"/>
      <c r="E191" s="14"/>
      <c r="F191" s="18"/>
      <c r="G191" s="19"/>
      <c r="H191" s="20"/>
      <c r="I191" s="21"/>
      <c r="J191" s="14"/>
      <c r="K191" s="14">
        <f t="shared" si="4"/>
        <v>0</v>
      </c>
      <c r="L191" s="16">
        <f t="shared" si="5"/>
        <v>0</v>
      </c>
      <c r="M191" s="22">
        <v>45352</v>
      </c>
      <c r="N191" s="44" t="s">
        <v>551</v>
      </c>
      <c r="O191" s="23" t="s">
        <v>16</v>
      </c>
      <c r="P191" s="24" t="s">
        <v>17</v>
      </c>
      <c r="Q191" s="28" t="s">
        <v>273</v>
      </c>
    </row>
    <row r="192" spans="1:17">
      <c r="A192" s="14">
        <v>188</v>
      </c>
      <c r="B192" s="15" t="s">
        <v>647</v>
      </c>
      <c r="C192" s="16">
        <f>'Медикаменты Сентябрь'!L193</f>
        <v>150</v>
      </c>
      <c r="D192" s="17"/>
      <c r="E192" s="14"/>
      <c r="F192" s="18">
        <f>3</f>
        <v>3</v>
      </c>
      <c r="G192" s="19"/>
      <c r="H192" s="20"/>
      <c r="I192" s="21"/>
      <c r="J192" s="14"/>
      <c r="K192" s="14">
        <f t="shared" si="4"/>
        <v>3</v>
      </c>
      <c r="L192" s="16">
        <f t="shared" si="5"/>
        <v>147</v>
      </c>
      <c r="M192" s="22">
        <v>45323</v>
      </c>
      <c r="N192" s="44" t="s">
        <v>551</v>
      </c>
      <c r="O192" s="23" t="s">
        <v>16</v>
      </c>
      <c r="P192" s="24" t="s">
        <v>17</v>
      </c>
      <c r="Q192" s="28" t="s">
        <v>648</v>
      </c>
    </row>
    <row r="193" spans="1:17">
      <c r="A193" s="14">
        <v>189</v>
      </c>
      <c r="B193" s="15" t="s">
        <v>274</v>
      </c>
      <c r="C193" s="16">
        <f>'Медикаменты Сентябрь'!L194</f>
        <v>570</v>
      </c>
      <c r="D193" s="17"/>
      <c r="E193" s="14"/>
      <c r="F193" s="18"/>
      <c r="G193" s="19"/>
      <c r="H193" s="20"/>
      <c r="I193" s="21"/>
      <c r="J193" s="14"/>
      <c r="K193" s="14">
        <f t="shared" si="4"/>
        <v>0</v>
      </c>
      <c r="L193" s="16">
        <f t="shared" si="5"/>
        <v>570</v>
      </c>
      <c r="M193" s="22">
        <v>45931</v>
      </c>
      <c r="N193" s="44" t="s">
        <v>551</v>
      </c>
      <c r="O193" s="23" t="s">
        <v>16</v>
      </c>
      <c r="P193" s="24" t="s">
        <v>17</v>
      </c>
      <c r="Q193" s="28" t="s">
        <v>275</v>
      </c>
    </row>
    <row r="194" spans="1:17">
      <c r="A194" s="14">
        <v>190</v>
      </c>
      <c r="B194" s="15" t="s">
        <v>276</v>
      </c>
      <c r="C194" s="16">
        <f>'Медикаменты Сентябрь'!L195</f>
        <v>0</v>
      </c>
      <c r="D194" s="17"/>
      <c r="E194" s="14"/>
      <c r="F194" s="18"/>
      <c r="G194" s="19"/>
      <c r="H194" s="20"/>
      <c r="I194" s="21"/>
      <c r="J194" s="14"/>
      <c r="K194" s="14">
        <f t="shared" si="4"/>
        <v>0</v>
      </c>
      <c r="L194" s="16">
        <f t="shared" si="5"/>
        <v>0</v>
      </c>
      <c r="M194" s="22"/>
      <c r="N194" s="44"/>
      <c r="O194" s="23" t="s">
        <v>16</v>
      </c>
      <c r="P194" s="24"/>
      <c r="Q194" s="45"/>
    </row>
    <row r="195" spans="1:17">
      <c r="A195" s="14">
        <v>191</v>
      </c>
      <c r="B195" s="15" t="s">
        <v>277</v>
      </c>
      <c r="C195" s="16">
        <f>'Медикаменты Сентябрь'!L196</f>
        <v>12</v>
      </c>
      <c r="D195" s="17"/>
      <c r="E195" s="14"/>
      <c r="F195" s="18">
        <f>5</f>
        <v>5</v>
      </c>
      <c r="G195" s="19"/>
      <c r="H195" s="20"/>
      <c r="I195" s="21"/>
      <c r="J195" s="14"/>
      <c r="K195" s="14">
        <f t="shared" si="4"/>
        <v>5</v>
      </c>
      <c r="L195" s="16">
        <f t="shared" si="5"/>
        <v>7</v>
      </c>
      <c r="M195" s="22">
        <v>44621</v>
      </c>
      <c r="N195" s="44" t="s">
        <v>45</v>
      </c>
      <c r="O195" s="23" t="s">
        <v>16</v>
      </c>
      <c r="P195" s="24" t="s">
        <v>17</v>
      </c>
      <c r="Q195" s="28" t="s">
        <v>278</v>
      </c>
    </row>
    <row r="196" spans="1:17">
      <c r="A196" s="14">
        <v>192</v>
      </c>
      <c r="B196" s="15" t="s">
        <v>279</v>
      </c>
      <c r="C196" s="16">
        <f>'Медикаменты Сентябрь'!L197</f>
        <v>0</v>
      </c>
      <c r="D196" s="17"/>
      <c r="E196" s="14"/>
      <c r="F196" s="18"/>
      <c r="G196" s="19"/>
      <c r="H196" s="20"/>
      <c r="I196" s="21"/>
      <c r="J196" s="14"/>
      <c r="K196" s="14">
        <f t="shared" si="4"/>
        <v>0</v>
      </c>
      <c r="L196" s="16">
        <f t="shared" si="5"/>
        <v>0</v>
      </c>
      <c r="M196" s="22">
        <v>44378</v>
      </c>
      <c r="N196" s="44" t="s">
        <v>45</v>
      </c>
      <c r="O196" s="23" t="s">
        <v>16</v>
      </c>
      <c r="P196" s="24" t="s">
        <v>17</v>
      </c>
      <c r="Q196" s="28" t="s">
        <v>280</v>
      </c>
    </row>
    <row r="197" spans="1:17">
      <c r="A197" s="14">
        <v>193</v>
      </c>
      <c r="B197" s="15" t="s">
        <v>281</v>
      </c>
      <c r="C197" s="16">
        <f>'Медикаменты Сентябрь'!L198</f>
        <v>67</v>
      </c>
      <c r="D197" s="17"/>
      <c r="E197" s="14"/>
      <c r="F197" s="18"/>
      <c r="G197" s="19"/>
      <c r="H197" s="20"/>
      <c r="I197" s="21"/>
      <c r="J197" s="14"/>
      <c r="K197" s="14">
        <f t="shared" ref="K197:K260" si="6">SUM(F197:J197)</f>
        <v>0</v>
      </c>
      <c r="L197" s="16">
        <f t="shared" ref="L197:L260" si="7">(C197+E197)-K197</f>
        <v>67</v>
      </c>
      <c r="M197" s="22">
        <v>45200</v>
      </c>
      <c r="N197" s="44" t="s">
        <v>551</v>
      </c>
      <c r="O197" s="23" t="s">
        <v>16</v>
      </c>
      <c r="P197" s="24" t="s">
        <v>17</v>
      </c>
      <c r="Q197" s="28" t="s">
        <v>282</v>
      </c>
    </row>
    <row r="198" spans="1:17">
      <c r="A198" s="14">
        <v>194</v>
      </c>
      <c r="B198" s="15" t="s">
        <v>553</v>
      </c>
      <c r="C198" s="16">
        <f>'Медикаменты Сентябрь'!L199</f>
        <v>2</v>
      </c>
      <c r="D198" s="17"/>
      <c r="E198" s="14"/>
      <c r="F198" s="18">
        <f>2</f>
        <v>2</v>
      </c>
      <c r="G198" s="19"/>
      <c r="H198" s="20"/>
      <c r="I198" s="21"/>
      <c r="J198" s="14"/>
      <c r="K198" s="14">
        <f t="shared" si="6"/>
        <v>2</v>
      </c>
      <c r="L198" s="16">
        <f t="shared" si="7"/>
        <v>0</v>
      </c>
      <c r="M198" s="22">
        <v>44835</v>
      </c>
      <c r="N198" s="44" t="s">
        <v>45</v>
      </c>
      <c r="O198" s="23" t="s">
        <v>16</v>
      </c>
      <c r="P198" s="24" t="s">
        <v>17</v>
      </c>
      <c r="Q198" s="28" t="s">
        <v>554</v>
      </c>
    </row>
    <row r="199" spans="1:17">
      <c r="A199" s="14">
        <v>195</v>
      </c>
      <c r="B199" s="15" t="s">
        <v>283</v>
      </c>
      <c r="C199" s="16">
        <f>'Медикаменты Сентябрь'!L200</f>
        <v>50</v>
      </c>
      <c r="D199" s="17"/>
      <c r="E199" s="14"/>
      <c r="F199" s="18"/>
      <c r="G199" s="19"/>
      <c r="H199" s="20"/>
      <c r="I199" s="21"/>
      <c r="J199" s="14"/>
      <c r="K199" s="14">
        <f t="shared" si="6"/>
        <v>0</v>
      </c>
      <c r="L199" s="16">
        <f t="shared" si="7"/>
        <v>50</v>
      </c>
      <c r="M199" s="22">
        <v>44773</v>
      </c>
      <c r="N199" s="44" t="s">
        <v>551</v>
      </c>
      <c r="O199" s="23" t="s">
        <v>16</v>
      </c>
      <c r="P199" s="24" t="s">
        <v>17</v>
      </c>
      <c r="Q199" s="28" t="s">
        <v>284</v>
      </c>
    </row>
    <row r="200" spans="1:17">
      <c r="A200" s="14">
        <v>196</v>
      </c>
      <c r="B200" s="15" t="s">
        <v>631</v>
      </c>
      <c r="C200" s="16">
        <f>'Медикаменты Сентябрь'!L201</f>
        <v>2</v>
      </c>
      <c r="D200" s="17"/>
      <c r="E200" s="14"/>
      <c r="F200" s="18"/>
      <c r="G200" s="19"/>
      <c r="H200" s="20"/>
      <c r="I200" s="21"/>
      <c r="J200" s="14"/>
      <c r="K200" s="14">
        <f t="shared" si="6"/>
        <v>0</v>
      </c>
      <c r="L200" s="16">
        <f t="shared" si="7"/>
        <v>2</v>
      </c>
      <c r="M200" s="22">
        <v>45170</v>
      </c>
      <c r="N200" s="44" t="s">
        <v>45</v>
      </c>
      <c r="O200" s="23" t="s">
        <v>16</v>
      </c>
      <c r="P200" s="24" t="s">
        <v>17</v>
      </c>
      <c r="Q200" s="28" t="s">
        <v>632</v>
      </c>
    </row>
    <row r="201" spans="1:17">
      <c r="A201" s="14">
        <v>197</v>
      </c>
      <c r="B201" s="15" t="s">
        <v>649</v>
      </c>
      <c r="C201" s="16">
        <f>'Медикаменты Сентябрь'!L202</f>
        <v>22</v>
      </c>
      <c r="D201" s="17"/>
      <c r="E201" s="14"/>
      <c r="F201" s="18"/>
      <c r="G201" s="19"/>
      <c r="H201" s="20"/>
      <c r="I201" s="21"/>
      <c r="J201" s="14"/>
      <c r="K201" s="14">
        <f t="shared" si="6"/>
        <v>0</v>
      </c>
      <c r="L201" s="16">
        <f t="shared" si="7"/>
        <v>22</v>
      </c>
      <c r="M201" s="22">
        <v>44896</v>
      </c>
      <c r="N201" s="44" t="s">
        <v>551</v>
      </c>
      <c r="O201" s="23" t="s">
        <v>16</v>
      </c>
      <c r="P201" s="24" t="s">
        <v>17</v>
      </c>
      <c r="Q201" s="28" t="s">
        <v>650</v>
      </c>
    </row>
    <row r="202" spans="1:17">
      <c r="A202" s="14">
        <v>198</v>
      </c>
      <c r="B202" s="15" t="s">
        <v>651</v>
      </c>
      <c r="C202" s="16">
        <f>'Медикаменты Сентябрь'!L203</f>
        <v>22</v>
      </c>
      <c r="D202" s="17"/>
      <c r="E202" s="14"/>
      <c r="F202" s="18"/>
      <c r="G202" s="19"/>
      <c r="H202" s="20"/>
      <c r="I202" s="21"/>
      <c r="J202" s="14"/>
      <c r="K202" s="14">
        <f t="shared" si="6"/>
        <v>0</v>
      </c>
      <c r="L202" s="16">
        <f t="shared" si="7"/>
        <v>22</v>
      </c>
      <c r="M202" s="22">
        <v>45627</v>
      </c>
      <c r="N202" s="44" t="s">
        <v>551</v>
      </c>
      <c r="O202" s="23" t="s">
        <v>16</v>
      </c>
      <c r="P202" s="24" t="s">
        <v>17</v>
      </c>
      <c r="Q202" s="28" t="s">
        <v>650</v>
      </c>
    </row>
    <row r="203" spans="1:17">
      <c r="A203" s="14">
        <v>199</v>
      </c>
      <c r="B203" s="15" t="s">
        <v>603</v>
      </c>
      <c r="C203" s="16">
        <f>'Медикаменты Сентябрь'!L204</f>
        <v>50</v>
      </c>
      <c r="D203" s="17"/>
      <c r="E203" s="14"/>
      <c r="F203" s="18"/>
      <c r="G203" s="19"/>
      <c r="H203" s="20"/>
      <c r="I203" s="21"/>
      <c r="J203" s="14"/>
      <c r="K203" s="14">
        <f t="shared" si="6"/>
        <v>0</v>
      </c>
      <c r="L203" s="16">
        <f t="shared" si="7"/>
        <v>50</v>
      </c>
      <c r="M203" s="22">
        <v>44896</v>
      </c>
      <c r="N203" s="44" t="s">
        <v>551</v>
      </c>
      <c r="O203" s="23" t="s">
        <v>16</v>
      </c>
      <c r="P203" s="24" t="s">
        <v>17</v>
      </c>
      <c r="Q203" s="28" t="s">
        <v>604</v>
      </c>
    </row>
    <row r="204" spans="1:17">
      <c r="A204" s="14">
        <v>200</v>
      </c>
      <c r="B204" s="15" t="s">
        <v>288</v>
      </c>
      <c r="C204" s="16">
        <f>'Медикаменты Сентябрь'!L205</f>
        <v>0</v>
      </c>
      <c r="D204" s="17"/>
      <c r="E204" s="14"/>
      <c r="F204" s="18"/>
      <c r="G204" s="19"/>
      <c r="H204" s="20"/>
      <c r="I204" s="21"/>
      <c r="J204" s="14"/>
      <c r="K204" s="14">
        <f t="shared" si="6"/>
        <v>0</v>
      </c>
      <c r="L204" s="16">
        <f t="shared" si="7"/>
        <v>0</v>
      </c>
      <c r="M204" s="22">
        <v>44105</v>
      </c>
      <c r="N204" s="44"/>
      <c r="O204" s="23" t="s">
        <v>16</v>
      </c>
      <c r="P204" s="24"/>
      <c r="Q204" s="28" t="s">
        <v>289</v>
      </c>
    </row>
    <row r="205" spans="1:17">
      <c r="A205" s="14">
        <v>201</v>
      </c>
      <c r="B205" s="15" t="s">
        <v>290</v>
      </c>
      <c r="C205" s="16">
        <f>'Медикаменты Сентябрь'!L206</f>
        <v>0</v>
      </c>
      <c r="D205" s="17"/>
      <c r="E205" s="14"/>
      <c r="F205" s="18"/>
      <c r="G205" s="19"/>
      <c r="H205" s="20"/>
      <c r="I205" s="21"/>
      <c r="J205" s="14"/>
      <c r="K205" s="14">
        <f t="shared" si="6"/>
        <v>0</v>
      </c>
      <c r="L205" s="16">
        <f t="shared" si="7"/>
        <v>0</v>
      </c>
      <c r="M205" s="22">
        <v>44317</v>
      </c>
      <c r="N205" s="44" t="s">
        <v>45</v>
      </c>
      <c r="O205" s="23" t="s">
        <v>16</v>
      </c>
      <c r="P205" s="24" t="s">
        <v>17</v>
      </c>
      <c r="Q205" s="28" t="s">
        <v>291</v>
      </c>
    </row>
    <row r="206" spans="1:17">
      <c r="A206" s="14">
        <v>202</v>
      </c>
      <c r="B206" s="15" t="s">
        <v>292</v>
      </c>
      <c r="C206" s="16">
        <f>'Медикаменты Сентябрь'!L207</f>
        <v>0</v>
      </c>
      <c r="D206" s="17"/>
      <c r="E206" s="14"/>
      <c r="F206" s="18"/>
      <c r="G206" s="19"/>
      <c r="H206" s="20"/>
      <c r="I206" s="21"/>
      <c r="J206" s="14"/>
      <c r="K206" s="14">
        <f t="shared" si="6"/>
        <v>0</v>
      </c>
      <c r="L206" s="16">
        <f t="shared" si="7"/>
        <v>0</v>
      </c>
      <c r="M206" s="22">
        <v>44197</v>
      </c>
      <c r="N206" s="44"/>
      <c r="O206" s="23" t="s">
        <v>16</v>
      </c>
      <c r="P206" s="24"/>
      <c r="Q206" s="28" t="s">
        <v>293</v>
      </c>
    </row>
    <row r="207" spans="1:17">
      <c r="A207" s="14">
        <v>203</v>
      </c>
      <c r="B207" s="15" t="s">
        <v>292</v>
      </c>
      <c r="C207" s="16">
        <f>'Медикаменты Сентябрь'!L208</f>
        <v>11</v>
      </c>
      <c r="D207" s="17"/>
      <c r="E207" s="14"/>
      <c r="F207" s="18">
        <f>5</f>
        <v>5</v>
      </c>
      <c r="G207" s="19"/>
      <c r="H207" s="20"/>
      <c r="I207" s="21"/>
      <c r="J207" s="14"/>
      <c r="K207" s="14">
        <f t="shared" si="6"/>
        <v>5</v>
      </c>
      <c r="L207" s="16">
        <f t="shared" si="7"/>
        <v>6</v>
      </c>
      <c r="M207" s="22">
        <v>44713</v>
      </c>
      <c r="N207" s="44" t="s">
        <v>45</v>
      </c>
      <c r="O207" s="23" t="s">
        <v>16</v>
      </c>
      <c r="P207" s="24" t="s">
        <v>45</v>
      </c>
      <c r="Q207" s="28" t="s">
        <v>293</v>
      </c>
    </row>
    <row r="208" spans="1:17">
      <c r="A208" s="14">
        <v>204</v>
      </c>
      <c r="B208" s="15" t="s">
        <v>294</v>
      </c>
      <c r="C208" s="16">
        <f>'Медикаменты Сентябрь'!L209</f>
        <v>0</v>
      </c>
      <c r="D208" s="17"/>
      <c r="E208" s="14"/>
      <c r="F208" s="18"/>
      <c r="G208" s="19"/>
      <c r="H208" s="20"/>
      <c r="I208" s="21"/>
      <c r="J208" s="14"/>
      <c r="K208" s="14">
        <f t="shared" si="6"/>
        <v>0</v>
      </c>
      <c r="L208" s="16">
        <f t="shared" si="7"/>
        <v>0</v>
      </c>
      <c r="M208" s="22">
        <v>44409</v>
      </c>
      <c r="N208" s="44" t="s">
        <v>45</v>
      </c>
      <c r="O208" s="23" t="s">
        <v>16</v>
      </c>
      <c r="P208" s="24" t="s">
        <v>45</v>
      </c>
      <c r="Q208" s="28" t="s">
        <v>295</v>
      </c>
    </row>
    <row r="209" spans="1:17">
      <c r="A209" s="14">
        <v>205</v>
      </c>
      <c r="B209" s="15" t="s">
        <v>296</v>
      </c>
      <c r="C209" s="16">
        <f>'Медикаменты Сентябрь'!L210</f>
        <v>0</v>
      </c>
      <c r="D209" s="17"/>
      <c r="E209" s="14"/>
      <c r="F209" s="18"/>
      <c r="G209" s="19"/>
      <c r="H209" s="20"/>
      <c r="I209" s="21"/>
      <c r="J209" s="14"/>
      <c r="K209" s="14">
        <f t="shared" si="6"/>
        <v>0</v>
      </c>
      <c r="L209" s="16">
        <f t="shared" si="7"/>
        <v>0</v>
      </c>
      <c r="M209" s="22"/>
      <c r="N209" s="44"/>
      <c r="O209" s="23" t="s">
        <v>16</v>
      </c>
      <c r="P209" s="24"/>
      <c r="Q209" s="45"/>
    </row>
    <row r="210" spans="1:17">
      <c r="A210" s="14">
        <v>206</v>
      </c>
      <c r="B210" s="15" t="s">
        <v>297</v>
      </c>
      <c r="C210" s="16">
        <f>'Медикаменты Сентябрь'!L211</f>
        <v>0</v>
      </c>
      <c r="D210" s="17"/>
      <c r="E210" s="14"/>
      <c r="F210" s="18"/>
      <c r="G210" s="19"/>
      <c r="H210" s="20"/>
      <c r="I210" s="21"/>
      <c r="J210" s="14"/>
      <c r="K210" s="14">
        <f t="shared" si="6"/>
        <v>0</v>
      </c>
      <c r="L210" s="16">
        <f t="shared" si="7"/>
        <v>0</v>
      </c>
      <c r="M210" s="22"/>
      <c r="N210" s="44"/>
      <c r="O210" s="23" t="s">
        <v>16</v>
      </c>
      <c r="P210" s="24"/>
      <c r="Q210" s="45"/>
    </row>
    <row r="211" spans="1:17" ht="25.5">
      <c r="A211" s="14">
        <v>207</v>
      </c>
      <c r="B211" s="15" t="s">
        <v>298</v>
      </c>
      <c r="C211" s="16">
        <f>'Медикаменты Сентябрь'!L212</f>
        <v>0</v>
      </c>
      <c r="D211" s="17"/>
      <c r="E211" s="14"/>
      <c r="F211" s="18"/>
      <c r="G211" s="19"/>
      <c r="H211" s="20"/>
      <c r="I211" s="21"/>
      <c r="J211" s="14"/>
      <c r="K211" s="14">
        <f t="shared" si="6"/>
        <v>0</v>
      </c>
      <c r="L211" s="16">
        <f t="shared" si="7"/>
        <v>0</v>
      </c>
      <c r="M211" s="22">
        <v>44593</v>
      </c>
      <c r="N211" s="44"/>
      <c r="O211" s="23" t="s">
        <v>26</v>
      </c>
      <c r="P211" s="24"/>
      <c r="Q211" s="28"/>
    </row>
    <row r="212" spans="1:17">
      <c r="A212" s="14">
        <v>208</v>
      </c>
      <c r="B212" s="15" t="s">
        <v>299</v>
      </c>
      <c r="C212" s="16">
        <f>'Медикаменты Сентябрь'!L213</f>
        <v>0</v>
      </c>
      <c r="D212" s="17"/>
      <c r="E212" s="14"/>
      <c r="F212" s="18"/>
      <c r="G212" s="19"/>
      <c r="H212" s="20"/>
      <c r="I212" s="21"/>
      <c r="J212" s="14"/>
      <c r="K212" s="14">
        <f t="shared" si="6"/>
        <v>0</v>
      </c>
      <c r="L212" s="16">
        <f t="shared" si="7"/>
        <v>0</v>
      </c>
      <c r="M212" s="22">
        <v>44256</v>
      </c>
      <c r="N212" s="44"/>
      <c r="O212" s="23" t="s">
        <v>16</v>
      </c>
      <c r="P212" s="24"/>
      <c r="Q212" s="28" t="s">
        <v>300</v>
      </c>
    </row>
    <row r="213" spans="1:17">
      <c r="A213" s="14">
        <v>209</v>
      </c>
      <c r="B213" s="15" t="s">
        <v>301</v>
      </c>
      <c r="C213" s="16">
        <f>'Медикаменты Сентябрь'!L214</f>
        <v>0</v>
      </c>
      <c r="D213" s="17"/>
      <c r="E213" s="14"/>
      <c r="F213" s="18"/>
      <c r="G213" s="19"/>
      <c r="H213" s="20"/>
      <c r="I213" s="21"/>
      <c r="J213" s="14"/>
      <c r="K213" s="14">
        <f t="shared" si="6"/>
        <v>0</v>
      </c>
      <c r="L213" s="16">
        <f t="shared" si="7"/>
        <v>0</v>
      </c>
      <c r="M213" s="22"/>
      <c r="N213" s="44"/>
      <c r="O213" s="23" t="s">
        <v>16</v>
      </c>
      <c r="P213" s="24"/>
      <c r="Q213" s="45"/>
    </row>
    <row r="214" spans="1:17">
      <c r="A214" s="14">
        <v>210</v>
      </c>
      <c r="B214" s="15" t="s">
        <v>559</v>
      </c>
      <c r="C214" s="16">
        <f>'Медикаменты Сентябрь'!L215</f>
        <v>55</v>
      </c>
      <c r="D214" s="17"/>
      <c r="E214" s="14"/>
      <c r="F214" s="18">
        <f>5</f>
        <v>5</v>
      </c>
      <c r="G214" s="19"/>
      <c r="H214" s="20"/>
      <c r="I214" s="21"/>
      <c r="J214" s="14"/>
      <c r="K214" s="14">
        <f t="shared" si="6"/>
        <v>5</v>
      </c>
      <c r="L214" s="16">
        <f t="shared" si="7"/>
        <v>50</v>
      </c>
      <c r="M214" s="22">
        <v>45323</v>
      </c>
      <c r="N214" s="44" t="s">
        <v>551</v>
      </c>
      <c r="O214" s="23" t="s">
        <v>16</v>
      </c>
      <c r="P214" s="24" t="s">
        <v>17</v>
      </c>
      <c r="Q214" s="28" t="s">
        <v>560</v>
      </c>
    </row>
    <row r="215" spans="1:17">
      <c r="A215" s="14">
        <v>211</v>
      </c>
      <c r="B215" s="15" t="s">
        <v>303</v>
      </c>
      <c r="C215" s="16">
        <f>'Медикаменты Сентябрь'!L216</f>
        <v>0</v>
      </c>
      <c r="D215" s="17"/>
      <c r="E215" s="14"/>
      <c r="F215" s="18"/>
      <c r="G215" s="19"/>
      <c r="H215" s="20"/>
      <c r="I215" s="21"/>
      <c r="J215" s="14"/>
      <c r="K215" s="14">
        <f t="shared" si="6"/>
        <v>0</v>
      </c>
      <c r="L215" s="16">
        <f t="shared" si="7"/>
        <v>0</v>
      </c>
      <c r="M215" s="22"/>
      <c r="N215" s="44"/>
      <c r="O215" s="23" t="s">
        <v>16</v>
      </c>
      <c r="P215" s="24"/>
      <c r="Q215" s="45"/>
    </row>
    <row r="216" spans="1:17">
      <c r="A216" s="14">
        <v>212</v>
      </c>
      <c r="B216" s="15" t="s">
        <v>304</v>
      </c>
      <c r="C216" s="16">
        <f>'Медикаменты Сентябрь'!L217</f>
        <v>0</v>
      </c>
      <c r="D216" s="17"/>
      <c r="E216" s="14"/>
      <c r="F216" s="18"/>
      <c r="G216" s="19"/>
      <c r="H216" s="20"/>
      <c r="I216" s="21"/>
      <c r="J216" s="14"/>
      <c r="K216" s="14">
        <f t="shared" si="6"/>
        <v>0</v>
      </c>
      <c r="L216" s="16">
        <f t="shared" si="7"/>
        <v>0</v>
      </c>
      <c r="M216" s="22">
        <v>45261</v>
      </c>
      <c r="N216" s="44"/>
      <c r="O216" s="23" t="s">
        <v>16</v>
      </c>
      <c r="P216" s="24"/>
      <c r="Q216" s="28" t="s">
        <v>305</v>
      </c>
    </row>
    <row r="217" spans="1:17">
      <c r="A217" s="14">
        <v>213</v>
      </c>
      <c r="B217" s="15" t="s">
        <v>304</v>
      </c>
      <c r="C217" s="16">
        <f>'Медикаменты Сентябрь'!L218</f>
        <v>0</v>
      </c>
      <c r="D217" s="17"/>
      <c r="E217" s="14"/>
      <c r="F217" s="18"/>
      <c r="G217" s="19"/>
      <c r="H217" s="20"/>
      <c r="I217" s="21"/>
      <c r="J217" s="14"/>
      <c r="K217" s="14">
        <f t="shared" si="6"/>
        <v>0</v>
      </c>
      <c r="L217" s="16">
        <f t="shared" si="7"/>
        <v>0</v>
      </c>
      <c r="M217" s="22">
        <v>45413</v>
      </c>
      <c r="N217" s="44" t="s">
        <v>45</v>
      </c>
      <c r="O217" s="23" t="s">
        <v>26</v>
      </c>
      <c r="P217" s="24" t="s">
        <v>17</v>
      </c>
      <c r="Q217" s="28" t="s">
        <v>305</v>
      </c>
    </row>
    <row r="218" spans="1:17">
      <c r="A218" s="14">
        <v>214</v>
      </c>
      <c r="B218" s="15" t="s">
        <v>561</v>
      </c>
      <c r="C218" s="16">
        <f>'Медикаменты Сентябрь'!L219</f>
        <v>82</v>
      </c>
      <c r="D218" s="17"/>
      <c r="E218" s="14"/>
      <c r="F218" s="18"/>
      <c r="G218" s="19"/>
      <c r="H218" s="20"/>
      <c r="I218" s="21"/>
      <c r="J218" s="14"/>
      <c r="K218" s="14">
        <f t="shared" si="6"/>
        <v>0</v>
      </c>
      <c r="L218" s="16">
        <f t="shared" si="7"/>
        <v>82</v>
      </c>
      <c r="M218" s="22">
        <v>45870</v>
      </c>
      <c r="N218" s="44" t="s">
        <v>551</v>
      </c>
      <c r="O218" s="23" t="s">
        <v>16</v>
      </c>
      <c r="P218" s="24" t="s">
        <v>17</v>
      </c>
      <c r="Q218" s="28" t="s">
        <v>562</v>
      </c>
    </row>
    <row r="219" spans="1:17">
      <c r="A219" s="14">
        <v>215</v>
      </c>
      <c r="B219" s="15" t="s">
        <v>563</v>
      </c>
      <c r="C219" s="16">
        <f>'Медикаменты Сентябрь'!L220</f>
        <v>50</v>
      </c>
      <c r="D219" s="17"/>
      <c r="E219" s="14"/>
      <c r="F219" s="18">
        <f>5+5+10+6</f>
        <v>26</v>
      </c>
      <c r="G219" s="19"/>
      <c r="H219" s="20"/>
      <c r="I219" s="21"/>
      <c r="J219" s="14"/>
      <c r="K219" s="14">
        <f t="shared" si="6"/>
        <v>26</v>
      </c>
      <c r="L219" s="16">
        <f t="shared" si="7"/>
        <v>24</v>
      </c>
      <c r="M219" s="22">
        <v>46023</v>
      </c>
      <c r="N219" s="44" t="s">
        <v>551</v>
      </c>
      <c r="O219" s="23" t="s">
        <v>16</v>
      </c>
      <c r="P219" s="24" t="s">
        <v>17</v>
      </c>
      <c r="Q219" s="28" t="s">
        <v>564</v>
      </c>
    </row>
    <row r="220" spans="1:17">
      <c r="A220" s="14">
        <v>216</v>
      </c>
      <c r="B220" s="15" t="s">
        <v>306</v>
      </c>
      <c r="C220" s="16">
        <f>'Медикаменты Сентябрь'!L221</f>
        <v>0</v>
      </c>
      <c r="D220" s="17"/>
      <c r="E220" s="14"/>
      <c r="F220" s="18"/>
      <c r="G220" s="19"/>
      <c r="H220" s="20"/>
      <c r="I220" s="21"/>
      <c r="J220" s="14"/>
      <c r="K220" s="14">
        <f t="shared" si="6"/>
        <v>0</v>
      </c>
      <c r="L220" s="16">
        <f t="shared" si="7"/>
        <v>0</v>
      </c>
      <c r="M220" s="22"/>
      <c r="N220" s="44"/>
      <c r="O220" s="23" t="s">
        <v>16</v>
      </c>
      <c r="P220" s="24"/>
      <c r="Q220" s="45"/>
    </row>
    <row r="221" spans="1:17">
      <c r="A221" s="14">
        <v>217</v>
      </c>
      <c r="B221" s="15" t="s">
        <v>307</v>
      </c>
      <c r="C221" s="16">
        <f>'Медикаменты Сентябрь'!L222</f>
        <v>0</v>
      </c>
      <c r="D221" s="17"/>
      <c r="E221" s="14"/>
      <c r="F221" s="18"/>
      <c r="G221" s="19"/>
      <c r="H221" s="20"/>
      <c r="I221" s="21"/>
      <c r="J221" s="14"/>
      <c r="K221" s="14">
        <f t="shared" si="6"/>
        <v>0</v>
      </c>
      <c r="L221" s="16">
        <f t="shared" si="7"/>
        <v>0</v>
      </c>
      <c r="M221" s="22"/>
      <c r="N221" s="44"/>
      <c r="O221" s="23" t="s">
        <v>16</v>
      </c>
      <c r="P221" s="24"/>
      <c r="Q221" s="45"/>
    </row>
    <row r="222" spans="1:17">
      <c r="A222" s="14">
        <v>218</v>
      </c>
      <c r="B222" s="15" t="s">
        <v>308</v>
      </c>
      <c r="C222" s="16">
        <f>'Медикаменты Сентябрь'!L223</f>
        <v>37</v>
      </c>
      <c r="D222" s="17"/>
      <c r="E222" s="14"/>
      <c r="F222" s="18"/>
      <c r="G222" s="19"/>
      <c r="H222" s="20"/>
      <c r="I222" s="21"/>
      <c r="J222" s="14"/>
      <c r="K222" s="14">
        <f t="shared" si="6"/>
        <v>0</v>
      </c>
      <c r="L222" s="16">
        <f t="shared" si="7"/>
        <v>37</v>
      </c>
      <c r="M222" s="22">
        <v>45200</v>
      </c>
      <c r="N222" s="44" t="s">
        <v>551</v>
      </c>
      <c r="O222" s="23" t="s">
        <v>16</v>
      </c>
      <c r="P222" s="24" t="s">
        <v>17</v>
      </c>
      <c r="Q222" s="28" t="s">
        <v>309</v>
      </c>
    </row>
    <row r="223" spans="1:17">
      <c r="A223" s="14">
        <v>219</v>
      </c>
      <c r="B223" s="15" t="s">
        <v>308</v>
      </c>
      <c r="C223" s="16">
        <f>'Медикаменты Сентябрь'!L224</f>
        <v>0</v>
      </c>
      <c r="D223" s="17"/>
      <c r="E223" s="14"/>
      <c r="F223" s="18"/>
      <c r="G223" s="19"/>
      <c r="H223" s="20"/>
      <c r="I223" s="21"/>
      <c r="J223" s="14"/>
      <c r="K223" s="14">
        <f t="shared" si="6"/>
        <v>0</v>
      </c>
      <c r="L223" s="16">
        <f t="shared" si="7"/>
        <v>0</v>
      </c>
      <c r="M223" s="22">
        <v>45200</v>
      </c>
      <c r="N223" s="44" t="s">
        <v>551</v>
      </c>
      <c r="O223" s="23" t="s">
        <v>26</v>
      </c>
      <c r="P223" s="24" t="s">
        <v>17</v>
      </c>
      <c r="Q223" s="28" t="s">
        <v>309</v>
      </c>
    </row>
    <row r="224" spans="1:17">
      <c r="A224" s="14">
        <v>220</v>
      </c>
      <c r="B224" s="15" t="s">
        <v>310</v>
      </c>
      <c r="C224" s="16">
        <f>'Медикаменты Сентябрь'!L225</f>
        <v>9</v>
      </c>
      <c r="D224" s="17"/>
      <c r="E224" s="14"/>
      <c r="F224" s="18"/>
      <c r="G224" s="19"/>
      <c r="H224" s="20"/>
      <c r="I224" s="21"/>
      <c r="J224" s="14"/>
      <c r="K224" s="14">
        <f t="shared" si="6"/>
        <v>0</v>
      </c>
      <c r="L224" s="16">
        <f t="shared" si="7"/>
        <v>9</v>
      </c>
      <c r="M224" s="22">
        <v>44652</v>
      </c>
      <c r="N224" s="44" t="s">
        <v>45</v>
      </c>
      <c r="O224" s="23" t="s">
        <v>16</v>
      </c>
      <c r="P224" s="24" t="s">
        <v>17</v>
      </c>
      <c r="Q224" s="28" t="s">
        <v>311</v>
      </c>
    </row>
    <row r="225" spans="1:17">
      <c r="A225" s="14">
        <v>221</v>
      </c>
      <c r="B225" s="15" t="s">
        <v>310</v>
      </c>
      <c r="C225" s="16">
        <f>'Медикаменты Сентябрь'!L226</f>
        <v>0</v>
      </c>
      <c r="D225" s="17"/>
      <c r="E225" s="14"/>
      <c r="F225" s="18"/>
      <c r="G225" s="19"/>
      <c r="H225" s="20"/>
      <c r="I225" s="21"/>
      <c r="J225" s="14"/>
      <c r="K225" s="14">
        <f t="shared" si="6"/>
        <v>0</v>
      </c>
      <c r="L225" s="16">
        <f t="shared" si="7"/>
        <v>0</v>
      </c>
      <c r="M225" s="22">
        <v>44652</v>
      </c>
      <c r="N225" s="44"/>
      <c r="O225" s="23" t="s">
        <v>26</v>
      </c>
      <c r="P225" s="24"/>
      <c r="Q225" s="28" t="s">
        <v>311</v>
      </c>
    </row>
    <row r="226" spans="1:17">
      <c r="A226" s="14">
        <v>222</v>
      </c>
      <c r="B226" s="15" t="s">
        <v>312</v>
      </c>
      <c r="C226" s="16">
        <f>'Медикаменты Сентябрь'!L227</f>
        <v>0</v>
      </c>
      <c r="D226" s="17"/>
      <c r="E226" s="14"/>
      <c r="F226" s="18"/>
      <c r="G226" s="19"/>
      <c r="H226" s="20"/>
      <c r="I226" s="21"/>
      <c r="J226" s="14"/>
      <c r="K226" s="14">
        <f t="shared" si="6"/>
        <v>0</v>
      </c>
      <c r="L226" s="16">
        <f t="shared" si="7"/>
        <v>0</v>
      </c>
      <c r="M226" s="22">
        <v>45658</v>
      </c>
      <c r="N226" s="44"/>
      <c r="O226" s="23" t="s">
        <v>16</v>
      </c>
      <c r="P226" s="24"/>
      <c r="Q226" s="28" t="s">
        <v>313</v>
      </c>
    </row>
    <row r="227" spans="1:17">
      <c r="A227" s="14">
        <v>223</v>
      </c>
      <c r="B227" s="15" t="s">
        <v>312</v>
      </c>
      <c r="C227" s="16">
        <f>'Медикаменты Сентябрь'!L228</f>
        <v>0</v>
      </c>
      <c r="D227" s="17"/>
      <c r="E227" s="14"/>
      <c r="F227" s="18"/>
      <c r="G227" s="19"/>
      <c r="H227" s="20"/>
      <c r="I227" s="21"/>
      <c r="J227" s="14"/>
      <c r="K227" s="14">
        <f t="shared" si="6"/>
        <v>0</v>
      </c>
      <c r="L227" s="16">
        <f t="shared" si="7"/>
        <v>0</v>
      </c>
      <c r="M227" s="22">
        <v>45658</v>
      </c>
      <c r="N227" s="44"/>
      <c r="O227" s="23" t="s">
        <v>26</v>
      </c>
      <c r="P227" s="24"/>
      <c r="Q227" s="28" t="s">
        <v>313</v>
      </c>
    </row>
    <row r="228" spans="1:17">
      <c r="A228" s="14">
        <v>224</v>
      </c>
      <c r="B228" s="15" t="s">
        <v>314</v>
      </c>
      <c r="C228" s="16">
        <f>'Медикаменты Сентябрь'!L229</f>
        <v>0</v>
      </c>
      <c r="D228" s="17"/>
      <c r="E228" s="14"/>
      <c r="F228" s="18"/>
      <c r="G228" s="19"/>
      <c r="H228" s="20"/>
      <c r="I228" s="21"/>
      <c r="J228" s="14"/>
      <c r="K228" s="14">
        <f t="shared" si="6"/>
        <v>0</v>
      </c>
      <c r="L228" s="16">
        <f t="shared" si="7"/>
        <v>0</v>
      </c>
      <c r="M228" s="22">
        <v>44562</v>
      </c>
      <c r="N228" s="44"/>
      <c r="O228" s="23" t="s">
        <v>16</v>
      </c>
      <c r="P228" s="24"/>
      <c r="Q228" s="28" t="s">
        <v>315</v>
      </c>
    </row>
    <row r="229" spans="1:17">
      <c r="A229" s="14">
        <v>225</v>
      </c>
      <c r="B229" s="15" t="s">
        <v>316</v>
      </c>
      <c r="C229" s="16">
        <f>'Медикаменты Сентябрь'!L230</f>
        <v>0</v>
      </c>
      <c r="D229" s="17"/>
      <c r="E229" s="14"/>
      <c r="F229" s="18"/>
      <c r="G229" s="19"/>
      <c r="H229" s="20"/>
      <c r="I229" s="21"/>
      <c r="J229" s="14"/>
      <c r="K229" s="14">
        <f t="shared" si="6"/>
        <v>0</v>
      </c>
      <c r="L229" s="16">
        <f t="shared" si="7"/>
        <v>0</v>
      </c>
      <c r="M229" s="22"/>
      <c r="N229" s="44"/>
      <c r="O229" s="23" t="s">
        <v>16</v>
      </c>
      <c r="P229" s="24"/>
      <c r="Q229" s="45"/>
    </row>
    <row r="230" spans="1:17">
      <c r="A230" s="14">
        <v>226</v>
      </c>
      <c r="B230" s="29" t="s">
        <v>317</v>
      </c>
      <c r="C230" s="16">
        <f>'Медикаменты Сентябрь'!L231</f>
        <v>0</v>
      </c>
      <c r="D230" s="17"/>
      <c r="E230" s="14"/>
      <c r="F230" s="18"/>
      <c r="G230" s="19"/>
      <c r="H230" s="20"/>
      <c r="I230" s="21"/>
      <c r="J230" s="14"/>
      <c r="K230" s="14">
        <f t="shared" si="6"/>
        <v>0</v>
      </c>
      <c r="L230" s="16">
        <f t="shared" si="7"/>
        <v>0</v>
      </c>
      <c r="M230" s="22"/>
      <c r="N230" s="44"/>
      <c r="O230" s="23" t="s">
        <v>16</v>
      </c>
      <c r="P230" s="24"/>
      <c r="Q230" s="45"/>
    </row>
    <row r="231" spans="1:17">
      <c r="A231" s="14">
        <v>227</v>
      </c>
      <c r="B231" s="29" t="s">
        <v>605</v>
      </c>
      <c r="C231" s="16">
        <f>'Медикаменты Сентябрь'!L232</f>
        <v>11</v>
      </c>
      <c r="D231" s="17"/>
      <c r="E231" s="14"/>
      <c r="F231" s="18"/>
      <c r="G231" s="19"/>
      <c r="H231" s="20"/>
      <c r="I231" s="21"/>
      <c r="J231" s="14"/>
      <c r="K231" s="14">
        <f t="shared" si="6"/>
        <v>0</v>
      </c>
      <c r="L231" s="16">
        <f t="shared" si="7"/>
        <v>11</v>
      </c>
      <c r="M231" s="22">
        <v>44896</v>
      </c>
      <c r="N231" s="44" t="s">
        <v>551</v>
      </c>
      <c r="O231" s="23" t="s">
        <v>16</v>
      </c>
      <c r="P231" s="24" t="s">
        <v>17</v>
      </c>
      <c r="Q231" s="28" t="s">
        <v>606</v>
      </c>
    </row>
    <row r="232" spans="1:17">
      <c r="A232" s="14">
        <v>228</v>
      </c>
      <c r="B232" s="29" t="s">
        <v>319</v>
      </c>
      <c r="C232" s="16">
        <f>'Медикаменты Сентябрь'!L233</f>
        <v>0</v>
      </c>
      <c r="D232" s="17"/>
      <c r="E232" s="14"/>
      <c r="F232" s="18"/>
      <c r="G232" s="19"/>
      <c r="H232" s="20"/>
      <c r="I232" s="21"/>
      <c r="J232" s="14"/>
      <c r="K232" s="14">
        <f t="shared" si="6"/>
        <v>0</v>
      </c>
      <c r="L232" s="16">
        <f t="shared" si="7"/>
        <v>0</v>
      </c>
      <c r="M232" s="22"/>
      <c r="N232" s="44"/>
      <c r="O232" s="23" t="s">
        <v>16</v>
      </c>
      <c r="P232" s="24"/>
      <c r="Q232" s="45"/>
    </row>
    <row r="233" spans="1:17">
      <c r="A233" s="14">
        <v>229</v>
      </c>
      <c r="B233" s="29" t="s">
        <v>320</v>
      </c>
      <c r="C233" s="16">
        <f>'Медикаменты Сентябрь'!L234</f>
        <v>40</v>
      </c>
      <c r="D233" s="17"/>
      <c r="E233" s="14"/>
      <c r="F233" s="18">
        <f>3</f>
        <v>3</v>
      </c>
      <c r="G233" s="19"/>
      <c r="H233" s="20"/>
      <c r="I233" s="21"/>
      <c r="J233" s="14"/>
      <c r="K233" s="14">
        <f t="shared" si="6"/>
        <v>3</v>
      </c>
      <c r="L233" s="16">
        <f t="shared" si="7"/>
        <v>37</v>
      </c>
      <c r="M233" s="22">
        <v>44958</v>
      </c>
      <c r="N233" s="44" t="s">
        <v>551</v>
      </c>
      <c r="O233" s="23" t="s">
        <v>16</v>
      </c>
      <c r="P233" s="24" t="s">
        <v>17</v>
      </c>
      <c r="Q233" s="28" t="s">
        <v>321</v>
      </c>
    </row>
    <row r="234" spans="1:17">
      <c r="A234" s="14">
        <v>230</v>
      </c>
      <c r="B234" s="29" t="s">
        <v>320</v>
      </c>
      <c r="C234" s="16">
        <f>'Медикаменты Сентябрь'!L235</f>
        <v>10</v>
      </c>
      <c r="D234" s="17"/>
      <c r="E234" s="14"/>
      <c r="F234" s="18"/>
      <c r="G234" s="19">
        <f>10</f>
        <v>10</v>
      </c>
      <c r="H234" s="20"/>
      <c r="I234" s="21"/>
      <c r="J234" s="14"/>
      <c r="K234" s="14">
        <f t="shared" si="6"/>
        <v>10</v>
      </c>
      <c r="L234" s="16">
        <f t="shared" si="7"/>
        <v>0</v>
      </c>
      <c r="M234" s="22">
        <v>44958</v>
      </c>
      <c r="N234" s="44" t="s">
        <v>551</v>
      </c>
      <c r="O234" s="23" t="s">
        <v>26</v>
      </c>
      <c r="P234" s="24" t="s">
        <v>17</v>
      </c>
      <c r="Q234" s="28" t="s">
        <v>321</v>
      </c>
    </row>
    <row r="235" spans="1:17">
      <c r="A235" s="14">
        <v>231</v>
      </c>
      <c r="B235" s="29" t="s">
        <v>322</v>
      </c>
      <c r="C235" s="16">
        <f>'Медикаменты Сентябрь'!L236</f>
        <v>0</v>
      </c>
      <c r="D235" s="17"/>
      <c r="E235" s="14"/>
      <c r="F235" s="18"/>
      <c r="G235" s="19"/>
      <c r="H235" s="20"/>
      <c r="I235" s="21"/>
      <c r="J235" s="14"/>
      <c r="K235" s="14">
        <f t="shared" si="6"/>
        <v>0</v>
      </c>
      <c r="L235" s="16">
        <f t="shared" si="7"/>
        <v>0</v>
      </c>
      <c r="M235" s="22"/>
      <c r="N235" s="44"/>
      <c r="O235" s="23" t="s">
        <v>16</v>
      </c>
      <c r="P235" s="24"/>
      <c r="Q235" s="45"/>
    </row>
    <row r="236" spans="1:17">
      <c r="A236" s="14">
        <v>232</v>
      </c>
      <c r="B236" s="29" t="s">
        <v>323</v>
      </c>
      <c r="C236" s="16">
        <f>'Медикаменты Сентябрь'!L237</f>
        <v>0</v>
      </c>
      <c r="D236" s="17"/>
      <c r="E236" s="14"/>
      <c r="F236" s="18"/>
      <c r="G236" s="19"/>
      <c r="H236" s="20"/>
      <c r="I236" s="21"/>
      <c r="J236" s="14"/>
      <c r="K236" s="14">
        <f t="shared" si="6"/>
        <v>0</v>
      </c>
      <c r="L236" s="16">
        <f t="shared" si="7"/>
        <v>0</v>
      </c>
      <c r="M236" s="22"/>
      <c r="N236" s="44"/>
      <c r="O236" s="23" t="s">
        <v>16</v>
      </c>
      <c r="P236" s="24"/>
      <c r="Q236" s="45"/>
    </row>
    <row r="237" spans="1:17" ht="25.5">
      <c r="A237" s="14">
        <v>233</v>
      </c>
      <c r="B237" s="29" t="s">
        <v>607</v>
      </c>
      <c r="C237" s="16">
        <f>'Медикаменты Сентябрь'!L238</f>
        <v>13</v>
      </c>
      <c r="D237" s="17"/>
      <c r="E237" s="14"/>
      <c r="F237" s="18"/>
      <c r="G237" s="19"/>
      <c r="H237" s="20"/>
      <c r="I237" s="21"/>
      <c r="J237" s="14"/>
      <c r="K237" s="14">
        <f t="shared" si="6"/>
        <v>0</v>
      </c>
      <c r="L237" s="16">
        <f t="shared" si="7"/>
        <v>13</v>
      </c>
      <c r="M237" s="22">
        <v>44896</v>
      </c>
      <c r="N237" s="44" t="s">
        <v>551</v>
      </c>
      <c r="O237" s="23" t="s">
        <v>16</v>
      </c>
      <c r="P237" s="24" t="s">
        <v>17</v>
      </c>
      <c r="Q237" s="28" t="s">
        <v>608</v>
      </c>
    </row>
    <row r="238" spans="1:17">
      <c r="A238" s="14">
        <v>234</v>
      </c>
      <c r="B238" s="29" t="s">
        <v>555</v>
      </c>
      <c r="C238" s="16">
        <f>'Медикаменты Сентябрь'!L239</f>
        <v>180</v>
      </c>
      <c r="D238" s="17"/>
      <c r="E238" s="14"/>
      <c r="F238" s="18">
        <f>5+10+5+5</f>
        <v>25</v>
      </c>
      <c r="G238" s="19"/>
      <c r="H238" s="20"/>
      <c r="I238" s="21"/>
      <c r="J238" s="14"/>
      <c r="K238" s="14">
        <f t="shared" si="6"/>
        <v>25</v>
      </c>
      <c r="L238" s="16">
        <f t="shared" si="7"/>
        <v>155</v>
      </c>
      <c r="M238" s="22">
        <v>45383</v>
      </c>
      <c r="N238" s="44" t="s">
        <v>551</v>
      </c>
      <c r="O238" s="23" t="s">
        <v>16</v>
      </c>
      <c r="P238" s="24" t="s">
        <v>17</v>
      </c>
      <c r="Q238" s="28" t="s">
        <v>325</v>
      </c>
    </row>
    <row r="239" spans="1:17">
      <c r="A239" s="14">
        <v>235</v>
      </c>
      <c r="B239" s="29" t="s">
        <v>326</v>
      </c>
      <c r="C239" s="16">
        <f>'Медикаменты Сентябрь'!L240</f>
        <v>0</v>
      </c>
      <c r="D239" s="17"/>
      <c r="E239" s="14"/>
      <c r="F239" s="18"/>
      <c r="G239" s="19"/>
      <c r="H239" s="20"/>
      <c r="I239" s="21"/>
      <c r="J239" s="14"/>
      <c r="K239" s="14">
        <f t="shared" si="6"/>
        <v>0</v>
      </c>
      <c r="L239" s="16">
        <f t="shared" si="7"/>
        <v>0</v>
      </c>
      <c r="M239" s="22"/>
      <c r="N239" s="44"/>
      <c r="O239" s="23" t="s">
        <v>16</v>
      </c>
      <c r="P239" s="24"/>
      <c r="Q239" s="45"/>
    </row>
    <row r="240" spans="1:17">
      <c r="A240" s="14">
        <v>236</v>
      </c>
      <c r="B240" s="29" t="s">
        <v>327</v>
      </c>
      <c r="C240" s="16">
        <f>'Медикаменты Сентябрь'!L241</f>
        <v>300</v>
      </c>
      <c r="D240" s="17"/>
      <c r="E240" s="14"/>
      <c r="F240" s="18">
        <f>10</f>
        <v>10</v>
      </c>
      <c r="G240" s="19"/>
      <c r="H240" s="20"/>
      <c r="I240" s="21"/>
      <c r="J240" s="14"/>
      <c r="K240" s="14">
        <f t="shared" si="6"/>
        <v>10</v>
      </c>
      <c r="L240" s="16">
        <f t="shared" si="7"/>
        <v>290</v>
      </c>
      <c r="M240" s="22">
        <v>45231</v>
      </c>
      <c r="N240" s="44" t="s">
        <v>551</v>
      </c>
      <c r="O240" s="23" t="s">
        <v>16</v>
      </c>
      <c r="P240" s="24" t="s">
        <v>17</v>
      </c>
      <c r="Q240" s="28" t="s">
        <v>328</v>
      </c>
    </row>
    <row r="241" spans="1:17">
      <c r="A241" s="14">
        <v>237</v>
      </c>
      <c r="B241" s="29" t="s">
        <v>327</v>
      </c>
      <c r="C241" s="16">
        <f>'Медикаменты Сентябрь'!L242</f>
        <v>0</v>
      </c>
      <c r="D241" s="17"/>
      <c r="E241" s="14"/>
      <c r="F241" s="18"/>
      <c r="G241" s="19"/>
      <c r="H241" s="20"/>
      <c r="I241" s="21"/>
      <c r="J241" s="14"/>
      <c r="K241" s="14">
        <f t="shared" si="6"/>
        <v>0</v>
      </c>
      <c r="L241" s="16">
        <f t="shared" si="7"/>
        <v>0</v>
      </c>
      <c r="M241" s="22">
        <v>44743</v>
      </c>
      <c r="N241" s="44"/>
      <c r="O241" s="23" t="s">
        <v>16</v>
      </c>
      <c r="P241" s="24" t="s">
        <v>17</v>
      </c>
      <c r="Q241" s="28" t="s">
        <v>328</v>
      </c>
    </row>
    <row r="242" spans="1:17">
      <c r="A242" s="14">
        <v>238</v>
      </c>
      <c r="B242" s="29" t="s">
        <v>327</v>
      </c>
      <c r="C242" s="16">
        <f>'Медикаменты Сентябрь'!L243</f>
        <v>0</v>
      </c>
      <c r="D242" s="17"/>
      <c r="E242" s="14"/>
      <c r="F242" s="18"/>
      <c r="G242" s="19"/>
      <c r="H242" s="20"/>
      <c r="I242" s="21"/>
      <c r="J242" s="14"/>
      <c r="K242" s="14">
        <f t="shared" si="6"/>
        <v>0</v>
      </c>
      <c r="L242" s="16">
        <f t="shared" si="7"/>
        <v>0</v>
      </c>
      <c r="M242" s="22">
        <v>44774</v>
      </c>
      <c r="N242" s="44" t="s">
        <v>45</v>
      </c>
      <c r="O242" s="23" t="s">
        <v>26</v>
      </c>
      <c r="P242" s="24" t="s">
        <v>17</v>
      </c>
      <c r="Q242" s="28" t="s">
        <v>328</v>
      </c>
    </row>
    <row r="243" spans="1:17">
      <c r="A243" s="14">
        <v>239</v>
      </c>
      <c r="B243" s="29" t="s">
        <v>329</v>
      </c>
      <c r="C243" s="16">
        <f>'Медикаменты Сентябрь'!L244</f>
        <v>0</v>
      </c>
      <c r="D243" s="17"/>
      <c r="E243" s="14"/>
      <c r="F243" s="18"/>
      <c r="G243" s="19"/>
      <c r="H243" s="20"/>
      <c r="I243" s="21"/>
      <c r="J243" s="14"/>
      <c r="K243" s="14">
        <f t="shared" si="6"/>
        <v>0</v>
      </c>
      <c r="L243" s="16">
        <f t="shared" si="7"/>
        <v>0</v>
      </c>
      <c r="M243" s="22">
        <v>44713</v>
      </c>
      <c r="N243" s="44"/>
      <c r="O243" s="23" t="s">
        <v>16</v>
      </c>
      <c r="P243" s="24"/>
      <c r="Q243" s="28" t="s">
        <v>330</v>
      </c>
    </row>
    <row r="244" spans="1:17">
      <c r="A244" s="14">
        <v>240</v>
      </c>
      <c r="B244" s="29" t="s">
        <v>331</v>
      </c>
      <c r="C244" s="16">
        <f>'Медикаменты Сентябрь'!L245</f>
        <v>0</v>
      </c>
      <c r="D244" s="17"/>
      <c r="E244" s="14"/>
      <c r="F244" s="18"/>
      <c r="G244" s="19"/>
      <c r="H244" s="20"/>
      <c r="I244" s="21"/>
      <c r="J244" s="14"/>
      <c r="K244" s="14">
        <f t="shared" si="6"/>
        <v>0</v>
      </c>
      <c r="L244" s="16">
        <f t="shared" si="7"/>
        <v>0</v>
      </c>
      <c r="M244" s="22">
        <v>44317</v>
      </c>
      <c r="N244" s="44"/>
      <c r="O244" s="23" t="s">
        <v>16</v>
      </c>
      <c r="P244" s="24" t="s">
        <v>45</v>
      </c>
      <c r="Q244" s="28" t="s">
        <v>332</v>
      </c>
    </row>
    <row r="245" spans="1:17">
      <c r="A245" s="14">
        <v>241</v>
      </c>
      <c r="B245" s="29" t="s">
        <v>333</v>
      </c>
      <c r="C245" s="16">
        <f>'Медикаменты Сентябрь'!L246</f>
        <v>0</v>
      </c>
      <c r="D245" s="17"/>
      <c r="E245" s="14"/>
      <c r="F245" s="18"/>
      <c r="G245" s="19"/>
      <c r="H245" s="20"/>
      <c r="I245" s="21"/>
      <c r="J245" s="14"/>
      <c r="K245" s="14">
        <f t="shared" si="6"/>
        <v>0</v>
      </c>
      <c r="L245" s="16">
        <f t="shared" si="7"/>
        <v>0</v>
      </c>
      <c r="M245" s="22">
        <v>44348</v>
      </c>
      <c r="N245" s="44"/>
      <c r="O245" s="23" t="s">
        <v>16</v>
      </c>
      <c r="P245" s="24"/>
      <c r="Q245" s="28" t="s">
        <v>334</v>
      </c>
    </row>
    <row r="246" spans="1:17">
      <c r="A246" s="14">
        <v>242</v>
      </c>
      <c r="B246" s="29" t="s">
        <v>335</v>
      </c>
      <c r="C246" s="16">
        <f>'Медикаменты Сентябрь'!L247</f>
        <v>0</v>
      </c>
      <c r="D246" s="17"/>
      <c r="E246" s="14"/>
      <c r="F246" s="18"/>
      <c r="G246" s="19"/>
      <c r="H246" s="20"/>
      <c r="I246" s="21"/>
      <c r="J246" s="14"/>
      <c r="K246" s="14">
        <f t="shared" si="6"/>
        <v>0</v>
      </c>
      <c r="L246" s="16">
        <f t="shared" si="7"/>
        <v>0</v>
      </c>
      <c r="M246" s="22">
        <v>44348</v>
      </c>
      <c r="N246" s="44"/>
      <c r="O246" s="23" t="s">
        <v>16</v>
      </c>
      <c r="P246" s="24"/>
      <c r="Q246" s="45"/>
    </row>
    <row r="247" spans="1:17">
      <c r="A247" s="14">
        <v>243</v>
      </c>
      <c r="B247" s="29" t="s">
        <v>336</v>
      </c>
      <c r="C247" s="16">
        <f>'Медикаменты Сентябрь'!L248</f>
        <v>45</v>
      </c>
      <c r="D247" s="17"/>
      <c r="E247" s="14"/>
      <c r="F247" s="18">
        <f>10</f>
        <v>10</v>
      </c>
      <c r="G247" s="19"/>
      <c r="H247" s="20"/>
      <c r="I247" s="21"/>
      <c r="J247" s="14"/>
      <c r="K247" s="14">
        <f t="shared" si="6"/>
        <v>10</v>
      </c>
      <c r="L247" s="16">
        <f t="shared" si="7"/>
        <v>35</v>
      </c>
      <c r="M247" s="22">
        <v>45413</v>
      </c>
      <c r="N247" s="44" t="s">
        <v>45</v>
      </c>
      <c r="O247" s="23" t="s">
        <v>16</v>
      </c>
      <c r="P247" s="24" t="s">
        <v>17</v>
      </c>
      <c r="Q247" s="28" t="s">
        <v>337</v>
      </c>
    </row>
    <row r="248" spans="1:17">
      <c r="A248" s="14">
        <v>244</v>
      </c>
      <c r="B248" s="29" t="s">
        <v>336</v>
      </c>
      <c r="C248" s="16"/>
      <c r="D248" s="17"/>
      <c r="E248" s="14">
        <f>100</f>
        <v>100</v>
      </c>
      <c r="F248" s="18"/>
      <c r="G248" s="19"/>
      <c r="H248" s="20"/>
      <c r="I248" s="21"/>
      <c r="J248" s="14"/>
      <c r="K248" s="14">
        <f t="shared" si="6"/>
        <v>0</v>
      </c>
      <c r="L248" s="16">
        <f t="shared" si="7"/>
        <v>100</v>
      </c>
      <c r="M248" s="22">
        <v>46235</v>
      </c>
      <c r="N248" s="44" t="s">
        <v>551</v>
      </c>
      <c r="O248" s="23" t="s">
        <v>16</v>
      </c>
      <c r="P248" s="24" t="s">
        <v>17</v>
      </c>
      <c r="Q248" s="28" t="s">
        <v>337</v>
      </c>
    </row>
    <row r="249" spans="1:17">
      <c r="A249" s="14">
        <v>245</v>
      </c>
      <c r="B249" s="29" t="s">
        <v>338</v>
      </c>
      <c r="C249" s="16">
        <f>'Медикаменты Сентябрь'!L249</f>
        <v>90</v>
      </c>
      <c r="D249" s="17"/>
      <c r="E249" s="14"/>
      <c r="F249" s="18">
        <f>7+5</f>
        <v>12</v>
      </c>
      <c r="G249" s="19"/>
      <c r="H249" s="20"/>
      <c r="I249" s="21"/>
      <c r="J249" s="14"/>
      <c r="K249" s="14">
        <f t="shared" si="6"/>
        <v>12</v>
      </c>
      <c r="L249" s="16">
        <f t="shared" si="7"/>
        <v>78</v>
      </c>
      <c r="M249" s="22">
        <v>45352</v>
      </c>
      <c r="N249" s="44" t="s">
        <v>551</v>
      </c>
      <c r="O249" s="23" t="s">
        <v>16</v>
      </c>
      <c r="P249" s="24" t="s">
        <v>17</v>
      </c>
      <c r="Q249" s="28" t="s">
        <v>339</v>
      </c>
    </row>
    <row r="250" spans="1:17">
      <c r="A250" s="14">
        <v>246</v>
      </c>
      <c r="B250" s="29" t="s">
        <v>338</v>
      </c>
      <c r="C250" s="16">
        <f>'Медикаменты Сентябрь'!L250</f>
        <v>50</v>
      </c>
      <c r="D250" s="17"/>
      <c r="E250" s="14"/>
      <c r="F250" s="18"/>
      <c r="G250" s="19"/>
      <c r="H250" s="20"/>
      <c r="I250" s="21"/>
      <c r="J250" s="14"/>
      <c r="K250" s="14">
        <f t="shared" si="6"/>
        <v>0</v>
      </c>
      <c r="L250" s="16">
        <f t="shared" si="7"/>
        <v>50</v>
      </c>
      <c r="M250" s="22">
        <v>45352</v>
      </c>
      <c r="N250" s="44" t="s">
        <v>551</v>
      </c>
      <c r="O250" s="23" t="s">
        <v>26</v>
      </c>
      <c r="P250" s="24" t="s">
        <v>17</v>
      </c>
      <c r="Q250" s="28" t="s">
        <v>339</v>
      </c>
    </row>
    <row r="251" spans="1:17">
      <c r="A251" s="14">
        <v>247</v>
      </c>
      <c r="B251" s="29" t="s">
        <v>662</v>
      </c>
      <c r="C251" s="16"/>
      <c r="D251" s="17"/>
      <c r="E251" s="14">
        <f>20</f>
        <v>20</v>
      </c>
      <c r="F251" s="18"/>
      <c r="G251" s="19"/>
      <c r="H251" s="20"/>
      <c r="I251" s="21"/>
      <c r="J251" s="14"/>
      <c r="K251" s="14">
        <f t="shared" si="6"/>
        <v>0</v>
      </c>
      <c r="L251" s="16">
        <f t="shared" si="7"/>
        <v>20</v>
      </c>
      <c r="M251" s="22">
        <v>45108</v>
      </c>
      <c r="N251" s="44" t="s">
        <v>551</v>
      </c>
      <c r="O251" s="23" t="s">
        <v>16</v>
      </c>
      <c r="P251" s="24" t="s">
        <v>17</v>
      </c>
      <c r="Q251" s="28" t="s">
        <v>663</v>
      </c>
    </row>
    <row r="252" spans="1:17">
      <c r="A252" s="14">
        <v>248</v>
      </c>
      <c r="B252" s="29" t="s">
        <v>340</v>
      </c>
      <c r="C252" s="16">
        <f>'Медикаменты Сентябрь'!L251</f>
        <v>0</v>
      </c>
      <c r="D252" s="17"/>
      <c r="E252" s="14"/>
      <c r="F252" s="18"/>
      <c r="G252" s="19"/>
      <c r="H252" s="20"/>
      <c r="I252" s="21"/>
      <c r="J252" s="14"/>
      <c r="K252" s="14">
        <f t="shared" si="6"/>
        <v>0</v>
      </c>
      <c r="L252" s="16">
        <f t="shared" si="7"/>
        <v>0</v>
      </c>
      <c r="M252" s="22"/>
      <c r="N252" s="44"/>
      <c r="O252" s="23" t="s">
        <v>16</v>
      </c>
      <c r="P252" s="24"/>
      <c r="Q252" s="45"/>
    </row>
    <row r="253" spans="1:17">
      <c r="A253" s="14">
        <v>249</v>
      </c>
      <c r="B253" s="29" t="s">
        <v>341</v>
      </c>
      <c r="C253" s="16">
        <f>'Медикаменты Сентябрь'!L252</f>
        <v>32</v>
      </c>
      <c r="D253" s="17"/>
      <c r="E253" s="14"/>
      <c r="F253" s="18">
        <f>5+5+3</f>
        <v>13</v>
      </c>
      <c r="G253" s="19"/>
      <c r="H253" s="20"/>
      <c r="I253" s="21"/>
      <c r="J253" s="14"/>
      <c r="K253" s="14">
        <f t="shared" si="6"/>
        <v>13</v>
      </c>
      <c r="L253" s="16">
        <f t="shared" si="7"/>
        <v>19</v>
      </c>
      <c r="M253" s="22">
        <v>45108</v>
      </c>
      <c r="N253" s="44" t="s">
        <v>45</v>
      </c>
      <c r="O253" s="23" t="s">
        <v>16</v>
      </c>
      <c r="P253" s="24" t="s">
        <v>17</v>
      </c>
      <c r="Q253" s="28" t="s">
        <v>342</v>
      </c>
    </row>
    <row r="254" spans="1:17">
      <c r="A254" s="14">
        <v>250</v>
      </c>
      <c r="B254" s="29" t="s">
        <v>341</v>
      </c>
      <c r="C254" s="16"/>
      <c r="D254" s="17"/>
      <c r="E254" s="14">
        <f>100</f>
        <v>100</v>
      </c>
      <c r="F254" s="18"/>
      <c r="G254" s="19"/>
      <c r="H254" s="20"/>
      <c r="I254" s="21"/>
      <c r="J254" s="14"/>
      <c r="K254" s="14">
        <f t="shared" si="6"/>
        <v>0</v>
      </c>
      <c r="L254" s="16">
        <f t="shared" si="7"/>
        <v>100</v>
      </c>
      <c r="M254" s="22">
        <v>45809</v>
      </c>
      <c r="N254" s="44" t="s">
        <v>551</v>
      </c>
      <c r="O254" s="23" t="s">
        <v>16</v>
      </c>
      <c r="P254" s="24" t="s">
        <v>17</v>
      </c>
      <c r="Q254" s="28" t="s">
        <v>342</v>
      </c>
    </row>
    <row r="255" spans="1:17">
      <c r="A255" s="14">
        <v>251</v>
      </c>
      <c r="B255" s="29" t="s">
        <v>343</v>
      </c>
      <c r="C255" s="16">
        <f>'Медикаменты Сентябрь'!L253</f>
        <v>135</v>
      </c>
      <c r="D255" s="17"/>
      <c r="E255" s="14"/>
      <c r="F255" s="18"/>
      <c r="G255" s="19"/>
      <c r="H255" s="20"/>
      <c r="I255" s="21"/>
      <c r="J255" s="14"/>
      <c r="K255" s="14">
        <f t="shared" si="6"/>
        <v>0</v>
      </c>
      <c r="L255" s="16">
        <f t="shared" si="7"/>
        <v>135</v>
      </c>
      <c r="M255" s="22">
        <v>45047</v>
      </c>
      <c r="N255" s="44" t="s">
        <v>551</v>
      </c>
      <c r="O255" s="23" t="s">
        <v>16</v>
      </c>
      <c r="P255" s="24" t="s">
        <v>17</v>
      </c>
      <c r="Q255" s="28" t="s">
        <v>344</v>
      </c>
    </row>
    <row r="256" spans="1:17">
      <c r="A256" s="14">
        <v>252</v>
      </c>
      <c r="B256" s="29" t="s">
        <v>343</v>
      </c>
      <c r="C256" s="16">
        <f>'Медикаменты Сентябрь'!L254</f>
        <v>0</v>
      </c>
      <c r="D256" s="17"/>
      <c r="E256" s="14"/>
      <c r="F256" s="18"/>
      <c r="G256" s="19"/>
      <c r="H256" s="20"/>
      <c r="I256" s="21"/>
      <c r="J256" s="14"/>
      <c r="K256" s="14">
        <f t="shared" si="6"/>
        <v>0</v>
      </c>
      <c r="L256" s="16">
        <f t="shared" si="7"/>
        <v>0</v>
      </c>
      <c r="M256" s="22">
        <v>44835</v>
      </c>
      <c r="N256" s="44"/>
      <c r="O256" s="23" t="s">
        <v>26</v>
      </c>
      <c r="P256" s="24"/>
      <c r="Q256" s="28" t="s">
        <v>344</v>
      </c>
    </row>
    <row r="257" spans="1:17">
      <c r="A257" s="14">
        <v>253</v>
      </c>
      <c r="B257" s="29" t="s">
        <v>345</v>
      </c>
      <c r="C257" s="16">
        <f>'Медикаменты Сентябрь'!L255</f>
        <v>0</v>
      </c>
      <c r="D257" s="17"/>
      <c r="E257" s="14"/>
      <c r="F257" s="18"/>
      <c r="G257" s="19"/>
      <c r="H257" s="20"/>
      <c r="I257" s="21"/>
      <c r="J257" s="14"/>
      <c r="K257" s="14">
        <f t="shared" si="6"/>
        <v>0</v>
      </c>
      <c r="L257" s="16">
        <f t="shared" si="7"/>
        <v>0</v>
      </c>
      <c r="M257" s="22">
        <v>45017</v>
      </c>
      <c r="N257" s="44" t="s">
        <v>45</v>
      </c>
      <c r="O257" s="23" t="s">
        <v>16</v>
      </c>
      <c r="P257" s="24" t="s">
        <v>45</v>
      </c>
      <c r="Q257" s="28" t="s">
        <v>346</v>
      </c>
    </row>
    <row r="258" spans="1:17">
      <c r="A258" s="14">
        <v>254</v>
      </c>
      <c r="B258" s="29" t="s">
        <v>347</v>
      </c>
      <c r="C258" s="16">
        <f>'Медикаменты Сентябрь'!L256</f>
        <v>5</v>
      </c>
      <c r="D258" s="17"/>
      <c r="E258" s="14"/>
      <c r="F258" s="18">
        <f>5</f>
        <v>5</v>
      </c>
      <c r="G258" s="19"/>
      <c r="H258" s="20"/>
      <c r="I258" s="21"/>
      <c r="J258" s="14"/>
      <c r="K258" s="14">
        <f t="shared" si="6"/>
        <v>5</v>
      </c>
      <c r="L258" s="16">
        <f t="shared" si="7"/>
        <v>0</v>
      </c>
      <c r="M258" s="22">
        <v>45323</v>
      </c>
      <c r="N258" s="44" t="s">
        <v>551</v>
      </c>
      <c r="O258" s="23" t="s">
        <v>16</v>
      </c>
      <c r="P258" s="24" t="s">
        <v>45</v>
      </c>
      <c r="Q258" s="28" t="s">
        <v>348</v>
      </c>
    </row>
    <row r="259" spans="1:17">
      <c r="A259" s="14">
        <v>255</v>
      </c>
      <c r="B259" s="29" t="s">
        <v>349</v>
      </c>
      <c r="C259" s="16">
        <f>'Медикаменты Сентябрь'!L257</f>
        <v>0</v>
      </c>
      <c r="D259" s="17"/>
      <c r="E259" s="14"/>
      <c r="F259" s="18"/>
      <c r="G259" s="19"/>
      <c r="H259" s="20"/>
      <c r="I259" s="21"/>
      <c r="J259" s="14"/>
      <c r="K259" s="14">
        <f t="shared" si="6"/>
        <v>0</v>
      </c>
      <c r="L259" s="16">
        <f t="shared" si="7"/>
        <v>0</v>
      </c>
      <c r="M259" s="22"/>
      <c r="N259" s="44"/>
      <c r="O259" s="23" t="s">
        <v>16</v>
      </c>
      <c r="P259" s="24"/>
      <c r="Q259" s="45"/>
    </row>
    <row r="260" spans="1:17">
      <c r="A260" s="14">
        <v>256</v>
      </c>
      <c r="B260" s="29" t="s">
        <v>350</v>
      </c>
      <c r="C260" s="16">
        <f>'Медикаменты Сентябрь'!L258</f>
        <v>0</v>
      </c>
      <c r="D260" s="17"/>
      <c r="E260" s="14"/>
      <c r="F260" s="18"/>
      <c r="G260" s="19"/>
      <c r="H260" s="20"/>
      <c r="I260" s="21"/>
      <c r="J260" s="14"/>
      <c r="K260" s="14">
        <f t="shared" si="6"/>
        <v>0</v>
      </c>
      <c r="L260" s="16">
        <f t="shared" si="7"/>
        <v>0</v>
      </c>
      <c r="M260" s="22"/>
      <c r="N260" s="44"/>
      <c r="O260" s="23" t="s">
        <v>16</v>
      </c>
      <c r="P260" s="24"/>
      <c r="Q260" s="45"/>
    </row>
    <row r="261" spans="1:17">
      <c r="A261" s="14">
        <v>257</v>
      </c>
      <c r="B261" s="29" t="s">
        <v>609</v>
      </c>
      <c r="C261" s="16">
        <f>'Медикаменты Сентябрь'!L259</f>
        <v>50</v>
      </c>
      <c r="D261" s="17"/>
      <c r="E261" s="14"/>
      <c r="F261" s="18">
        <f>5+5+10+5</f>
        <v>25</v>
      </c>
      <c r="G261" s="19"/>
      <c r="H261" s="20"/>
      <c r="I261" s="21"/>
      <c r="J261" s="14"/>
      <c r="K261" s="14">
        <f t="shared" ref="K261:K324" si="8">SUM(F261:J261)</f>
        <v>25</v>
      </c>
      <c r="L261" s="16">
        <f t="shared" ref="L261:L324" si="9">(C261+E261)-K261</f>
        <v>25</v>
      </c>
      <c r="M261" s="22">
        <v>45474</v>
      </c>
      <c r="N261" s="44" t="s">
        <v>551</v>
      </c>
      <c r="O261" s="23" t="s">
        <v>16</v>
      </c>
      <c r="P261" s="24" t="s">
        <v>17</v>
      </c>
      <c r="Q261" s="28" t="s">
        <v>352</v>
      </c>
    </row>
    <row r="262" spans="1:17">
      <c r="A262" s="14">
        <v>258</v>
      </c>
      <c r="B262" s="29" t="s">
        <v>353</v>
      </c>
      <c r="C262" s="16">
        <f>'Медикаменты Сентябрь'!L260</f>
        <v>213</v>
      </c>
      <c r="D262" s="17"/>
      <c r="E262" s="14"/>
      <c r="F262" s="18">
        <f>10</f>
        <v>10</v>
      </c>
      <c r="G262" s="19"/>
      <c r="H262" s="20">
        <f>20</f>
        <v>20</v>
      </c>
      <c r="I262" s="21"/>
      <c r="J262" s="14"/>
      <c r="K262" s="14">
        <f t="shared" si="8"/>
        <v>30</v>
      </c>
      <c r="L262" s="16">
        <f t="shared" si="9"/>
        <v>183</v>
      </c>
      <c r="M262" s="22">
        <v>44652</v>
      </c>
      <c r="N262" s="44" t="s">
        <v>45</v>
      </c>
      <c r="O262" s="23" t="s">
        <v>16</v>
      </c>
      <c r="P262" s="24" t="s">
        <v>17</v>
      </c>
      <c r="Q262" s="28" t="s">
        <v>354</v>
      </c>
    </row>
    <row r="263" spans="1:17">
      <c r="A263" s="14">
        <v>259</v>
      </c>
      <c r="B263" s="29" t="s">
        <v>355</v>
      </c>
      <c r="C263" s="16">
        <f>'Медикаменты Сентябрь'!L261</f>
        <v>8</v>
      </c>
      <c r="D263" s="17"/>
      <c r="E263" s="14"/>
      <c r="F263" s="18"/>
      <c r="G263" s="19"/>
      <c r="H263" s="20"/>
      <c r="I263" s="21"/>
      <c r="J263" s="14"/>
      <c r="K263" s="14">
        <f t="shared" si="8"/>
        <v>0</v>
      </c>
      <c r="L263" s="16">
        <f t="shared" si="9"/>
        <v>8</v>
      </c>
      <c r="M263" s="22">
        <v>44713</v>
      </c>
      <c r="N263" s="44" t="s">
        <v>45</v>
      </c>
      <c r="O263" s="23" t="s">
        <v>16</v>
      </c>
      <c r="P263" s="24" t="s">
        <v>17</v>
      </c>
      <c r="Q263" s="28" t="s">
        <v>356</v>
      </c>
    </row>
    <row r="264" spans="1:17">
      <c r="A264" s="14">
        <v>260</v>
      </c>
      <c r="B264" s="29" t="s">
        <v>357</v>
      </c>
      <c r="C264" s="16">
        <f>'Медикаменты Сентябрь'!L262</f>
        <v>0</v>
      </c>
      <c r="D264" s="17"/>
      <c r="E264" s="14"/>
      <c r="F264" s="18"/>
      <c r="G264" s="19"/>
      <c r="H264" s="20"/>
      <c r="I264" s="21"/>
      <c r="J264" s="14"/>
      <c r="K264" s="14">
        <f t="shared" si="8"/>
        <v>0</v>
      </c>
      <c r="L264" s="16">
        <f t="shared" si="9"/>
        <v>0</v>
      </c>
      <c r="M264" s="22"/>
      <c r="N264" s="44"/>
      <c r="O264" s="23" t="s">
        <v>16</v>
      </c>
      <c r="P264" s="24"/>
      <c r="Q264" s="45"/>
    </row>
    <row r="265" spans="1:17">
      <c r="A265" s="14">
        <v>261</v>
      </c>
      <c r="B265" s="29" t="s">
        <v>633</v>
      </c>
      <c r="C265" s="16">
        <f>'Медикаменты Сентябрь'!L263</f>
        <v>3</v>
      </c>
      <c r="D265" s="17"/>
      <c r="E265" s="14"/>
      <c r="F265" s="18"/>
      <c r="G265" s="19"/>
      <c r="H265" s="20"/>
      <c r="I265" s="21"/>
      <c r="J265" s="14"/>
      <c r="K265" s="14">
        <f t="shared" si="8"/>
        <v>0</v>
      </c>
      <c r="L265" s="16">
        <f t="shared" si="9"/>
        <v>3</v>
      </c>
      <c r="M265" s="22">
        <v>45352</v>
      </c>
      <c r="N265" s="44" t="s">
        <v>551</v>
      </c>
      <c r="O265" s="23" t="s">
        <v>16</v>
      </c>
      <c r="P265" s="24" t="s">
        <v>17</v>
      </c>
      <c r="Q265" s="28" t="s">
        <v>634</v>
      </c>
    </row>
    <row r="266" spans="1:17">
      <c r="A266" s="14">
        <v>262</v>
      </c>
      <c r="B266" s="29" t="s">
        <v>360</v>
      </c>
      <c r="C266" s="16">
        <f>'Медикаменты Сентябрь'!L264</f>
        <v>50</v>
      </c>
      <c r="D266" s="17"/>
      <c r="E266" s="14"/>
      <c r="F266" s="18">
        <f>8</f>
        <v>8</v>
      </c>
      <c r="G266" s="19"/>
      <c r="H266" s="20"/>
      <c r="I266" s="21"/>
      <c r="J266" s="14"/>
      <c r="K266" s="14">
        <f t="shared" si="8"/>
        <v>8</v>
      </c>
      <c r="L266" s="16">
        <f t="shared" si="9"/>
        <v>42</v>
      </c>
      <c r="M266" s="22">
        <v>45352</v>
      </c>
      <c r="N266" s="44" t="s">
        <v>551</v>
      </c>
      <c r="O266" s="23" t="s">
        <v>16</v>
      </c>
      <c r="P266" s="24" t="s">
        <v>17</v>
      </c>
      <c r="Q266" s="28" t="s">
        <v>652</v>
      </c>
    </row>
    <row r="267" spans="1:17">
      <c r="A267" s="14">
        <v>263</v>
      </c>
      <c r="B267" s="29" t="s">
        <v>361</v>
      </c>
      <c r="C267" s="16">
        <f>'Медикаменты Сентябрь'!L265</f>
        <v>0</v>
      </c>
      <c r="D267" s="17"/>
      <c r="E267" s="14"/>
      <c r="F267" s="18"/>
      <c r="G267" s="19"/>
      <c r="H267" s="20"/>
      <c r="I267" s="21"/>
      <c r="J267" s="14"/>
      <c r="K267" s="14">
        <f t="shared" si="8"/>
        <v>0</v>
      </c>
      <c r="L267" s="16">
        <f t="shared" si="9"/>
        <v>0</v>
      </c>
      <c r="M267" s="22"/>
      <c r="N267" s="44"/>
      <c r="O267" s="23" t="s">
        <v>16</v>
      </c>
      <c r="P267" s="24"/>
      <c r="Q267" s="45"/>
    </row>
    <row r="268" spans="1:17">
      <c r="A268" s="14">
        <v>264</v>
      </c>
      <c r="B268" s="29" t="s">
        <v>362</v>
      </c>
      <c r="C268" s="16">
        <f>'Медикаменты Сентябрь'!L266</f>
        <v>0</v>
      </c>
      <c r="D268" s="17"/>
      <c r="E268" s="14"/>
      <c r="F268" s="18"/>
      <c r="G268" s="19"/>
      <c r="H268" s="20"/>
      <c r="I268" s="21"/>
      <c r="J268" s="14"/>
      <c r="K268" s="14">
        <f t="shared" si="8"/>
        <v>0</v>
      </c>
      <c r="L268" s="16">
        <f t="shared" si="9"/>
        <v>0</v>
      </c>
      <c r="M268" s="22">
        <v>45200</v>
      </c>
      <c r="N268" s="44"/>
      <c r="O268" s="23" t="s">
        <v>16</v>
      </c>
      <c r="P268" s="24"/>
      <c r="Q268" s="28" t="s">
        <v>363</v>
      </c>
    </row>
    <row r="269" spans="1:17">
      <c r="A269" s="14">
        <v>265</v>
      </c>
      <c r="B269" s="29" t="s">
        <v>364</v>
      </c>
      <c r="C269" s="16">
        <f>'Медикаменты Сентябрь'!L267</f>
        <v>0</v>
      </c>
      <c r="D269" s="17"/>
      <c r="E269" s="14"/>
      <c r="F269" s="18"/>
      <c r="G269" s="19"/>
      <c r="H269" s="20"/>
      <c r="I269" s="21"/>
      <c r="J269" s="14"/>
      <c r="K269" s="14">
        <f t="shared" si="8"/>
        <v>0</v>
      </c>
      <c r="L269" s="16">
        <f t="shared" si="9"/>
        <v>0</v>
      </c>
      <c r="M269" s="22">
        <v>44378</v>
      </c>
      <c r="N269" s="44"/>
      <c r="O269" s="23" t="s">
        <v>26</v>
      </c>
      <c r="P269" s="24"/>
      <c r="Q269" s="45"/>
    </row>
    <row r="270" spans="1:17">
      <c r="A270" s="14">
        <v>266</v>
      </c>
      <c r="B270" s="29" t="s">
        <v>365</v>
      </c>
      <c r="C270" s="16">
        <f>'Медикаменты Сентябрь'!L268</f>
        <v>0</v>
      </c>
      <c r="D270" s="17"/>
      <c r="E270" s="14"/>
      <c r="F270" s="18"/>
      <c r="G270" s="19"/>
      <c r="H270" s="20"/>
      <c r="I270" s="21"/>
      <c r="J270" s="14"/>
      <c r="K270" s="14">
        <f t="shared" si="8"/>
        <v>0</v>
      </c>
      <c r="L270" s="16">
        <f t="shared" si="9"/>
        <v>0</v>
      </c>
      <c r="M270" s="22"/>
      <c r="N270" s="44"/>
      <c r="O270" s="23" t="s">
        <v>16</v>
      </c>
      <c r="P270" s="24"/>
      <c r="Q270" s="45"/>
    </row>
    <row r="271" spans="1:17">
      <c r="A271" s="14">
        <v>267</v>
      </c>
      <c r="B271" s="29" t="s">
        <v>556</v>
      </c>
      <c r="C271" s="16">
        <f>'Медикаменты Сентябрь'!L269</f>
        <v>5</v>
      </c>
      <c r="D271" s="17"/>
      <c r="E271" s="14"/>
      <c r="F271" s="18">
        <f>1</f>
        <v>1</v>
      </c>
      <c r="G271" s="19"/>
      <c r="H271" s="20"/>
      <c r="I271" s="21"/>
      <c r="J271" s="14"/>
      <c r="K271" s="14">
        <f t="shared" si="8"/>
        <v>1</v>
      </c>
      <c r="L271" s="16">
        <f t="shared" si="9"/>
        <v>4</v>
      </c>
      <c r="M271" s="22">
        <v>45231</v>
      </c>
      <c r="N271" s="44" t="s">
        <v>551</v>
      </c>
      <c r="O271" s="23" t="s">
        <v>16</v>
      </c>
      <c r="P271" s="24" t="s">
        <v>17</v>
      </c>
      <c r="Q271" s="28" t="s">
        <v>557</v>
      </c>
    </row>
    <row r="272" spans="1:17">
      <c r="A272" s="14">
        <v>268</v>
      </c>
      <c r="B272" s="29" t="s">
        <v>556</v>
      </c>
      <c r="C272" s="16">
        <f>'Медикаменты Сентябрь'!L270</f>
        <v>0</v>
      </c>
      <c r="D272" s="17"/>
      <c r="E272" s="14"/>
      <c r="F272" s="18"/>
      <c r="G272" s="19"/>
      <c r="H272" s="20"/>
      <c r="I272" s="21"/>
      <c r="J272" s="14"/>
      <c r="K272" s="14">
        <f t="shared" si="8"/>
        <v>0</v>
      </c>
      <c r="L272" s="16">
        <f t="shared" si="9"/>
        <v>0</v>
      </c>
      <c r="M272" s="22">
        <v>45231</v>
      </c>
      <c r="N272" s="44" t="s">
        <v>551</v>
      </c>
      <c r="O272" s="23" t="s">
        <v>26</v>
      </c>
      <c r="P272" s="24" t="s">
        <v>17</v>
      </c>
      <c r="Q272" s="28" t="s">
        <v>557</v>
      </c>
    </row>
    <row r="273" spans="1:17">
      <c r="A273" s="14">
        <v>269</v>
      </c>
      <c r="B273" s="29" t="s">
        <v>367</v>
      </c>
      <c r="C273" s="16">
        <f>'Медикаменты Сентябрь'!L271</f>
        <v>0</v>
      </c>
      <c r="D273" s="17"/>
      <c r="E273" s="14"/>
      <c r="F273" s="18"/>
      <c r="G273" s="19"/>
      <c r="H273" s="20"/>
      <c r="I273" s="21"/>
      <c r="J273" s="14"/>
      <c r="K273" s="14">
        <f t="shared" si="8"/>
        <v>0</v>
      </c>
      <c r="L273" s="16">
        <f t="shared" si="9"/>
        <v>0</v>
      </c>
      <c r="M273" s="22">
        <v>45261</v>
      </c>
      <c r="N273" s="44" t="s">
        <v>45</v>
      </c>
      <c r="O273" s="23" t="s">
        <v>16</v>
      </c>
      <c r="P273" s="24" t="s">
        <v>17</v>
      </c>
      <c r="Q273" s="28" t="s">
        <v>368</v>
      </c>
    </row>
    <row r="274" spans="1:17">
      <c r="A274" s="14">
        <v>270</v>
      </c>
      <c r="B274" s="29" t="s">
        <v>369</v>
      </c>
      <c r="C274" s="16">
        <f>'Медикаменты Сентябрь'!L272</f>
        <v>0</v>
      </c>
      <c r="D274" s="17"/>
      <c r="E274" s="14"/>
      <c r="F274" s="18"/>
      <c r="G274" s="19"/>
      <c r="H274" s="20"/>
      <c r="I274" s="21"/>
      <c r="J274" s="14"/>
      <c r="K274" s="14">
        <f t="shared" si="8"/>
        <v>0</v>
      </c>
      <c r="L274" s="16">
        <f t="shared" si="9"/>
        <v>0</v>
      </c>
      <c r="M274" s="22">
        <v>44927</v>
      </c>
      <c r="N274" s="44" t="s">
        <v>45</v>
      </c>
      <c r="O274" s="23" t="s">
        <v>16</v>
      </c>
      <c r="P274" s="24" t="s">
        <v>45</v>
      </c>
      <c r="Q274" s="28" t="s">
        <v>370</v>
      </c>
    </row>
    <row r="275" spans="1:17">
      <c r="A275" s="14">
        <v>271</v>
      </c>
      <c r="B275" s="29" t="s">
        <v>371</v>
      </c>
      <c r="C275" s="16">
        <f>'Медикаменты Сентябрь'!L273</f>
        <v>0</v>
      </c>
      <c r="D275" s="17"/>
      <c r="E275" s="14"/>
      <c r="F275" s="18"/>
      <c r="G275" s="19"/>
      <c r="H275" s="20"/>
      <c r="I275" s="21"/>
      <c r="J275" s="14"/>
      <c r="K275" s="14">
        <f t="shared" si="8"/>
        <v>0</v>
      </c>
      <c r="L275" s="16">
        <f t="shared" si="9"/>
        <v>0</v>
      </c>
      <c r="M275" s="22">
        <v>45413</v>
      </c>
      <c r="N275" s="44"/>
      <c r="O275" s="23" t="s">
        <v>16</v>
      </c>
      <c r="P275" s="24" t="s">
        <v>17</v>
      </c>
      <c r="Q275" s="28" t="s">
        <v>372</v>
      </c>
    </row>
    <row r="276" spans="1:17">
      <c r="A276" s="14">
        <v>272</v>
      </c>
      <c r="B276" s="29" t="s">
        <v>371</v>
      </c>
      <c r="C276" s="16">
        <f>'Медикаменты Сентябрь'!L274</f>
        <v>0</v>
      </c>
      <c r="D276" s="17"/>
      <c r="E276" s="14"/>
      <c r="F276" s="18"/>
      <c r="G276" s="19"/>
      <c r="H276" s="20"/>
      <c r="I276" s="21"/>
      <c r="J276" s="14"/>
      <c r="K276" s="14">
        <f t="shared" si="8"/>
        <v>0</v>
      </c>
      <c r="L276" s="16">
        <f t="shared" si="9"/>
        <v>0</v>
      </c>
      <c r="M276" s="22">
        <v>45413</v>
      </c>
      <c r="N276" s="44"/>
      <c r="O276" s="23" t="s">
        <v>26</v>
      </c>
      <c r="P276" s="24"/>
      <c r="Q276" s="28" t="s">
        <v>372</v>
      </c>
    </row>
    <row r="277" spans="1:17">
      <c r="A277" s="14">
        <v>273</v>
      </c>
      <c r="B277" s="29" t="s">
        <v>373</v>
      </c>
      <c r="C277" s="16">
        <f>'Медикаменты Сентябрь'!L275</f>
        <v>0</v>
      </c>
      <c r="D277" s="17"/>
      <c r="E277" s="14"/>
      <c r="F277" s="18"/>
      <c r="G277" s="19"/>
      <c r="H277" s="20"/>
      <c r="I277" s="21"/>
      <c r="J277" s="14"/>
      <c r="K277" s="14">
        <f t="shared" si="8"/>
        <v>0</v>
      </c>
      <c r="L277" s="16">
        <f t="shared" si="9"/>
        <v>0</v>
      </c>
      <c r="M277" s="22">
        <v>45108</v>
      </c>
      <c r="N277" s="44"/>
      <c r="O277" s="23" t="s">
        <v>16</v>
      </c>
      <c r="P277" s="24"/>
      <c r="Q277" s="28" t="s">
        <v>374</v>
      </c>
    </row>
    <row r="278" spans="1:17">
      <c r="A278" s="14">
        <v>274</v>
      </c>
      <c r="B278" s="29" t="s">
        <v>373</v>
      </c>
      <c r="C278" s="16">
        <f>'Медикаменты Сентябрь'!L276</f>
        <v>0</v>
      </c>
      <c r="D278" s="17"/>
      <c r="E278" s="14"/>
      <c r="F278" s="18"/>
      <c r="G278" s="19"/>
      <c r="H278" s="20"/>
      <c r="I278" s="21"/>
      <c r="J278" s="14"/>
      <c r="K278" s="14">
        <f t="shared" si="8"/>
        <v>0</v>
      </c>
      <c r="L278" s="16">
        <f t="shared" si="9"/>
        <v>0</v>
      </c>
      <c r="M278" s="22">
        <v>45108</v>
      </c>
      <c r="N278" s="44"/>
      <c r="O278" s="23" t="s">
        <v>26</v>
      </c>
      <c r="P278" s="24"/>
      <c r="Q278" s="28" t="s">
        <v>374</v>
      </c>
    </row>
    <row r="279" spans="1:17">
      <c r="A279" s="14">
        <v>275</v>
      </c>
      <c r="B279" s="29" t="s">
        <v>653</v>
      </c>
      <c r="C279" s="16">
        <f>'Медикаменты Сентябрь'!L277</f>
        <v>80</v>
      </c>
      <c r="D279" s="17"/>
      <c r="E279" s="14"/>
      <c r="F279" s="18"/>
      <c r="G279" s="19"/>
      <c r="H279" s="20"/>
      <c r="I279" s="21"/>
      <c r="J279" s="14"/>
      <c r="K279" s="14">
        <f t="shared" si="8"/>
        <v>0</v>
      </c>
      <c r="L279" s="16">
        <f t="shared" si="9"/>
        <v>80</v>
      </c>
      <c r="M279" s="22">
        <v>45444</v>
      </c>
      <c r="N279" s="44" t="s">
        <v>551</v>
      </c>
      <c r="O279" s="23" t="s">
        <v>16</v>
      </c>
      <c r="P279" s="24" t="s">
        <v>17</v>
      </c>
      <c r="Q279" s="28" t="s">
        <v>654</v>
      </c>
    </row>
    <row r="280" spans="1:17">
      <c r="A280" s="14">
        <v>276</v>
      </c>
      <c r="B280" s="29" t="s">
        <v>375</v>
      </c>
      <c r="C280" s="16">
        <f>'Медикаменты Сентябрь'!L278</f>
        <v>0</v>
      </c>
      <c r="D280" s="17"/>
      <c r="E280" s="14"/>
      <c r="F280" s="18"/>
      <c r="G280" s="19"/>
      <c r="H280" s="20"/>
      <c r="I280" s="21"/>
      <c r="J280" s="14"/>
      <c r="K280" s="14">
        <f t="shared" si="8"/>
        <v>0</v>
      </c>
      <c r="L280" s="16">
        <f t="shared" si="9"/>
        <v>0</v>
      </c>
      <c r="M280" s="22">
        <v>44958</v>
      </c>
      <c r="N280" s="44"/>
      <c r="O280" s="23" t="s">
        <v>26</v>
      </c>
      <c r="P280" s="24"/>
      <c r="Q280" s="28" t="s">
        <v>376</v>
      </c>
    </row>
    <row r="281" spans="1:17">
      <c r="A281" s="14">
        <v>277</v>
      </c>
      <c r="B281" s="29" t="s">
        <v>377</v>
      </c>
      <c r="C281" s="16">
        <f>'Медикаменты Сентябрь'!L279</f>
        <v>535</v>
      </c>
      <c r="D281" s="17"/>
      <c r="E281" s="14"/>
      <c r="F281" s="18">
        <f>10+5+18</f>
        <v>33</v>
      </c>
      <c r="G281" s="19"/>
      <c r="H281" s="20"/>
      <c r="I281" s="21"/>
      <c r="J281" s="14"/>
      <c r="K281" s="14">
        <f t="shared" si="8"/>
        <v>33</v>
      </c>
      <c r="L281" s="16">
        <f t="shared" si="9"/>
        <v>502</v>
      </c>
      <c r="M281" s="22">
        <v>45230</v>
      </c>
      <c r="N281" s="44" t="s">
        <v>551</v>
      </c>
      <c r="O281" s="23" t="s">
        <v>16</v>
      </c>
      <c r="P281" s="24" t="s">
        <v>17</v>
      </c>
      <c r="Q281" s="28" t="s">
        <v>378</v>
      </c>
    </row>
    <row r="282" spans="1:17">
      <c r="A282" s="14">
        <v>278</v>
      </c>
      <c r="B282" s="29" t="s">
        <v>377</v>
      </c>
      <c r="C282" s="16">
        <f>'Медикаменты Сентябрь'!L280</f>
        <v>0</v>
      </c>
      <c r="D282" s="17"/>
      <c r="E282" s="14"/>
      <c r="F282" s="18"/>
      <c r="G282" s="19"/>
      <c r="H282" s="20"/>
      <c r="I282" s="21"/>
      <c r="J282" s="14"/>
      <c r="K282" s="14">
        <f t="shared" si="8"/>
        <v>0</v>
      </c>
      <c r="L282" s="16">
        <f t="shared" si="9"/>
        <v>0</v>
      </c>
      <c r="M282" s="22">
        <v>45170</v>
      </c>
      <c r="N282" s="44"/>
      <c r="O282" s="23" t="s">
        <v>26</v>
      </c>
      <c r="P282" s="24" t="s">
        <v>17</v>
      </c>
      <c r="Q282" s="28" t="s">
        <v>378</v>
      </c>
    </row>
    <row r="283" spans="1:17">
      <c r="A283" s="14">
        <v>279</v>
      </c>
      <c r="B283" s="29" t="s">
        <v>379</v>
      </c>
      <c r="C283" s="16">
        <f>'Медикаменты Сентябрь'!L281</f>
        <v>180</v>
      </c>
      <c r="D283" s="17"/>
      <c r="E283" s="14"/>
      <c r="F283" s="18">
        <f>5</f>
        <v>5</v>
      </c>
      <c r="G283" s="19"/>
      <c r="H283" s="20"/>
      <c r="I283" s="21"/>
      <c r="J283" s="14"/>
      <c r="K283" s="14">
        <f t="shared" si="8"/>
        <v>5</v>
      </c>
      <c r="L283" s="16">
        <f t="shared" si="9"/>
        <v>175</v>
      </c>
      <c r="M283" s="22">
        <v>45292</v>
      </c>
      <c r="N283" s="44" t="s">
        <v>551</v>
      </c>
      <c r="O283" s="23" t="s">
        <v>16</v>
      </c>
      <c r="P283" s="24" t="s">
        <v>17</v>
      </c>
      <c r="Q283" s="28"/>
    </row>
    <row r="284" spans="1:17">
      <c r="A284" s="14">
        <v>280</v>
      </c>
      <c r="B284" s="29" t="s">
        <v>380</v>
      </c>
      <c r="C284" s="16">
        <f>'Медикаменты Сентябрь'!L282</f>
        <v>0</v>
      </c>
      <c r="D284" s="17"/>
      <c r="E284" s="14"/>
      <c r="F284" s="18"/>
      <c r="G284" s="19"/>
      <c r="H284" s="20"/>
      <c r="I284" s="21"/>
      <c r="J284" s="14"/>
      <c r="K284" s="14">
        <f t="shared" si="8"/>
        <v>0</v>
      </c>
      <c r="L284" s="16">
        <f t="shared" si="9"/>
        <v>0</v>
      </c>
      <c r="M284" s="22">
        <v>44682</v>
      </c>
      <c r="N284" s="44"/>
      <c r="O284" s="23" t="s">
        <v>16</v>
      </c>
      <c r="P284" s="24" t="s">
        <v>45</v>
      </c>
      <c r="Q284" s="28" t="s">
        <v>381</v>
      </c>
    </row>
    <row r="285" spans="1:17">
      <c r="A285" s="14">
        <v>281</v>
      </c>
      <c r="B285" s="29" t="s">
        <v>382</v>
      </c>
      <c r="C285" s="16">
        <f>'Медикаменты Сентябрь'!L283</f>
        <v>0</v>
      </c>
      <c r="D285" s="17"/>
      <c r="E285" s="14"/>
      <c r="F285" s="18"/>
      <c r="G285" s="19"/>
      <c r="H285" s="20"/>
      <c r="I285" s="21"/>
      <c r="J285" s="14"/>
      <c r="K285" s="14">
        <f t="shared" si="8"/>
        <v>0</v>
      </c>
      <c r="L285" s="16">
        <f t="shared" si="9"/>
        <v>0</v>
      </c>
      <c r="M285" s="22">
        <v>44743</v>
      </c>
      <c r="N285" s="44"/>
      <c r="O285" s="23" t="s">
        <v>16</v>
      </c>
      <c r="P285" s="24"/>
      <c r="Q285" s="28" t="s">
        <v>383</v>
      </c>
    </row>
    <row r="286" spans="1:17">
      <c r="A286" s="14">
        <v>282</v>
      </c>
      <c r="B286" s="29" t="s">
        <v>384</v>
      </c>
      <c r="C286" s="16">
        <f>'Медикаменты Сентябрь'!L284</f>
        <v>0</v>
      </c>
      <c r="D286" s="17"/>
      <c r="E286" s="14"/>
      <c r="F286" s="18"/>
      <c r="G286" s="19"/>
      <c r="H286" s="20"/>
      <c r="I286" s="21"/>
      <c r="J286" s="14"/>
      <c r="K286" s="14">
        <f t="shared" si="8"/>
        <v>0</v>
      </c>
      <c r="L286" s="16">
        <f t="shared" si="9"/>
        <v>0</v>
      </c>
      <c r="M286" s="22"/>
      <c r="N286" s="44"/>
      <c r="O286" s="23" t="s">
        <v>16</v>
      </c>
      <c r="P286" s="24"/>
      <c r="Q286" s="45"/>
    </row>
    <row r="287" spans="1:17">
      <c r="A287" s="14">
        <v>283</v>
      </c>
      <c r="B287" s="29" t="s">
        <v>385</v>
      </c>
      <c r="C287" s="16">
        <f>'Медикаменты Сентябрь'!L285</f>
        <v>0</v>
      </c>
      <c r="D287" s="17"/>
      <c r="E287" s="14"/>
      <c r="F287" s="18"/>
      <c r="G287" s="19"/>
      <c r="H287" s="20"/>
      <c r="I287" s="21"/>
      <c r="J287" s="14"/>
      <c r="K287" s="14">
        <f t="shared" si="8"/>
        <v>0</v>
      </c>
      <c r="L287" s="16">
        <f t="shared" si="9"/>
        <v>0</v>
      </c>
      <c r="M287" s="22"/>
      <c r="N287" s="44"/>
      <c r="O287" s="23" t="s">
        <v>16</v>
      </c>
      <c r="P287" s="24"/>
      <c r="Q287" s="45"/>
    </row>
    <row r="288" spans="1:17">
      <c r="A288" s="14">
        <v>284</v>
      </c>
      <c r="B288" s="29" t="s">
        <v>610</v>
      </c>
      <c r="C288" s="16">
        <f>'Медикаменты Сентябрь'!L286</f>
        <v>75</v>
      </c>
      <c r="D288" s="17"/>
      <c r="E288" s="14"/>
      <c r="F288" s="18"/>
      <c r="G288" s="19"/>
      <c r="H288" s="20"/>
      <c r="I288" s="21"/>
      <c r="J288" s="14"/>
      <c r="K288" s="14">
        <f t="shared" si="8"/>
        <v>0</v>
      </c>
      <c r="L288" s="16">
        <f t="shared" si="9"/>
        <v>75</v>
      </c>
      <c r="M288" s="22">
        <v>45444</v>
      </c>
      <c r="N288" s="44" t="s">
        <v>551</v>
      </c>
      <c r="O288" s="23" t="s">
        <v>16</v>
      </c>
      <c r="P288" s="24" t="s">
        <v>45</v>
      </c>
      <c r="Q288" s="28" t="s">
        <v>611</v>
      </c>
    </row>
    <row r="289" spans="1:17">
      <c r="A289" s="14">
        <v>285</v>
      </c>
      <c r="B289" s="29" t="s">
        <v>635</v>
      </c>
      <c r="C289" s="16">
        <f>'Медикаменты Сентябрь'!L287</f>
        <v>90</v>
      </c>
      <c r="D289" s="17"/>
      <c r="E289" s="14"/>
      <c r="F289" s="18">
        <f>5</f>
        <v>5</v>
      </c>
      <c r="G289" s="19"/>
      <c r="H289" s="20"/>
      <c r="I289" s="21"/>
      <c r="J289" s="14"/>
      <c r="K289" s="14">
        <f t="shared" si="8"/>
        <v>5</v>
      </c>
      <c r="L289" s="16">
        <f t="shared" si="9"/>
        <v>85</v>
      </c>
      <c r="M289" s="22">
        <v>45323</v>
      </c>
      <c r="N289" s="44" t="s">
        <v>551</v>
      </c>
      <c r="O289" s="23" t="s">
        <v>16</v>
      </c>
      <c r="P289" s="24" t="s">
        <v>17</v>
      </c>
      <c r="Q289" s="28" t="s">
        <v>636</v>
      </c>
    </row>
    <row r="290" spans="1:17">
      <c r="A290" s="14">
        <v>286</v>
      </c>
      <c r="B290" s="29" t="s">
        <v>387</v>
      </c>
      <c r="C290" s="16">
        <f>'Медикаменты Сентябрь'!L288</f>
        <v>0</v>
      </c>
      <c r="D290" s="17"/>
      <c r="E290" s="14"/>
      <c r="F290" s="18"/>
      <c r="G290" s="19"/>
      <c r="H290" s="20"/>
      <c r="I290" s="21"/>
      <c r="J290" s="14"/>
      <c r="K290" s="14">
        <f t="shared" si="8"/>
        <v>0</v>
      </c>
      <c r="L290" s="16">
        <f t="shared" si="9"/>
        <v>0</v>
      </c>
      <c r="M290" s="22"/>
      <c r="N290" s="44"/>
      <c r="O290" s="23" t="s">
        <v>16</v>
      </c>
      <c r="P290" s="24"/>
      <c r="Q290" s="45"/>
    </row>
    <row r="291" spans="1:17">
      <c r="A291" s="14">
        <v>287</v>
      </c>
      <c r="B291" s="29" t="s">
        <v>388</v>
      </c>
      <c r="C291" s="16">
        <f>'Медикаменты Сентябрь'!L289</f>
        <v>0</v>
      </c>
      <c r="D291" s="17"/>
      <c r="E291" s="14"/>
      <c r="F291" s="18"/>
      <c r="G291" s="19"/>
      <c r="H291" s="20"/>
      <c r="I291" s="21"/>
      <c r="J291" s="14"/>
      <c r="K291" s="14">
        <f t="shared" si="8"/>
        <v>0</v>
      </c>
      <c r="L291" s="16">
        <f t="shared" si="9"/>
        <v>0</v>
      </c>
      <c r="M291" s="22">
        <v>45139</v>
      </c>
      <c r="N291" s="44"/>
      <c r="O291" s="23" t="s">
        <v>16</v>
      </c>
      <c r="P291" s="24"/>
      <c r="Q291" s="28" t="s">
        <v>389</v>
      </c>
    </row>
    <row r="292" spans="1:17">
      <c r="A292" s="14">
        <v>288</v>
      </c>
      <c r="B292" s="29" t="s">
        <v>390</v>
      </c>
      <c r="C292" s="16">
        <f>'Медикаменты Сентябрь'!L290</f>
        <v>0</v>
      </c>
      <c r="D292" s="26"/>
      <c r="E292" s="14"/>
      <c r="F292" s="18"/>
      <c r="G292" s="19"/>
      <c r="H292" s="20"/>
      <c r="I292" s="21"/>
      <c r="J292" s="14"/>
      <c r="K292" s="14">
        <f t="shared" si="8"/>
        <v>0</v>
      </c>
      <c r="L292" s="16">
        <f t="shared" si="9"/>
        <v>0</v>
      </c>
      <c r="M292" s="22"/>
      <c r="N292" s="44"/>
      <c r="O292" s="23" t="s">
        <v>16</v>
      </c>
      <c r="P292" s="24"/>
      <c r="Q292" s="28" t="s">
        <v>391</v>
      </c>
    </row>
    <row r="293" spans="1:17">
      <c r="A293" s="14">
        <v>289</v>
      </c>
      <c r="B293" s="29" t="s">
        <v>392</v>
      </c>
      <c r="C293" s="16">
        <f>'Медикаменты Сентябрь'!L291</f>
        <v>0</v>
      </c>
      <c r="D293" s="17"/>
      <c r="E293" s="14"/>
      <c r="F293" s="18"/>
      <c r="G293" s="19"/>
      <c r="H293" s="20"/>
      <c r="I293" s="21"/>
      <c r="J293" s="14"/>
      <c r="K293" s="14">
        <f t="shared" si="8"/>
        <v>0</v>
      </c>
      <c r="L293" s="16">
        <f t="shared" si="9"/>
        <v>0</v>
      </c>
      <c r="M293" s="22"/>
      <c r="N293" s="44"/>
      <c r="O293" s="23" t="s">
        <v>16</v>
      </c>
      <c r="P293" s="24"/>
      <c r="Q293" s="45"/>
    </row>
    <row r="294" spans="1:17">
      <c r="A294" s="14">
        <v>290</v>
      </c>
      <c r="B294" s="29" t="s">
        <v>664</v>
      </c>
      <c r="C294" s="16"/>
      <c r="D294" s="17"/>
      <c r="E294" s="14">
        <f>10</f>
        <v>10</v>
      </c>
      <c r="F294" s="18"/>
      <c r="G294" s="19"/>
      <c r="H294" s="20"/>
      <c r="I294" s="21"/>
      <c r="J294" s="14"/>
      <c r="K294" s="14">
        <f t="shared" si="8"/>
        <v>0</v>
      </c>
      <c r="L294" s="16">
        <f t="shared" si="9"/>
        <v>10</v>
      </c>
      <c r="M294" s="22">
        <v>45200</v>
      </c>
      <c r="N294" s="44" t="s">
        <v>551</v>
      </c>
      <c r="O294" s="23" t="s">
        <v>16</v>
      </c>
      <c r="P294" s="24" t="s">
        <v>17</v>
      </c>
      <c r="Q294" s="28" t="s">
        <v>665</v>
      </c>
    </row>
    <row r="295" spans="1:17">
      <c r="A295" s="14">
        <v>291</v>
      </c>
      <c r="B295" s="29" t="s">
        <v>573</v>
      </c>
      <c r="C295" s="16">
        <f>'Медикаменты Сентябрь'!L292</f>
        <v>4</v>
      </c>
      <c r="D295" s="17"/>
      <c r="E295" s="14"/>
      <c r="F295" s="18">
        <f>1</f>
        <v>1</v>
      </c>
      <c r="G295" s="19"/>
      <c r="H295" s="20"/>
      <c r="I295" s="21"/>
      <c r="J295" s="14"/>
      <c r="K295" s="14">
        <f t="shared" si="8"/>
        <v>1</v>
      </c>
      <c r="L295" s="16">
        <f t="shared" si="9"/>
        <v>3</v>
      </c>
      <c r="M295" s="22">
        <v>45047</v>
      </c>
      <c r="N295" s="44" t="s">
        <v>45</v>
      </c>
      <c r="O295" s="23" t="s">
        <v>16</v>
      </c>
      <c r="P295" s="24" t="s">
        <v>17</v>
      </c>
      <c r="Q295" s="28" t="s">
        <v>574</v>
      </c>
    </row>
    <row r="296" spans="1:17">
      <c r="A296" s="14">
        <v>292</v>
      </c>
      <c r="B296" s="29" t="s">
        <v>393</v>
      </c>
      <c r="C296" s="16">
        <f>'Медикаменты Сентябрь'!L293</f>
        <v>48</v>
      </c>
      <c r="D296" s="17"/>
      <c r="E296" s="14"/>
      <c r="F296" s="18"/>
      <c r="G296" s="19"/>
      <c r="H296" s="20"/>
      <c r="I296" s="21"/>
      <c r="J296" s="14"/>
      <c r="K296" s="14">
        <f t="shared" si="8"/>
        <v>0</v>
      </c>
      <c r="L296" s="16">
        <f t="shared" si="9"/>
        <v>48</v>
      </c>
      <c r="M296" s="22">
        <v>44652</v>
      </c>
      <c r="N296" s="44" t="s">
        <v>45</v>
      </c>
      <c r="O296" s="23" t="s">
        <v>16</v>
      </c>
      <c r="P296" s="24" t="s">
        <v>17</v>
      </c>
      <c r="Q296" s="28" t="s">
        <v>394</v>
      </c>
    </row>
    <row r="297" spans="1:17">
      <c r="A297" s="14">
        <v>293</v>
      </c>
      <c r="B297" s="29" t="s">
        <v>395</v>
      </c>
      <c r="C297" s="16">
        <f>'Медикаменты Сентябрь'!L294</f>
        <v>70</v>
      </c>
      <c r="D297" s="17"/>
      <c r="E297" s="14"/>
      <c r="F297" s="18">
        <f>10+5</f>
        <v>15</v>
      </c>
      <c r="G297" s="19"/>
      <c r="H297" s="20"/>
      <c r="I297" s="21"/>
      <c r="J297" s="14"/>
      <c r="K297" s="14">
        <f t="shared" si="8"/>
        <v>15</v>
      </c>
      <c r="L297" s="16">
        <f t="shared" si="9"/>
        <v>55</v>
      </c>
      <c r="M297" s="22">
        <v>45689</v>
      </c>
      <c r="N297" s="44" t="s">
        <v>551</v>
      </c>
      <c r="O297" s="23" t="s">
        <v>16</v>
      </c>
      <c r="P297" s="24" t="s">
        <v>17</v>
      </c>
      <c r="Q297" s="28" t="s">
        <v>396</v>
      </c>
    </row>
    <row r="298" spans="1:17">
      <c r="A298" s="14">
        <v>294</v>
      </c>
      <c r="B298" s="29" t="s">
        <v>397</v>
      </c>
      <c r="C298" s="16">
        <f>'Медикаменты Сентябрь'!L295</f>
        <v>21</v>
      </c>
      <c r="D298" s="17"/>
      <c r="E298" s="14"/>
      <c r="F298" s="18">
        <f>10+5</f>
        <v>15</v>
      </c>
      <c r="G298" s="19"/>
      <c r="H298" s="20"/>
      <c r="I298" s="21"/>
      <c r="J298" s="14"/>
      <c r="K298" s="14">
        <f t="shared" si="8"/>
        <v>15</v>
      </c>
      <c r="L298" s="16">
        <f t="shared" si="9"/>
        <v>6</v>
      </c>
      <c r="M298" s="22">
        <v>45689</v>
      </c>
      <c r="N298" s="44" t="s">
        <v>45</v>
      </c>
      <c r="O298" s="23" t="s">
        <v>16</v>
      </c>
      <c r="P298" s="24" t="s">
        <v>17</v>
      </c>
      <c r="Q298" s="28" t="s">
        <v>587</v>
      </c>
    </row>
    <row r="299" spans="1:17">
      <c r="A299" s="14">
        <v>295</v>
      </c>
      <c r="B299" s="29" t="s">
        <v>398</v>
      </c>
      <c r="C299" s="16">
        <f>'Медикаменты Сентябрь'!L296</f>
        <v>0</v>
      </c>
      <c r="D299" s="17"/>
      <c r="E299" s="14"/>
      <c r="F299" s="18"/>
      <c r="G299" s="19"/>
      <c r="H299" s="20"/>
      <c r="I299" s="21"/>
      <c r="J299" s="14"/>
      <c r="K299" s="14">
        <f t="shared" si="8"/>
        <v>0</v>
      </c>
      <c r="L299" s="16">
        <f t="shared" si="9"/>
        <v>0</v>
      </c>
      <c r="M299" s="22">
        <v>44256</v>
      </c>
      <c r="N299" s="44"/>
      <c r="O299" s="23" t="s">
        <v>16</v>
      </c>
      <c r="P299" s="24"/>
      <c r="Q299" s="28" t="s">
        <v>399</v>
      </c>
    </row>
    <row r="300" spans="1:17">
      <c r="A300" s="14">
        <v>296</v>
      </c>
      <c r="B300" s="29" t="s">
        <v>400</v>
      </c>
      <c r="C300" s="16">
        <f>'Медикаменты Сентябрь'!L297</f>
        <v>0</v>
      </c>
      <c r="D300" s="17"/>
      <c r="E300" s="14"/>
      <c r="F300" s="18"/>
      <c r="G300" s="19"/>
      <c r="H300" s="20"/>
      <c r="I300" s="21"/>
      <c r="J300" s="14"/>
      <c r="K300" s="14">
        <f t="shared" si="8"/>
        <v>0</v>
      </c>
      <c r="L300" s="16">
        <f t="shared" si="9"/>
        <v>0</v>
      </c>
      <c r="M300" s="22">
        <v>44531</v>
      </c>
      <c r="N300" s="44"/>
      <c r="O300" s="23" t="s">
        <v>16</v>
      </c>
      <c r="P300" s="24" t="s">
        <v>45</v>
      </c>
      <c r="Q300" s="28" t="s">
        <v>401</v>
      </c>
    </row>
    <row r="301" spans="1:17">
      <c r="A301" s="14">
        <v>297</v>
      </c>
      <c r="B301" s="29" t="s">
        <v>637</v>
      </c>
      <c r="C301" s="16">
        <f>'Медикаменты Сентябрь'!L298</f>
        <v>0</v>
      </c>
      <c r="D301" s="17"/>
      <c r="E301" s="14"/>
      <c r="F301" s="18"/>
      <c r="G301" s="19"/>
      <c r="H301" s="20"/>
      <c r="I301" s="21"/>
      <c r="J301" s="14"/>
      <c r="K301" s="14">
        <f t="shared" si="8"/>
        <v>0</v>
      </c>
      <c r="L301" s="16">
        <f t="shared" si="9"/>
        <v>0</v>
      </c>
      <c r="M301" s="22">
        <v>45108</v>
      </c>
      <c r="N301" s="44"/>
      <c r="O301" s="23" t="s">
        <v>26</v>
      </c>
      <c r="P301" s="24" t="s">
        <v>45</v>
      </c>
      <c r="Q301" s="28" t="s">
        <v>403</v>
      </c>
    </row>
    <row r="302" spans="1:17">
      <c r="A302" s="14">
        <v>298</v>
      </c>
      <c r="B302" s="29" t="s">
        <v>404</v>
      </c>
      <c r="C302" s="16">
        <f>'Медикаменты Сентябрь'!L299</f>
        <v>0</v>
      </c>
      <c r="D302" s="17"/>
      <c r="E302" s="14"/>
      <c r="F302" s="18"/>
      <c r="G302" s="19"/>
      <c r="H302" s="20"/>
      <c r="I302" s="21"/>
      <c r="J302" s="14"/>
      <c r="K302" s="14">
        <f t="shared" si="8"/>
        <v>0</v>
      </c>
      <c r="L302" s="16">
        <f t="shared" si="9"/>
        <v>0</v>
      </c>
      <c r="M302" s="22"/>
      <c r="N302" s="44"/>
      <c r="O302" s="23" t="s">
        <v>16</v>
      </c>
      <c r="P302" s="24"/>
      <c r="Q302" s="45"/>
    </row>
    <row r="303" spans="1:17">
      <c r="A303" s="14">
        <v>299</v>
      </c>
      <c r="B303" s="29" t="s">
        <v>549</v>
      </c>
      <c r="C303" s="16">
        <f>'Медикаменты Сентябрь'!L300</f>
        <v>0</v>
      </c>
      <c r="D303" s="17"/>
      <c r="E303" s="14"/>
      <c r="F303" s="18"/>
      <c r="G303" s="19"/>
      <c r="H303" s="20"/>
      <c r="I303" s="21"/>
      <c r="J303" s="14"/>
      <c r="K303" s="14">
        <f t="shared" si="8"/>
        <v>0</v>
      </c>
      <c r="L303" s="16">
        <f t="shared" si="9"/>
        <v>0</v>
      </c>
      <c r="M303" s="22">
        <v>44287</v>
      </c>
      <c r="N303" s="44"/>
      <c r="O303" s="23" t="s">
        <v>16</v>
      </c>
      <c r="P303" s="24" t="s">
        <v>45</v>
      </c>
      <c r="Q303" s="28" t="s">
        <v>406</v>
      </c>
    </row>
    <row r="304" spans="1:17">
      <c r="A304" s="14">
        <v>300</v>
      </c>
      <c r="B304" s="29" t="s">
        <v>407</v>
      </c>
      <c r="C304" s="16">
        <f>'Медикаменты Сентябрь'!L301</f>
        <v>0</v>
      </c>
      <c r="D304" s="17"/>
      <c r="E304" s="14"/>
      <c r="F304" s="18"/>
      <c r="G304" s="19"/>
      <c r="H304" s="20"/>
      <c r="I304" s="21"/>
      <c r="J304" s="14"/>
      <c r="K304" s="14">
        <f t="shared" si="8"/>
        <v>0</v>
      </c>
      <c r="L304" s="16">
        <f t="shared" si="9"/>
        <v>0</v>
      </c>
      <c r="M304" s="22">
        <v>44562</v>
      </c>
      <c r="N304" s="44"/>
      <c r="O304" s="23" t="s">
        <v>16</v>
      </c>
      <c r="P304" s="24" t="s">
        <v>17</v>
      </c>
      <c r="Q304" s="28" t="s">
        <v>408</v>
      </c>
    </row>
    <row r="305" spans="1:17">
      <c r="A305" s="14">
        <v>301</v>
      </c>
      <c r="B305" s="29" t="s">
        <v>409</v>
      </c>
      <c r="C305" s="16">
        <f>'Медикаменты Сентябрь'!L302</f>
        <v>210</v>
      </c>
      <c r="D305" s="17"/>
      <c r="E305" s="14"/>
      <c r="F305" s="18"/>
      <c r="G305" s="19"/>
      <c r="H305" s="20">
        <f>20</f>
        <v>20</v>
      </c>
      <c r="I305" s="21"/>
      <c r="J305" s="14"/>
      <c r="K305" s="14">
        <f t="shared" si="8"/>
        <v>20</v>
      </c>
      <c r="L305" s="16">
        <f t="shared" si="9"/>
        <v>190</v>
      </c>
      <c r="M305" s="22">
        <v>45139</v>
      </c>
      <c r="N305" s="44" t="s">
        <v>45</v>
      </c>
      <c r="O305" s="23" t="s">
        <v>16</v>
      </c>
      <c r="P305" s="24" t="s">
        <v>17</v>
      </c>
      <c r="Q305" s="28" t="s">
        <v>410</v>
      </c>
    </row>
    <row r="306" spans="1:17">
      <c r="A306" s="14">
        <v>302</v>
      </c>
      <c r="B306" s="29" t="s">
        <v>411</v>
      </c>
      <c r="C306" s="16">
        <f>'Медикаменты Сентябрь'!L303</f>
        <v>0</v>
      </c>
      <c r="D306" s="17"/>
      <c r="E306" s="14"/>
      <c r="F306" s="18"/>
      <c r="G306" s="19"/>
      <c r="H306" s="20"/>
      <c r="I306" s="21"/>
      <c r="J306" s="14"/>
      <c r="K306" s="14">
        <f t="shared" si="8"/>
        <v>0</v>
      </c>
      <c r="L306" s="16">
        <f t="shared" si="9"/>
        <v>0</v>
      </c>
      <c r="M306" s="22">
        <v>45413</v>
      </c>
      <c r="N306" s="44" t="s">
        <v>45</v>
      </c>
      <c r="O306" s="23" t="s">
        <v>16</v>
      </c>
      <c r="P306" s="24" t="s">
        <v>45</v>
      </c>
      <c r="Q306" s="28" t="s">
        <v>412</v>
      </c>
    </row>
    <row r="307" spans="1:17">
      <c r="A307" s="14">
        <v>303</v>
      </c>
      <c r="B307" s="29" t="s">
        <v>413</v>
      </c>
      <c r="C307" s="16">
        <f>'Медикаменты Сентябрь'!L304</f>
        <v>0</v>
      </c>
      <c r="D307" s="17"/>
      <c r="E307" s="14"/>
      <c r="F307" s="18"/>
      <c r="G307" s="19"/>
      <c r="H307" s="20"/>
      <c r="I307" s="21"/>
      <c r="J307" s="14"/>
      <c r="K307" s="14">
        <f t="shared" si="8"/>
        <v>0</v>
      </c>
      <c r="L307" s="16">
        <f t="shared" si="9"/>
        <v>0</v>
      </c>
      <c r="M307" s="22">
        <v>45474</v>
      </c>
      <c r="N307" s="44"/>
      <c r="O307" s="23" t="s">
        <v>16</v>
      </c>
      <c r="P307" s="24"/>
      <c r="Q307" s="28"/>
    </row>
    <row r="308" spans="1:17">
      <c r="A308" s="14">
        <v>304</v>
      </c>
      <c r="B308" s="29" t="s">
        <v>414</v>
      </c>
      <c r="C308" s="16">
        <f>'Медикаменты Сентябрь'!L305</f>
        <v>0</v>
      </c>
      <c r="D308" s="17"/>
      <c r="E308" s="14"/>
      <c r="F308" s="18"/>
      <c r="G308" s="19"/>
      <c r="H308" s="20"/>
      <c r="I308" s="21"/>
      <c r="J308" s="14"/>
      <c r="K308" s="14">
        <f t="shared" si="8"/>
        <v>0</v>
      </c>
      <c r="L308" s="16">
        <f t="shared" si="9"/>
        <v>0</v>
      </c>
      <c r="M308" s="22"/>
      <c r="N308" s="44"/>
      <c r="O308" s="23" t="s">
        <v>16</v>
      </c>
      <c r="P308" s="24"/>
      <c r="Q308" s="28"/>
    </row>
    <row r="309" spans="1:17">
      <c r="A309" s="14">
        <v>305</v>
      </c>
      <c r="B309" s="29" t="s">
        <v>415</v>
      </c>
      <c r="C309" s="16">
        <f>'Медикаменты Сентябрь'!L306</f>
        <v>180</v>
      </c>
      <c r="D309" s="17"/>
      <c r="E309" s="14"/>
      <c r="F309" s="18"/>
      <c r="G309" s="19"/>
      <c r="H309" s="20"/>
      <c r="I309" s="21"/>
      <c r="J309" s="14"/>
      <c r="K309" s="14">
        <f t="shared" si="8"/>
        <v>0</v>
      </c>
      <c r="L309" s="16">
        <f t="shared" si="9"/>
        <v>180</v>
      </c>
      <c r="M309" s="22">
        <v>45323</v>
      </c>
      <c r="N309" s="44" t="s">
        <v>551</v>
      </c>
      <c r="O309" s="23" t="s">
        <v>16</v>
      </c>
      <c r="P309" s="24" t="s">
        <v>17</v>
      </c>
      <c r="Q309" s="28" t="s">
        <v>416</v>
      </c>
    </row>
    <row r="310" spans="1:17">
      <c r="A310" s="14">
        <v>306</v>
      </c>
      <c r="B310" s="29" t="s">
        <v>415</v>
      </c>
      <c r="C310" s="16">
        <f>'Медикаменты Сентябрь'!L307</f>
        <v>0</v>
      </c>
      <c r="D310" s="17"/>
      <c r="E310" s="14"/>
      <c r="F310" s="18"/>
      <c r="G310" s="19"/>
      <c r="H310" s="20"/>
      <c r="I310" s="21"/>
      <c r="J310" s="14"/>
      <c r="K310" s="14">
        <f t="shared" si="8"/>
        <v>0</v>
      </c>
      <c r="L310" s="16">
        <f t="shared" si="9"/>
        <v>0</v>
      </c>
      <c r="M310" s="22">
        <v>44986</v>
      </c>
      <c r="N310" s="44"/>
      <c r="O310" s="23" t="s">
        <v>26</v>
      </c>
      <c r="P310" s="24"/>
      <c r="Q310" s="28" t="s">
        <v>416</v>
      </c>
    </row>
    <row r="311" spans="1:17">
      <c r="A311" s="14">
        <v>307</v>
      </c>
      <c r="B311" s="31" t="s">
        <v>417</v>
      </c>
      <c r="C311" s="16">
        <f>'Медикаменты Сентябрь'!L308</f>
        <v>0</v>
      </c>
      <c r="D311" s="17"/>
      <c r="E311" s="14"/>
      <c r="F311" s="18"/>
      <c r="G311" s="19"/>
      <c r="H311" s="20"/>
      <c r="I311" s="21"/>
      <c r="J311" s="14"/>
      <c r="K311" s="14">
        <f t="shared" si="8"/>
        <v>0</v>
      </c>
      <c r="L311" s="16">
        <f t="shared" si="9"/>
        <v>0</v>
      </c>
      <c r="M311" s="22">
        <v>44136</v>
      </c>
      <c r="N311" s="44"/>
      <c r="O311" s="23" t="s">
        <v>16</v>
      </c>
      <c r="P311" s="24"/>
      <c r="Q311" s="28" t="s">
        <v>418</v>
      </c>
    </row>
    <row r="312" spans="1:17">
      <c r="A312" s="14">
        <v>308</v>
      </c>
      <c r="B312" s="29" t="s">
        <v>419</v>
      </c>
      <c r="C312" s="16">
        <f>'Медикаменты Сентябрь'!L309</f>
        <v>0</v>
      </c>
      <c r="D312" s="17"/>
      <c r="E312" s="14"/>
      <c r="F312" s="18"/>
      <c r="G312" s="19"/>
      <c r="H312" s="20"/>
      <c r="I312" s="21"/>
      <c r="J312" s="14"/>
      <c r="K312" s="14">
        <f t="shared" si="8"/>
        <v>0</v>
      </c>
      <c r="L312" s="16">
        <f t="shared" si="9"/>
        <v>0</v>
      </c>
      <c r="M312" s="22"/>
      <c r="N312" s="44"/>
      <c r="O312" s="23" t="s">
        <v>16</v>
      </c>
      <c r="P312" s="24"/>
      <c r="Q312" s="45"/>
    </row>
    <row r="313" spans="1:17">
      <c r="A313" s="14">
        <v>309</v>
      </c>
      <c r="B313" s="29" t="s">
        <v>420</v>
      </c>
      <c r="C313" s="16">
        <f>'Медикаменты Сентябрь'!L310</f>
        <v>0</v>
      </c>
      <c r="D313" s="17"/>
      <c r="E313" s="14"/>
      <c r="F313" s="18"/>
      <c r="G313" s="19"/>
      <c r="H313" s="20"/>
      <c r="I313" s="21"/>
      <c r="J313" s="14"/>
      <c r="K313" s="14">
        <f t="shared" si="8"/>
        <v>0</v>
      </c>
      <c r="L313" s="16">
        <f t="shared" si="9"/>
        <v>0</v>
      </c>
      <c r="M313" s="22">
        <v>45047</v>
      </c>
      <c r="N313" s="44" t="s">
        <v>45</v>
      </c>
      <c r="O313" s="23" t="s">
        <v>16</v>
      </c>
      <c r="P313" s="24" t="s">
        <v>17</v>
      </c>
      <c r="Q313" s="28" t="s">
        <v>421</v>
      </c>
    </row>
    <row r="314" spans="1:17">
      <c r="A314" s="14">
        <v>310</v>
      </c>
      <c r="B314" s="29" t="s">
        <v>420</v>
      </c>
      <c r="C314" s="16">
        <f>'Медикаменты Сентябрь'!L311</f>
        <v>0</v>
      </c>
      <c r="D314" s="17"/>
      <c r="E314" s="14"/>
      <c r="F314" s="18"/>
      <c r="G314" s="19"/>
      <c r="H314" s="20"/>
      <c r="I314" s="21"/>
      <c r="J314" s="14"/>
      <c r="K314" s="14">
        <f t="shared" si="8"/>
        <v>0</v>
      </c>
      <c r="L314" s="16">
        <f t="shared" si="9"/>
        <v>0</v>
      </c>
      <c r="M314" s="22">
        <v>45047</v>
      </c>
      <c r="N314" s="44"/>
      <c r="O314" s="23" t="s">
        <v>26</v>
      </c>
      <c r="P314" s="24"/>
      <c r="Q314" s="28" t="s">
        <v>421</v>
      </c>
    </row>
    <row r="315" spans="1:17">
      <c r="A315" s="14">
        <v>311</v>
      </c>
      <c r="B315" s="29" t="s">
        <v>422</v>
      </c>
      <c r="C315" s="16">
        <f>'Медикаменты Сентябрь'!L312</f>
        <v>0</v>
      </c>
      <c r="D315" s="17"/>
      <c r="E315" s="14"/>
      <c r="F315" s="18"/>
      <c r="G315" s="19"/>
      <c r="H315" s="20"/>
      <c r="I315" s="21"/>
      <c r="J315" s="14"/>
      <c r="K315" s="14">
        <f t="shared" si="8"/>
        <v>0</v>
      </c>
      <c r="L315" s="16">
        <f t="shared" si="9"/>
        <v>0</v>
      </c>
      <c r="M315" s="22"/>
      <c r="N315" s="44"/>
      <c r="O315" s="23" t="s">
        <v>26</v>
      </c>
      <c r="P315" s="24"/>
      <c r="Q315" s="45"/>
    </row>
    <row r="316" spans="1:17">
      <c r="A316" s="14">
        <v>312</v>
      </c>
      <c r="B316" s="29" t="s">
        <v>422</v>
      </c>
      <c r="C316" s="16">
        <f>'Медикаменты Сентябрь'!L313</f>
        <v>0</v>
      </c>
      <c r="D316" s="17"/>
      <c r="E316" s="14"/>
      <c r="F316" s="18"/>
      <c r="G316" s="19"/>
      <c r="H316" s="20"/>
      <c r="I316" s="21"/>
      <c r="J316" s="14"/>
      <c r="K316" s="14">
        <f t="shared" si="8"/>
        <v>0</v>
      </c>
      <c r="L316" s="16">
        <f t="shared" si="9"/>
        <v>0</v>
      </c>
      <c r="M316" s="22">
        <v>44531</v>
      </c>
      <c r="N316" s="44" t="s">
        <v>45</v>
      </c>
      <c r="O316" s="23" t="s">
        <v>16</v>
      </c>
      <c r="P316" s="24" t="s">
        <v>17</v>
      </c>
      <c r="Q316" s="28" t="s">
        <v>423</v>
      </c>
    </row>
    <row r="317" spans="1:17">
      <c r="A317" s="14">
        <v>313</v>
      </c>
      <c r="B317" s="29" t="s">
        <v>638</v>
      </c>
      <c r="C317" s="16">
        <f>'Медикаменты Сентябрь'!L314</f>
        <v>0</v>
      </c>
      <c r="D317" s="17"/>
      <c r="E317" s="14"/>
      <c r="F317" s="18"/>
      <c r="G317" s="19"/>
      <c r="H317" s="20"/>
      <c r="I317" s="21"/>
      <c r="J317" s="14"/>
      <c r="K317" s="14">
        <f t="shared" si="8"/>
        <v>0</v>
      </c>
      <c r="L317" s="16">
        <f t="shared" si="9"/>
        <v>0</v>
      </c>
      <c r="M317" s="22">
        <v>44986</v>
      </c>
      <c r="N317" s="44" t="s">
        <v>551</v>
      </c>
      <c r="O317" s="23" t="s">
        <v>16</v>
      </c>
      <c r="P317" s="24" t="s">
        <v>17</v>
      </c>
      <c r="Q317" s="28" t="s">
        <v>425</v>
      </c>
    </row>
    <row r="318" spans="1:17">
      <c r="A318" s="14">
        <v>314</v>
      </c>
      <c r="B318" s="29" t="s">
        <v>426</v>
      </c>
      <c r="C318" s="16">
        <f>'Медикаменты Сентябрь'!L315</f>
        <v>0</v>
      </c>
      <c r="D318" s="17"/>
      <c r="E318" s="14"/>
      <c r="F318" s="18"/>
      <c r="G318" s="19"/>
      <c r="H318" s="20"/>
      <c r="I318" s="21"/>
      <c r="J318" s="14"/>
      <c r="K318" s="14">
        <f t="shared" si="8"/>
        <v>0</v>
      </c>
      <c r="L318" s="16">
        <f t="shared" si="9"/>
        <v>0</v>
      </c>
      <c r="M318" s="22"/>
      <c r="N318" s="44"/>
      <c r="O318" s="23" t="s">
        <v>16</v>
      </c>
      <c r="P318" s="24"/>
      <c r="Q318" s="45"/>
    </row>
    <row r="319" spans="1:17">
      <c r="A319" s="14">
        <v>315</v>
      </c>
      <c r="B319" s="29" t="s">
        <v>427</v>
      </c>
      <c r="C319" s="16">
        <f>'Медикаменты Сентябрь'!L316</f>
        <v>0</v>
      </c>
      <c r="D319" s="17"/>
      <c r="E319" s="14"/>
      <c r="F319" s="18"/>
      <c r="G319" s="19"/>
      <c r="H319" s="20"/>
      <c r="I319" s="21"/>
      <c r="J319" s="14"/>
      <c r="K319" s="14">
        <f t="shared" si="8"/>
        <v>0</v>
      </c>
      <c r="L319" s="16">
        <f t="shared" si="9"/>
        <v>0</v>
      </c>
      <c r="M319" s="22"/>
      <c r="N319" s="44"/>
      <c r="O319" s="23" t="s">
        <v>16</v>
      </c>
      <c r="P319" s="24"/>
      <c r="Q319" s="45"/>
    </row>
    <row r="320" spans="1:17">
      <c r="A320" s="14">
        <v>316</v>
      </c>
      <c r="B320" s="29" t="s">
        <v>428</v>
      </c>
      <c r="C320" s="16">
        <f>'Медикаменты Сентябрь'!L317</f>
        <v>0</v>
      </c>
      <c r="D320" s="17"/>
      <c r="E320" s="14"/>
      <c r="F320" s="18"/>
      <c r="G320" s="19"/>
      <c r="H320" s="20"/>
      <c r="I320" s="21"/>
      <c r="J320" s="14"/>
      <c r="K320" s="14">
        <f t="shared" si="8"/>
        <v>0</v>
      </c>
      <c r="L320" s="16">
        <f t="shared" si="9"/>
        <v>0</v>
      </c>
      <c r="M320" s="22">
        <v>44501</v>
      </c>
      <c r="N320" s="44" t="s">
        <v>45</v>
      </c>
      <c r="O320" s="23" t="s">
        <v>16</v>
      </c>
      <c r="P320" s="24" t="s">
        <v>17</v>
      </c>
      <c r="Q320" s="28" t="s">
        <v>429</v>
      </c>
    </row>
    <row r="321" spans="1:17">
      <c r="A321" s="14">
        <v>317</v>
      </c>
      <c r="B321" s="29" t="s">
        <v>430</v>
      </c>
      <c r="C321" s="16">
        <f>'Медикаменты Сентябрь'!L318</f>
        <v>4</v>
      </c>
      <c r="D321" s="26"/>
      <c r="E321" s="14"/>
      <c r="F321" s="18">
        <f>3</f>
        <v>3</v>
      </c>
      <c r="G321" s="19"/>
      <c r="H321" s="20"/>
      <c r="I321" s="21"/>
      <c r="J321" s="14"/>
      <c r="K321" s="14">
        <f t="shared" si="8"/>
        <v>3</v>
      </c>
      <c r="L321" s="16">
        <f t="shared" si="9"/>
        <v>1</v>
      </c>
      <c r="M321" s="22">
        <v>44835</v>
      </c>
      <c r="N321" s="44" t="s">
        <v>45</v>
      </c>
      <c r="O321" s="23" t="s">
        <v>16</v>
      </c>
      <c r="P321" s="24" t="s">
        <v>17</v>
      </c>
      <c r="Q321" s="28" t="s">
        <v>431</v>
      </c>
    </row>
    <row r="322" spans="1:17">
      <c r="A322" s="14">
        <v>318</v>
      </c>
      <c r="B322" s="29" t="s">
        <v>430</v>
      </c>
      <c r="C322" s="16">
        <f>'Медикаменты Сентябрь'!L319</f>
        <v>50</v>
      </c>
      <c r="D322" s="26"/>
      <c r="E322" s="14"/>
      <c r="F322" s="18"/>
      <c r="G322" s="19"/>
      <c r="H322" s="20"/>
      <c r="I322" s="21"/>
      <c r="J322" s="14"/>
      <c r="K322" s="14">
        <f t="shared" si="8"/>
        <v>0</v>
      </c>
      <c r="L322" s="16">
        <f t="shared" si="9"/>
        <v>50</v>
      </c>
      <c r="M322" s="22">
        <v>45323</v>
      </c>
      <c r="N322" s="44" t="s">
        <v>551</v>
      </c>
      <c r="O322" s="23" t="s">
        <v>16</v>
      </c>
      <c r="P322" s="24" t="s">
        <v>17</v>
      </c>
      <c r="Q322" s="28" t="s">
        <v>431</v>
      </c>
    </row>
    <row r="323" spans="1:17">
      <c r="A323" s="14">
        <v>319</v>
      </c>
      <c r="B323" s="29" t="s">
        <v>430</v>
      </c>
      <c r="C323" s="16">
        <f>'Медикаменты Сентябрь'!L320</f>
        <v>4</v>
      </c>
      <c r="D323" s="26"/>
      <c r="E323" s="14"/>
      <c r="F323" s="18"/>
      <c r="G323" s="19"/>
      <c r="H323" s="20"/>
      <c r="I323" s="21"/>
      <c r="J323" s="14"/>
      <c r="K323" s="14">
        <f t="shared" si="8"/>
        <v>0</v>
      </c>
      <c r="L323" s="16">
        <f t="shared" si="9"/>
        <v>4</v>
      </c>
      <c r="M323" s="22">
        <v>45323</v>
      </c>
      <c r="N323" s="44" t="s">
        <v>551</v>
      </c>
      <c r="O323" s="23" t="s">
        <v>26</v>
      </c>
      <c r="P323" s="24" t="s">
        <v>17</v>
      </c>
      <c r="Q323" s="28" t="s">
        <v>431</v>
      </c>
    </row>
    <row r="324" spans="1:17">
      <c r="A324" s="14">
        <v>320</v>
      </c>
      <c r="B324" s="29" t="s">
        <v>432</v>
      </c>
      <c r="C324" s="16">
        <f>'Медикаменты Сентябрь'!L321</f>
        <v>0</v>
      </c>
      <c r="D324" s="17"/>
      <c r="E324" s="14"/>
      <c r="F324" s="18"/>
      <c r="G324" s="19"/>
      <c r="H324" s="20"/>
      <c r="I324" s="21"/>
      <c r="J324" s="14"/>
      <c r="K324" s="14">
        <f t="shared" si="8"/>
        <v>0</v>
      </c>
      <c r="L324" s="16">
        <f t="shared" si="9"/>
        <v>0</v>
      </c>
      <c r="M324" s="22"/>
      <c r="N324" s="44"/>
      <c r="O324" s="23" t="s">
        <v>16</v>
      </c>
      <c r="P324" s="24"/>
      <c r="Q324" s="45"/>
    </row>
    <row r="325" spans="1:17">
      <c r="A325" s="14">
        <v>321</v>
      </c>
      <c r="B325" s="29" t="s">
        <v>433</v>
      </c>
      <c r="C325" s="16">
        <f>'Медикаменты Сентябрь'!L322</f>
        <v>0</v>
      </c>
      <c r="D325" s="17"/>
      <c r="E325" s="14"/>
      <c r="F325" s="18"/>
      <c r="G325" s="19"/>
      <c r="H325" s="20"/>
      <c r="I325" s="21"/>
      <c r="J325" s="14"/>
      <c r="K325" s="14">
        <f t="shared" ref="K325:K388" si="10">SUM(F325:J325)</f>
        <v>0</v>
      </c>
      <c r="L325" s="16">
        <f t="shared" ref="L325:L388" si="11">(C325+E325)-K325</f>
        <v>0</v>
      </c>
      <c r="M325" s="22"/>
      <c r="N325" s="44"/>
      <c r="O325" s="23" t="s">
        <v>16</v>
      </c>
      <c r="P325" s="24"/>
      <c r="Q325" s="45"/>
    </row>
    <row r="326" spans="1:17">
      <c r="A326" s="14">
        <v>322</v>
      </c>
      <c r="B326" s="29" t="s">
        <v>434</v>
      </c>
      <c r="C326" s="16">
        <f>'Медикаменты Сентябрь'!L323</f>
        <v>0</v>
      </c>
      <c r="D326" s="17"/>
      <c r="E326" s="14"/>
      <c r="F326" s="18"/>
      <c r="G326" s="19"/>
      <c r="H326" s="20"/>
      <c r="I326" s="21"/>
      <c r="J326" s="14"/>
      <c r="K326" s="14">
        <f t="shared" si="10"/>
        <v>0</v>
      </c>
      <c r="L326" s="16">
        <f t="shared" si="11"/>
        <v>0</v>
      </c>
      <c r="M326" s="22"/>
      <c r="N326" s="44"/>
      <c r="O326" s="23" t="s">
        <v>16</v>
      </c>
      <c r="P326" s="24"/>
      <c r="Q326" s="45"/>
    </row>
    <row r="327" spans="1:17">
      <c r="A327" s="14">
        <v>323</v>
      </c>
      <c r="B327" s="29" t="s">
        <v>435</v>
      </c>
      <c r="C327" s="16">
        <f>'Медикаменты Сентябрь'!L324</f>
        <v>0</v>
      </c>
      <c r="D327" s="17"/>
      <c r="E327" s="14"/>
      <c r="F327" s="18"/>
      <c r="G327" s="19"/>
      <c r="H327" s="20"/>
      <c r="I327" s="21"/>
      <c r="J327" s="14"/>
      <c r="K327" s="14">
        <f t="shared" si="10"/>
        <v>0</v>
      </c>
      <c r="L327" s="16">
        <f t="shared" si="11"/>
        <v>0</v>
      </c>
      <c r="M327" s="22"/>
      <c r="N327" s="44"/>
      <c r="O327" s="23" t="s">
        <v>16</v>
      </c>
      <c r="P327" s="24"/>
      <c r="Q327" s="45"/>
    </row>
    <row r="328" spans="1:17">
      <c r="A328" s="14">
        <v>324</v>
      </c>
      <c r="B328" s="29" t="s">
        <v>436</v>
      </c>
      <c r="C328" s="16">
        <f>'Медикаменты Сентябрь'!L325</f>
        <v>0</v>
      </c>
      <c r="D328" s="17"/>
      <c r="E328" s="14"/>
      <c r="F328" s="18"/>
      <c r="G328" s="19"/>
      <c r="H328" s="20"/>
      <c r="I328" s="21"/>
      <c r="J328" s="14"/>
      <c r="K328" s="14">
        <f t="shared" si="10"/>
        <v>0</v>
      </c>
      <c r="L328" s="16">
        <f t="shared" si="11"/>
        <v>0</v>
      </c>
      <c r="M328" s="22"/>
      <c r="N328" s="44"/>
      <c r="O328" s="23" t="s">
        <v>16</v>
      </c>
      <c r="P328" s="24"/>
      <c r="Q328" s="45"/>
    </row>
    <row r="329" spans="1:17">
      <c r="A329" s="14">
        <v>325</v>
      </c>
      <c r="B329" s="29" t="s">
        <v>437</v>
      </c>
      <c r="C329" s="16">
        <f>'Медикаменты Сентябрь'!L326</f>
        <v>320</v>
      </c>
      <c r="D329" s="17"/>
      <c r="E329" s="14"/>
      <c r="F329" s="18">
        <f>15+15+20+25</f>
        <v>75</v>
      </c>
      <c r="G329" s="19"/>
      <c r="H329" s="20"/>
      <c r="I329" s="21"/>
      <c r="J329" s="14"/>
      <c r="K329" s="14">
        <f t="shared" si="10"/>
        <v>75</v>
      </c>
      <c r="L329" s="16">
        <f t="shared" si="11"/>
        <v>245</v>
      </c>
      <c r="M329" s="22">
        <v>45689</v>
      </c>
      <c r="N329" s="44" t="s">
        <v>551</v>
      </c>
      <c r="O329" s="23" t="s">
        <v>16</v>
      </c>
      <c r="P329" s="24" t="s">
        <v>45</v>
      </c>
      <c r="Q329" s="28" t="s">
        <v>438</v>
      </c>
    </row>
    <row r="330" spans="1:17">
      <c r="A330" s="14">
        <v>326</v>
      </c>
      <c r="B330" s="29" t="s">
        <v>437</v>
      </c>
      <c r="C330" s="16">
        <f>'Медикаменты Сентябрь'!L327</f>
        <v>0</v>
      </c>
      <c r="D330" s="17"/>
      <c r="E330" s="14"/>
      <c r="F330" s="18"/>
      <c r="G330" s="19"/>
      <c r="H330" s="20"/>
      <c r="I330" s="21"/>
      <c r="J330" s="14"/>
      <c r="K330" s="14">
        <f t="shared" si="10"/>
        <v>0</v>
      </c>
      <c r="L330" s="16">
        <f t="shared" si="11"/>
        <v>0</v>
      </c>
      <c r="M330" s="22">
        <v>45689</v>
      </c>
      <c r="N330" s="44" t="s">
        <v>551</v>
      </c>
      <c r="O330" s="23" t="s">
        <v>26</v>
      </c>
      <c r="P330" s="24" t="s">
        <v>45</v>
      </c>
      <c r="Q330" s="28" t="s">
        <v>438</v>
      </c>
    </row>
    <row r="331" spans="1:17">
      <c r="A331" s="14">
        <v>327</v>
      </c>
      <c r="B331" s="29" t="s">
        <v>440</v>
      </c>
      <c r="C331" s="16">
        <f>'Медикаменты Сентябрь'!L328</f>
        <v>0</v>
      </c>
      <c r="D331" s="17"/>
      <c r="E331" s="14"/>
      <c r="F331" s="18"/>
      <c r="G331" s="19"/>
      <c r="H331" s="20"/>
      <c r="I331" s="21"/>
      <c r="J331" s="14"/>
      <c r="K331" s="14">
        <f t="shared" si="10"/>
        <v>0</v>
      </c>
      <c r="L331" s="16">
        <f t="shared" si="11"/>
        <v>0</v>
      </c>
      <c r="M331" s="22"/>
      <c r="N331" s="44"/>
      <c r="O331" s="23" t="s">
        <v>16</v>
      </c>
      <c r="P331" s="24"/>
      <c r="Q331" s="45"/>
    </row>
    <row r="332" spans="1:17">
      <c r="A332" s="14">
        <v>328</v>
      </c>
      <c r="B332" s="29" t="s">
        <v>441</v>
      </c>
      <c r="C332" s="16">
        <f>'Медикаменты Сентябрь'!L329</f>
        <v>30</v>
      </c>
      <c r="D332" s="17"/>
      <c r="E332" s="14"/>
      <c r="F332" s="18"/>
      <c r="G332" s="19"/>
      <c r="H332" s="20"/>
      <c r="I332" s="21"/>
      <c r="J332" s="14"/>
      <c r="K332" s="14">
        <f t="shared" si="10"/>
        <v>0</v>
      </c>
      <c r="L332" s="16">
        <f t="shared" si="11"/>
        <v>30</v>
      </c>
      <c r="M332" s="22">
        <v>45931</v>
      </c>
      <c r="N332" s="44" t="s">
        <v>551</v>
      </c>
      <c r="O332" s="23" t="s">
        <v>16</v>
      </c>
      <c r="P332" s="24" t="s">
        <v>17</v>
      </c>
      <c r="Q332" s="28" t="s">
        <v>639</v>
      </c>
    </row>
    <row r="333" spans="1:17">
      <c r="A333" s="14">
        <v>329</v>
      </c>
      <c r="B333" s="29" t="s">
        <v>442</v>
      </c>
      <c r="C333" s="16">
        <f>'Медикаменты Сентябрь'!L330</f>
        <v>0</v>
      </c>
      <c r="D333" s="17"/>
      <c r="E333" s="14"/>
      <c r="F333" s="18"/>
      <c r="G333" s="19"/>
      <c r="H333" s="20"/>
      <c r="I333" s="21"/>
      <c r="J333" s="14"/>
      <c r="K333" s="14">
        <f t="shared" si="10"/>
        <v>0</v>
      </c>
      <c r="L333" s="16">
        <f t="shared" si="11"/>
        <v>0</v>
      </c>
      <c r="M333" s="22"/>
      <c r="N333" s="44"/>
      <c r="O333" s="23" t="s">
        <v>16</v>
      </c>
      <c r="P333" s="24"/>
      <c r="Q333" s="45"/>
    </row>
    <row r="334" spans="1:17">
      <c r="A334" s="14">
        <v>330</v>
      </c>
      <c r="B334" s="29" t="s">
        <v>443</v>
      </c>
      <c r="C334" s="16">
        <f>'Медикаменты Сентябрь'!L331</f>
        <v>0</v>
      </c>
      <c r="D334" s="17"/>
      <c r="E334" s="14"/>
      <c r="F334" s="18"/>
      <c r="G334" s="19"/>
      <c r="H334" s="20"/>
      <c r="I334" s="21"/>
      <c r="J334" s="14"/>
      <c r="K334" s="14">
        <f t="shared" si="10"/>
        <v>0</v>
      </c>
      <c r="L334" s="16">
        <f t="shared" si="11"/>
        <v>0</v>
      </c>
      <c r="M334" s="22"/>
      <c r="N334" s="44"/>
      <c r="O334" s="23" t="s">
        <v>16</v>
      </c>
      <c r="P334" s="24"/>
      <c r="Q334" s="45"/>
    </row>
    <row r="335" spans="1:17">
      <c r="A335" s="14">
        <v>331</v>
      </c>
      <c r="B335" s="29" t="s">
        <v>444</v>
      </c>
      <c r="C335" s="16">
        <f>'Медикаменты Сентябрь'!L332</f>
        <v>0</v>
      </c>
      <c r="D335" s="17"/>
      <c r="E335" s="14"/>
      <c r="F335" s="18"/>
      <c r="G335" s="19"/>
      <c r="H335" s="20"/>
      <c r="I335" s="21"/>
      <c r="J335" s="14"/>
      <c r="K335" s="14">
        <f t="shared" si="10"/>
        <v>0</v>
      </c>
      <c r="L335" s="16">
        <f t="shared" si="11"/>
        <v>0</v>
      </c>
      <c r="M335" s="22">
        <v>44501</v>
      </c>
      <c r="N335" s="44" t="s">
        <v>45</v>
      </c>
      <c r="O335" s="23" t="s">
        <v>16</v>
      </c>
      <c r="P335" s="24" t="s">
        <v>17</v>
      </c>
      <c r="Q335" s="28" t="s">
        <v>445</v>
      </c>
    </row>
    <row r="336" spans="1:17">
      <c r="A336" s="14">
        <v>332</v>
      </c>
      <c r="B336" s="29" t="s">
        <v>446</v>
      </c>
      <c r="C336" s="16">
        <f>'Медикаменты Сентябрь'!L333</f>
        <v>0</v>
      </c>
      <c r="D336" s="17"/>
      <c r="E336" s="14"/>
      <c r="F336" s="18"/>
      <c r="G336" s="19"/>
      <c r="H336" s="20"/>
      <c r="I336" s="21"/>
      <c r="J336" s="14"/>
      <c r="K336" s="14">
        <f t="shared" si="10"/>
        <v>0</v>
      </c>
      <c r="L336" s="16">
        <f t="shared" si="11"/>
        <v>0</v>
      </c>
      <c r="M336" s="22"/>
      <c r="N336" s="44"/>
      <c r="O336" s="23" t="s">
        <v>16</v>
      </c>
      <c r="P336" s="24"/>
      <c r="Q336" s="45"/>
    </row>
    <row r="337" spans="1:17">
      <c r="A337" s="14">
        <v>333</v>
      </c>
      <c r="B337" s="29" t="s">
        <v>447</v>
      </c>
      <c r="C337" s="16">
        <f>'Медикаменты Сентябрь'!L334</f>
        <v>0</v>
      </c>
      <c r="D337" s="17"/>
      <c r="E337" s="14"/>
      <c r="F337" s="18"/>
      <c r="G337" s="19"/>
      <c r="H337" s="20"/>
      <c r="I337" s="21"/>
      <c r="J337" s="14"/>
      <c r="K337" s="14">
        <f t="shared" si="10"/>
        <v>0</v>
      </c>
      <c r="L337" s="16">
        <f t="shared" si="11"/>
        <v>0</v>
      </c>
      <c r="M337" s="22">
        <v>44593</v>
      </c>
      <c r="N337" s="44"/>
      <c r="O337" s="23" t="s">
        <v>16</v>
      </c>
      <c r="P337" s="24"/>
      <c r="Q337" s="28" t="s">
        <v>448</v>
      </c>
    </row>
    <row r="338" spans="1:17">
      <c r="A338" s="14">
        <v>334</v>
      </c>
      <c r="B338" s="29" t="s">
        <v>449</v>
      </c>
      <c r="C338" s="16">
        <f>'Медикаменты Сентябрь'!L335</f>
        <v>0</v>
      </c>
      <c r="D338" s="17"/>
      <c r="E338" s="14"/>
      <c r="F338" s="18"/>
      <c r="G338" s="19"/>
      <c r="H338" s="20"/>
      <c r="I338" s="21"/>
      <c r="J338" s="14"/>
      <c r="K338" s="14">
        <f t="shared" si="10"/>
        <v>0</v>
      </c>
      <c r="L338" s="16">
        <f t="shared" si="11"/>
        <v>0</v>
      </c>
      <c r="M338" s="22">
        <v>44228</v>
      </c>
      <c r="N338" s="44"/>
      <c r="O338" s="23" t="s">
        <v>16</v>
      </c>
      <c r="P338" s="24" t="s">
        <v>17</v>
      </c>
      <c r="Q338" s="28" t="s">
        <v>450</v>
      </c>
    </row>
    <row r="339" spans="1:17">
      <c r="A339" s="14">
        <v>335</v>
      </c>
      <c r="B339" s="29" t="s">
        <v>451</v>
      </c>
      <c r="C339" s="16">
        <f>'Медикаменты Сентябрь'!L336</f>
        <v>0</v>
      </c>
      <c r="D339" s="17"/>
      <c r="E339" s="14"/>
      <c r="F339" s="18"/>
      <c r="G339" s="19"/>
      <c r="H339" s="20"/>
      <c r="I339" s="21"/>
      <c r="J339" s="14"/>
      <c r="K339" s="14">
        <f t="shared" si="10"/>
        <v>0</v>
      </c>
      <c r="L339" s="16">
        <f t="shared" si="11"/>
        <v>0</v>
      </c>
      <c r="M339" s="22">
        <v>44317</v>
      </c>
      <c r="N339" s="44"/>
      <c r="O339" s="23" t="s">
        <v>16</v>
      </c>
      <c r="P339" s="24" t="s">
        <v>17</v>
      </c>
      <c r="Q339" s="28" t="s">
        <v>452</v>
      </c>
    </row>
    <row r="340" spans="1:17" ht="25.5">
      <c r="A340" s="14">
        <v>336</v>
      </c>
      <c r="B340" s="29" t="s">
        <v>453</v>
      </c>
      <c r="C340" s="16">
        <f>'Медикаменты Сентябрь'!L337</f>
        <v>16</v>
      </c>
      <c r="D340" s="17"/>
      <c r="E340" s="14"/>
      <c r="F340" s="18">
        <f>5</f>
        <v>5</v>
      </c>
      <c r="G340" s="19">
        <f>1</f>
        <v>1</v>
      </c>
      <c r="H340" s="20"/>
      <c r="I340" s="21"/>
      <c r="J340" s="14"/>
      <c r="K340" s="14">
        <f t="shared" si="10"/>
        <v>6</v>
      </c>
      <c r="L340" s="16">
        <f t="shared" si="11"/>
        <v>10</v>
      </c>
      <c r="M340" s="22">
        <v>44470</v>
      </c>
      <c r="N340" s="44" t="s">
        <v>45</v>
      </c>
      <c r="O340" s="23" t="s">
        <v>16</v>
      </c>
      <c r="P340" s="24" t="s">
        <v>17</v>
      </c>
      <c r="Q340" s="28" t="s">
        <v>454</v>
      </c>
    </row>
    <row r="341" spans="1:17">
      <c r="A341" s="14">
        <v>337</v>
      </c>
      <c r="B341" s="29" t="s">
        <v>575</v>
      </c>
      <c r="C341" s="16">
        <f>'Медикаменты Сентябрь'!L338</f>
        <v>2</v>
      </c>
      <c r="D341" s="17"/>
      <c r="E341" s="14"/>
      <c r="F341" s="18"/>
      <c r="G341" s="19"/>
      <c r="H341" s="20"/>
      <c r="I341" s="21"/>
      <c r="J341" s="14"/>
      <c r="K341" s="14">
        <f t="shared" si="10"/>
        <v>0</v>
      </c>
      <c r="L341" s="16">
        <f t="shared" si="11"/>
        <v>2</v>
      </c>
      <c r="M341" s="22">
        <v>45444</v>
      </c>
      <c r="N341" s="44" t="s">
        <v>45</v>
      </c>
      <c r="O341" s="23" t="s">
        <v>16</v>
      </c>
      <c r="P341" s="24" t="s">
        <v>17</v>
      </c>
      <c r="Q341" s="28" t="s">
        <v>576</v>
      </c>
    </row>
    <row r="342" spans="1:17">
      <c r="A342" s="14">
        <v>338</v>
      </c>
      <c r="B342" s="29" t="s">
        <v>455</v>
      </c>
      <c r="C342" s="16">
        <f>'Медикаменты Сентябрь'!L339</f>
        <v>0</v>
      </c>
      <c r="D342" s="17"/>
      <c r="E342" s="14"/>
      <c r="F342" s="18"/>
      <c r="G342" s="19"/>
      <c r="H342" s="20"/>
      <c r="I342" s="21"/>
      <c r="J342" s="14"/>
      <c r="K342" s="14">
        <f t="shared" si="10"/>
        <v>0</v>
      </c>
      <c r="L342" s="16">
        <f t="shared" si="11"/>
        <v>0</v>
      </c>
      <c r="M342" s="22"/>
      <c r="N342" s="44"/>
      <c r="O342" s="23" t="s">
        <v>16</v>
      </c>
      <c r="P342" s="24"/>
      <c r="Q342" s="45"/>
    </row>
    <row r="343" spans="1:17">
      <c r="A343" s="14">
        <v>339</v>
      </c>
      <c r="B343" s="29" t="s">
        <v>456</v>
      </c>
      <c r="C343" s="16">
        <f>'Медикаменты Сентябрь'!L340</f>
        <v>0</v>
      </c>
      <c r="D343" s="17"/>
      <c r="E343" s="14"/>
      <c r="F343" s="18"/>
      <c r="G343" s="19"/>
      <c r="H343" s="20"/>
      <c r="I343" s="21"/>
      <c r="J343" s="14"/>
      <c r="K343" s="14">
        <f t="shared" si="10"/>
        <v>0</v>
      </c>
      <c r="L343" s="16">
        <f t="shared" si="11"/>
        <v>0</v>
      </c>
      <c r="M343" s="22">
        <v>44287</v>
      </c>
      <c r="N343" s="44"/>
      <c r="O343" s="23" t="s">
        <v>16</v>
      </c>
      <c r="P343" s="24"/>
      <c r="Q343" s="28" t="s">
        <v>457</v>
      </c>
    </row>
    <row r="344" spans="1:17">
      <c r="A344" s="14">
        <v>340</v>
      </c>
      <c r="B344" s="29" t="s">
        <v>458</v>
      </c>
      <c r="C344" s="16">
        <f>'Медикаменты Сентябрь'!L341</f>
        <v>0</v>
      </c>
      <c r="D344" s="17"/>
      <c r="E344" s="14"/>
      <c r="F344" s="18"/>
      <c r="G344" s="19"/>
      <c r="H344" s="20"/>
      <c r="I344" s="21"/>
      <c r="J344" s="14"/>
      <c r="K344" s="14">
        <f t="shared" si="10"/>
        <v>0</v>
      </c>
      <c r="L344" s="16">
        <f t="shared" si="11"/>
        <v>0</v>
      </c>
      <c r="M344" s="22">
        <v>44287</v>
      </c>
      <c r="N344" s="44" t="s">
        <v>45</v>
      </c>
      <c r="O344" s="23" t="s">
        <v>16</v>
      </c>
      <c r="P344" s="24" t="s">
        <v>45</v>
      </c>
      <c r="Q344" s="28" t="s">
        <v>459</v>
      </c>
    </row>
    <row r="345" spans="1:17">
      <c r="A345" s="14">
        <v>341</v>
      </c>
      <c r="B345" s="29" t="s">
        <v>460</v>
      </c>
      <c r="C345" s="16">
        <f>'Медикаменты Сентябрь'!L342</f>
        <v>0</v>
      </c>
      <c r="D345" s="17"/>
      <c r="E345" s="14"/>
      <c r="F345" s="18"/>
      <c r="G345" s="19"/>
      <c r="H345" s="20"/>
      <c r="I345" s="21"/>
      <c r="J345" s="14"/>
      <c r="K345" s="14">
        <f t="shared" si="10"/>
        <v>0</v>
      </c>
      <c r="L345" s="16">
        <f t="shared" si="11"/>
        <v>0</v>
      </c>
      <c r="M345" s="22">
        <v>45597</v>
      </c>
      <c r="N345" s="44"/>
      <c r="O345" s="23" t="s">
        <v>16</v>
      </c>
      <c r="P345" s="24" t="s">
        <v>45</v>
      </c>
      <c r="Q345" s="28" t="s">
        <v>461</v>
      </c>
    </row>
    <row r="346" spans="1:17">
      <c r="A346" s="14">
        <v>342</v>
      </c>
      <c r="B346" s="29" t="s">
        <v>462</v>
      </c>
      <c r="C346" s="16">
        <f>'Медикаменты Сентябрь'!L343</f>
        <v>0</v>
      </c>
      <c r="D346" s="17"/>
      <c r="E346" s="14"/>
      <c r="F346" s="18"/>
      <c r="G346" s="19"/>
      <c r="H346" s="20"/>
      <c r="I346" s="21"/>
      <c r="J346" s="14"/>
      <c r="K346" s="14">
        <f t="shared" si="10"/>
        <v>0</v>
      </c>
      <c r="L346" s="16">
        <f t="shared" si="11"/>
        <v>0</v>
      </c>
      <c r="M346" s="22">
        <v>43952</v>
      </c>
      <c r="N346" s="44"/>
      <c r="O346" s="23" t="s">
        <v>16</v>
      </c>
      <c r="P346" s="24"/>
      <c r="Q346" s="45"/>
    </row>
    <row r="347" spans="1:17">
      <c r="A347" s="14">
        <v>343</v>
      </c>
      <c r="B347" s="29" t="s">
        <v>463</v>
      </c>
      <c r="C347" s="16">
        <f>'Медикаменты Сентябрь'!L344</f>
        <v>0</v>
      </c>
      <c r="D347" s="17"/>
      <c r="E347" s="14"/>
      <c r="F347" s="18"/>
      <c r="G347" s="19"/>
      <c r="H347" s="20"/>
      <c r="I347" s="21"/>
      <c r="J347" s="14"/>
      <c r="K347" s="14">
        <f t="shared" si="10"/>
        <v>0</v>
      </c>
      <c r="L347" s="16">
        <f t="shared" si="11"/>
        <v>0</v>
      </c>
      <c r="M347" s="22"/>
      <c r="N347" s="44"/>
      <c r="O347" s="23" t="s">
        <v>16</v>
      </c>
      <c r="P347" s="24"/>
      <c r="Q347" s="45"/>
    </row>
    <row r="348" spans="1:17">
      <c r="A348" s="14">
        <v>344</v>
      </c>
      <c r="B348" s="29" t="s">
        <v>640</v>
      </c>
      <c r="C348" s="16">
        <f>'Медикаменты Сентябрь'!L345</f>
        <v>70</v>
      </c>
      <c r="D348" s="17"/>
      <c r="E348" s="14"/>
      <c r="F348" s="18">
        <f>12</f>
        <v>12</v>
      </c>
      <c r="G348" s="19"/>
      <c r="H348" s="20"/>
      <c r="I348" s="21"/>
      <c r="J348" s="14"/>
      <c r="K348" s="14">
        <f t="shared" si="10"/>
        <v>12</v>
      </c>
      <c r="L348" s="16">
        <f t="shared" si="11"/>
        <v>58</v>
      </c>
      <c r="M348" s="22">
        <v>45047</v>
      </c>
      <c r="N348" s="44" t="s">
        <v>551</v>
      </c>
      <c r="O348" s="23" t="s">
        <v>16</v>
      </c>
      <c r="P348" s="24" t="s">
        <v>17</v>
      </c>
      <c r="Q348" s="28" t="s">
        <v>641</v>
      </c>
    </row>
    <row r="349" spans="1:17">
      <c r="A349" s="14">
        <v>345</v>
      </c>
      <c r="B349" s="29" t="s">
        <v>465</v>
      </c>
      <c r="C349" s="16">
        <f>'Медикаменты Сентябрь'!L346</f>
        <v>0</v>
      </c>
      <c r="D349" s="17"/>
      <c r="E349" s="14"/>
      <c r="F349" s="18"/>
      <c r="G349" s="19"/>
      <c r="H349" s="20"/>
      <c r="I349" s="21"/>
      <c r="J349" s="14"/>
      <c r="K349" s="14">
        <f t="shared" si="10"/>
        <v>0</v>
      </c>
      <c r="L349" s="16">
        <f t="shared" si="11"/>
        <v>0</v>
      </c>
      <c r="M349" s="22"/>
      <c r="N349" s="44"/>
      <c r="O349" s="23" t="s">
        <v>16</v>
      </c>
      <c r="P349" s="24"/>
      <c r="Q349" s="45"/>
    </row>
    <row r="350" spans="1:17">
      <c r="A350" s="14">
        <v>346</v>
      </c>
      <c r="B350" s="29" t="s">
        <v>466</v>
      </c>
      <c r="C350" s="16">
        <f>'Медикаменты Сентябрь'!L347</f>
        <v>0</v>
      </c>
      <c r="D350" s="17"/>
      <c r="E350" s="14"/>
      <c r="F350" s="18"/>
      <c r="G350" s="19"/>
      <c r="H350" s="20"/>
      <c r="I350" s="21"/>
      <c r="J350" s="14"/>
      <c r="K350" s="14">
        <f t="shared" si="10"/>
        <v>0</v>
      </c>
      <c r="L350" s="16">
        <f t="shared" si="11"/>
        <v>0</v>
      </c>
      <c r="M350" s="22">
        <v>44835</v>
      </c>
      <c r="N350" s="44"/>
      <c r="O350" s="23" t="s">
        <v>16</v>
      </c>
      <c r="P350" s="24"/>
      <c r="Q350" s="45"/>
    </row>
    <row r="351" spans="1:17">
      <c r="A351" s="14">
        <v>347</v>
      </c>
      <c r="B351" s="29" t="s">
        <v>467</v>
      </c>
      <c r="C351" s="16">
        <f>'Медикаменты Сентябрь'!L348</f>
        <v>0</v>
      </c>
      <c r="D351" s="26"/>
      <c r="E351" s="14"/>
      <c r="F351" s="18"/>
      <c r="G351" s="19"/>
      <c r="H351" s="20"/>
      <c r="I351" s="21"/>
      <c r="J351" s="14"/>
      <c r="K351" s="14">
        <f t="shared" si="10"/>
        <v>0</v>
      </c>
      <c r="L351" s="16">
        <f t="shared" si="11"/>
        <v>0</v>
      </c>
      <c r="M351" s="22"/>
      <c r="N351" s="44"/>
      <c r="O351" s="23" t="s">
        <v>16</v>
      </c>
      <c r="P351" s="24"/>
      <c r="Q351" s="45"/>
    </row>
    <row r="352" spans="1:17">
      <c r="A352" s="14">
        <v>348</v>
      </c>
      <c r="B352" s="29" t="s">
        <v>468</v>
      </c>
      <c r="C352" s="16">
        <f>'Медикаменты Сентябрь'!L349</f>
        <v>0</v>
      </c>
      <c r="D352" s="17"/>
      <c r="E352" s="14"/>
      <c r="F352" s="18"/>
      <c r="G352" s="19"/>
      <c r="H352" s="20"/>
      <c r="I352" s="21"/>
      <c r="J352" s="14"/>
      <c r="K352" s="14">
        <f t="shared" si="10"/>
        <v>0</v>
      </c>
      <c r="L352" s="16">
        <f t="shared" si="11"/>
        <v>0</v>
      </c>
      <c r="M352" s="22"/>
      <c r="N352" s="44"/>
      <c r="O352" s="23" t="s">
        <v>16</v>
      </c>
      <c r="P352" s="24"/>
      <c r="Q352" s="45"/>
    </row>
    <row r="353" spans="1:17">
      <c r="A353" s="14">
        <v>349</v>
      </c>
      <c r="B353" s="29" t="s">
        <v>469</v>
      </c>
      <c r="C353" s="16">
        <f>'Медикаменты Сентябрь'!L350</f>
        <v>0</v>
      </c>
      <c r="D353" s="17"/>
      <c r="E353" s="14"/>
      <c r="F353" s="18"/>
      <c r="G353" s="19"/>
      <c r="H353" s="20"/>
      <c r="I353" s="21"/>
      <c r="J353" s="14"/>
      <c r="K353" s="14">
        <f t="shared" si="10"/>
        <v>0</v>
      </c>
      <c r="L353" s="16">
        <f t="shared" si="11"/>
        <v>0</v>
      </c>
      <c r="M353" s="22">
        <v>44652</v>
      </c>
      <c r="N353" s="44" t="s">
        <v>45</v>
      </c>
      <c r="O353" s="23" t="s">
        <v>16</v>
      </c>
      <c r="P353" s="24" t="s">
        <v>17</v>
      </c>
      <c r="Q353" s="28" t="s">
        <v>470</v>
      </c>
    </row>
    <row r="354" spans="1:17">
      <c r="A354" s="14">
        <v>350</v>
      </c>
      <c r="B354" s="29" t="s">
        <v>577</v>
      </c>
      <c r="C354" s="16">
        <f>'Медикаменты Сентябрь'!L351</f>
        <v>773</v>
      </c>
      <c r="D354" s="17"/>
      <c r="E354" s="14"/>
      <c r="F354" s="18">
        <f>10+25+25</f>
        <v>60</v>
      </c>
      <c r="G354" s="19"/>
      <c r="H354" s="20">
        <f>50</f>
        <v>50</v>
      </c>
      <c r="I354" s="21"/>
      <c r="J354" s="14"/>
      <c r="K354" s="14">
        <f t="shared" si="10"/>
        <v>110</v>
      </c>
      <c r="L354" s="16">
        <f t="shared" si="11"/>
        <v>663</v>
      </c>
      <c r="M354" s="22">
        <v>44927</v>
      </c>
      <c r="N354" s="44" t="s">
        <v>551</v>
      </c>
      <c r="O354" s="23" t="s">
        <v>16</v>
      </c>
      <c r="P354" s="24" t="s">
        <v>17</v>
      </c>
      <c r="Q354" s="28" t="s">
        <v>578</v>
      </c>
    </row>
    <row r="355" spans="1:17">
      <c r="A355" s="14">
        <v>351</v>
      </c>
      <c r="B355" s="29" t="s">
        <v>577</v>
      </c>
      <c r="C355" s="16">
        <f>'Медикаменты Сентябрь'!L352</f>
        <v>0</v>
      </c>
      <c r="D355" s="17"/>
      <c r="E355" s="14"/>
      <c r="F355" s="18"/>
      <c r="G355" s="19"/>
      <c r="H355" s="20"/>
      <c r="I355" s="21"/>
      <c r="J355" s="14"/>
      <c r="K355" s="14">
        <f t="shared" si="10"/>
        <v>0</v>
      </c>
      <c r="L355" s="16">
        <f t="shared" si="11"/>
        <v>0</v>
      </c>
      <c r="M355" s="22">
        <v>44927</v>
      </c>
      <c r="N355" s="44" t="s">
        <v>551</v>
      </c>
      <c r="O355" s="23" t="s">
        <v>26</v>
      </c>
      <c r="P355" s="24" t="s">
        <v>17</v>
      </c>
      <c r="Q355" s="28" t="s">
        <v>578</v>
      </c>
    </row>
    <row r="356" spans="1:17">
      <c r="A356" s="14">
        <v>352</v>
      </c>
      <c r="B356" s="29" t="s">
        <v>579</v>
      </c>
      <c r="C356" s="16">
        <f>'Медикаменты Сентябрь'!L353</f>
        <v>512</v>
      </c>
      <c r="D356" s="17"/>
      <c r="E356" s="14"/>
      <c r="F356" s="18">
        <f>5+10+20+20</f>
        <v>55</v>
      </c>
      <c r="G356" s="19"/>
      <c r="H356" s="20"/>
      <c r="I356" s="21"/>
      <c r="J356" s="14"/>
      <c r="K356" s="14">
        <f t="shared" si="10"/>
        <v>55</v>
      </c>
      <c r="L356" s="16">
        <f t="shared" si="11"/>
        <v>457</v>
      </c>
      <c r="M356" s="22">
        <v>44927</v>
      </c>
      <c r="N356" s="44" t="s">
        <v>551</v>
      </c>
      <c r="O356" s="23" t="s">
        <v>16</v>
      </c>
      <c r="P356" s="24" t="s">
        <v>17</v>
      </c>
      <c r="Q356" s="28" t="s">
        <v>580</v>
      </c>
    </row>
    <row r="357" spans="1:17">
      <c r="A357" s="14">
        <v>353</v>
      </c>
      <c r="B357" s="29" t="s">
        <v>581</v>
      </c>
      <c r="C357" s="16">
        <f>'Медикаменты Сентябрь'!L354</f>
        <v>30</v>
      </c>
      <c r="D357" s="17"/>
      <c r="E357" s="14"/>
      <c r="F357" s="18"/>
      <c r="G357" s="19"/>
      <c r="H357" s="20"/>
      <c r="I357" s="21"/>
      <c r="J357" s="14"/>
      <c r="K357" s="14">
        <f t="shared" si="10"/>
        <v>0</v>
      </c>
      <c r="L357" s="16">
        <f t="shared" si="11"/>
        <v>30</v>
      </c>
      <c r="M357" s="22">
        <v>44927</v>
      </c>
      <c r="N357" s="44" t="s">
        <v>551</v>
      </c>
      <c r="O357" s="23" t="s">
        <v>16</v>
      </c>
      <c r="P357" s="24" t="s">
        <v>17</v>
      </c>
      <c r="Q357" s="28" t="s">
        <v>582</v>
      </c>
    </row>
    <row r="358" spans="1:17">
      <c r="A358" s="14">
        <v>354</v>
      </c>
      <c r="B358" s="29" t="s">
        <v>612</v>
      </c>
      <c r="C358" s="16">
        <f>'Медикаменты Сентябрь'!L355</f>
        <v>284</v>
      </c>
      <c r="D358" s="17"/>
      <c r="E358" s="14"/>
      <c r="F358" s="18">
        <f>15</f>
        <v>15</v>
      </c>
      <c r="G358" s="19"/>
      <c r="H358" s="20"/>
      <c r="I358" s="21"/>
      <c r="J358" s="14"/>
      <c r="K358" s="14">
        <f t="shared" si="10"/>
        <v>15</v>
      </c>
      <c r="L358" s="16">
        <f t="shared" si="11"/>
        <v>269</v>
      </c>
      <c r="M358" s="22">
        <v>44866</v>
      </c>
      <c r="N358" s="44" t="s">
        <v>551</v>
      </c>
      <c r="O358" s="23" t="s">
        <v>16</v>
      </c>
      <c r="P358" s="24" t="s">
        <v>17</v>
      </c>
      <c r="Q358" s="28" t="s">
        <v>613</v>
      </c>
    </row>
    <row r="359" spans="1:17">
      <c r="A359" s="14">
        <v>355</v>
      </c>
      <c r="B359" s="29" t="s">
        <v>471</v>
      </c>
      <c r="C359" s="16">
        <f>'Медикаменты Сентябрь'!L356</f>
        <v>0</v>
      </c>
      <c r="D359" s="17"/>
      <c r="E359" s="14"/>
      <c r="F359" s="18"/>
      <c r="G359" s="19"/>
      <c r="H359" s="20"/>
      <c r="I359" s="21"/>
      <c r="J359" s="14"/>
      <c r="K359" s="14">
        <f t="shared" si="10"/>
        <v>0</v>
      </c>
      <c r="L359" s="16">
        <f t="shared" si="11"/>
        <v>0</v>
      </c>
      <c r="M359" s="22"/>
      <c r="N359" s="44"/>
      <c r="O359" s="23" t="s">
        <v>16</v>
      </c>
      <c r="P359" s="24"/>
      <c r="Q359" s="45"/>
    </row>
    <row r="360" spans="1:17">
      <c r="A360" s="14">
        <v>356</v>
      </c>
      <c r="B360" s="29" t="s">
        <v>472</v>
      </c>
      <c r="C360" s="16">
        <f>'Медикаменты Сентябрь'!L357</f>
        <v>0</v>
      </c>
      <c r="D360" s="17"/>
      <c r="E360" s="14"/>
      <c r="F360" s="18"/>
      <c r="G360" s="19"/>
      <c r="H360" s="20"/>
      <c r="I360" s="21"/>
      <c r="J360" s="14"/>
      <c r="K360" s="14">
        <f t="shared" si="10"/>
        <v>0</v>
      </c>
      <c r="L360" s="16">
        <f t="shared" si="11"/>
        <v>0</v>
      </c>
      <c r="M360" s="22">
        <v>44562</v>
      </c>
      <c r="N360" s="44"/>
      <c r="O360" s="23" t="s">
        <v>16</v>
      </c>
      <c r="P360" s="24"/>
      <c r="Q360" s="28" t="s">
        <v>473</v>
      </c>
    </row>
    <row r="361" spans="1:17">
      <c r="A361" s="14">
        <v>357</v>
      </c>
      <c r="B361" s="29" t="s">
        <v>474</v>
      </c>
      <c r="C361" s="16">
        <f>'Медикаменты Сентябрь'!L358</f>
        <v>190</v>
      </c>
      <c r="D361" s="17"/>
      <c r="E361" s="14"/>
      <c r="F361" s="18">
        <f>10+10+10+5</f>
        <v>35</v>
      </c>
      <c r="G361" s="19"/>
      <c r="H361" s="20"/>
      <c r="I361" s="21"/>
      <c r="J361" s="14"/>
      <c r="K361" s="14">
        <f t="shared" si="10"/>
        <v>35</v>
      </c>
      <c r="L361" s="16">
        <f t="shared" si="11"/>
        <v>155</v>
      </c>
      <c r="M361" s="22">
        <v>45108</v>
      </c>
      <c r="N361" s="44" t="s">
        <v>551</v>
      </c>
      <c r="O361" s="23" t="s">
        <v>16</v>
      </c>
      <c r="P361" s="24" t="s">
        <v>45</v>
      </c>
      <c r="Q361" s="28" t="s">
        <v>475</v>
      </c>
    </row>
    <row r="362" spans="1:17">
      <c r="A362" s="14">
        <v>358</v>
      </c>
      <c r="B362" s="29" t="s">
        <v>476</v>
      </c>
      <c r="C362" s="16">
        <f>'Медикаменты Сентябрь'!L359</f>
        <v>0</v>
      </c>
      <c r="D362" s="17"/>
      <c r="E362" s="14"/>
      <c r="F362" s="18"/>
      <c r="G362" s="19"/>
      <c r="H362" s="20"/>
      <c r="I362" s="21"/>
      <c r="J362" s="14"/>
      <c r="K362" s="14">
        <f t="shared" si="10"/>
        <v>0</v>
      </c>
      <c r="L362" s="16">
        <f t="shared" si="11"/>
        <v>0</v>
      </c>
      <c r="M362" s="22">
        <v>44531</v>
      </c>
      <c r="N362" s="44"/>
      <c r="O362" s="23" t="s">
        <v>16</v>
      </c>
      <c r="P362" s="24" t="s">
        <v>45</v>
      </c>
      <c r="Q362" s="28" t="s">
        <v>477</v>
      </c>
    </row>
    <row r="363" spans="1:17">
      <c r="A363" s="14">
        <v>359</v>
      </c>
      <c r="B363" s="29" t="s">
        <v>478</v>
      </c>
      <c r="C363" s="16">
        <f>'Медикаменты Сентябрь'!L360</f>
        <v>0</v>
      </c>
      <c r="D363" s="17"/>
      <c r="E363" s="14"/>
      <c r="F363" s="18"/>
      <c r="G363" s="19"/>
      <c r="H363" s="20"/>
      <c r="I363" s="21"/>
      <c r="J363" s="14"/>
      <c r="K363" s="14">
        <f t="shared" si="10"/>
        <v>0</v>
      </c>
      <c r="L363" s="16">
        <f t="shared" si="11"/>
        <v>0</v>
      </c>
      <c r="M363" s="22"/>
      <c r="N363" s="44"/>
      <c r="O363" s="23" t="s">
        <v>16</v>
      </c>
      <c r="P363" s="24"/>
      <c r="Q363" s="45"/>
    </row>
    <row r="364" spans="1:17">
      <c r="A364" s="14">
        <v>360</v>
      </c>
      <c r="B364" s="29" t="s">
        <v>479</v>
      </c>
      <c r="C364" s="16">
        <f>'Медикаменты Сентябрь'!L361</f>
        <v>0</v>
      </c>
      <c r="D364" s="17"/>
      <c r="E364" s="14"/>
      <c r="F364" s="18"/>
      <c r="G364" s="19"/>
      <c r="H364" s="20"/>
      <c r="I364" s="21"/>
      <c r="J364" s="14"/>
      <c r="K364" s="14">
        <f t="shared" si="10"/>
        <v>0</v>
      </c>
      <c r="L364" s="16">
        <f t="shared" si="11"/>
        <v>0</v>
      </c>
      <c r="M364" s="22">
        <v>44743</v>
      </c>
      <c r="N364" s="44"/>
      <c r="O364" s="23" t="s">
        <v>16</v>
      </c>
      <c r="P364" s="24"/>
      <c r="Q364" s="28" t="s">
        <v>480</v>
      </c>
    </row>
    <row r="365" spans="1:17">
      <c r="A365" s="14">
        <v>361</v>
      </c>
      <c r="B365" s="29" t="s">
        <v>481</v>
      </c>
      <c r="C365" s="16">
        <f>'Медикаменты Сентябрь'!L362</f>
        <v>105</v>
      </c>
      <c r="D365" s="17"/>
      <c r="E365" s="14"/>
      <c r="F365" s="18">
        <f>5+5</f>
        <v>10</v>
      </c>
      <c r="G365" s="19"/>
      <c r="H365" s="20"/>
      <c r="I365" s="21"/>
      <c r="J365" s="14"/>
      <c r="K365" s="14">
        <f t="shared" si="10"/>
        <v>10</v>
      </c>
      <c r="L365" s="16">
        <f t="shared" si="11"/>
        <v>95</v>
      </c>
      <c r="M365" s="22">
        <v>45108</v>
      </c>
      <c r="N365" s="44" t="s">
        <v>45</v>
      </c>
      <c r="O365" s="23" t="s">
        <v>16</v>
      </c>
      <c r="P365" s="24" t="s">
        <v>17</v>
      </c>
      <c r="Q365" s="28" t="s">
        <v>558</v>
      </c>
    </row>
    <row r="366" spans="1:17">
      <c r="A366" s="14">
        <v>362</v>
      </c>
      <c r="B366" s="29" t="s">
        <v>483</v>
      </c>
      <c r="C366" s="16">
        <f>'Медикаменты Сентябрь'!L363</f>
        <v>0</v>
      </c>
      <c r="D366" s="17"/>
      <c r="E366" s="14"/>
      <c r="F366" s="18"/>
      <c r="G366" s="19"/>
      <c r="H366" s="20"/>
      <c r="I366" s="21"/>
      <c r="J366" s="14"/>
      <c r="K366" s="14">
        <f t="shared" si="10"/>
        <v>0</v>
      </c>
      <c r="L366" s="16">
        <f t="shared" si="11"/>
        <v>0</v>
      </c>
      <c r="M366" s="22">
        <v>45689</v>
      </c>
      <c r="N366" s="44" t="s">
        <v>45</v>
      </c>
      <c r="O366" s="23" t="s">
        <v>16</v>
      </c>
      <c r="P366" s="24" t="s">
        <v>17</v>
      </c>
      <c r="Q366" s="28" t="s">
        <v>484</v>
      </c>
    </row>
    <row r="367" spans="1:17">
      <c r="A367" s="14">
        <v>363</v>
      </c>
      <c r="B367" s="29" t="s">
        <v>483</v>
      </c>
      <c r="C367" s="16">
        <f>'Медикаменты Сентябрь'!L364</f>
        <v>0</v>
      </c>
      <c r="D367" s="17"/>
      <c r="E367" s="14"/>
      <c r="F367" s="18"/>
      <c r="G367" s="19"/>
      <c r="H367" s="20"/>
      <c r="I367" s="21"/>
      <c r="J367" s="14"/>
      <c r="K367" s="14">
        <f t="shared" si="10"/>
        <v>0</v>
      </c>
      <c r="L367" s="16">
        <f t="shared" si="11"/>
        <v>0</v>
      </c>
      <c r="M367" s="22">
        <v>45689</v>
      </c>
      <c r="N367" s="44" t="s">
        <v>45</v>
      </c>
      <c r="O367" s="23" t="s">
        <v>26</v>
      </c>
      <c r="P367" s="24" t="s">
        <v>17</v>
      </c>
      <c r="Q367" s="28" t="s">
        <v>484</v>
      </c>
    </row>
    <row r="368" spans="1:17">
      <c r="A368" s="14">
        <v>364</v>
      </c>
      <c r="B368" s="29" t="s">
        <v>485</v>
      </c>
      <c r="C368" s="16">
        <f>'Медикаменты Сентябрь'!L365</f>
        <v>0</v>
      </c>
      <c r="D368" s="17"/>
      <c r="E368" s="14"/>
      <c r="F368" s="18"/>
      <c r="G368" s="19"/>
      <c r="H368" s="20"/>
      <c r="I368" s="21"/>
      <c r="J368" s="14"/>
      <c r="K368" s="14">
        <f t="shared" si="10"/>
        <v>0</v>
      </c>
      <c r="L368" s="16">
        <f t="shared" si="11"/>
        <v>0</v>
      </c>
      <c r="M368" s="22">
        <v>45597</v>
      </c>
      <c r="N368" s="44"/>
      <c r="O368" s="23" t="s">
        <v>16</v>
      </c>
      <c r="P368" s="24"/>
      <c r="Q368" s="28" t="s">
        <v>486</v>
      </c>
    </row>
    <row r="369" spans="1:17">
      <c r="A369" s="14">
        <v>365</v>
      </c>
      <c r="B369" s="29" t="s">
        <v>487</v>
      </c>
      <c r="C369" s="16">
        <f>'Медикаменты Сентябрь'!L366</f>
        <v>0</v>
      </c>
      <c r="D369" s="17"/>
      <c r="E369" s="14"/>
      <c r="F369" s="18"/>
      <c r="G369" s="19"/>
      <c r="H369" s="20"/>
      <c r="I369" s="21"/>
      <c r="J369" s="14"/>
      <c r="K369" s="14">
        <f t="shared" si="10"/>
        <v>0</v>
      </c>
      <c r="L369" s="16">
        <f t="shared" si="11"/>
        <v>0</v>
      </c>
      <c r="M369" s="22"/>
      <c r="N369" s="44"/>
      <c r="O369" s="23" t="s">
        <v>16</v>
      </c>
      <c r="P369" s="24"/>
      <c r="Q369" s="45"/>
    </row>
    <row r="370" spans="1:17">
      <c r="A370" s="14">
        <v>366</v>
      </c>
      <c r="B370" s="29" t="s">
        <v>488</v>
      </c>
      <c r="C370" s="16">
        <f>'Медикаменты Сентябрь'!L367</f>
        <v>0</v>
      </c>
      <c r="D370" s="17"/>
      <c r="E370" s="14"/>
      <c r="F370" s="18"/>
      <c r="G370" s="19"/>
      <c r="H370" s="20"/>
      <c r="I370" s="21"/>
      <c r="J370" s="14"/>
      <c r="K370" s="14">
        <f t="shared" si="10"/>
        <v>0</v>
      </c>
      <c r="L370" s="16">
        <f t="shared" si="11"/>
        <v>0</v>
      </c>
      <c r="M370" s="22">
        <v>45200</v>
      </c>
      <c r="N370" s="44" t="s">
        <v>551</v>
      </c>
      <c r="O370" s="23" t="s">
        <v>16</v>
      </c>
      <c r="P370" s="24" t="s">
        <v>17</v>
      </c>
      <c r="Q370" s="28" t="s">
        <v>489</v>
      </c>
    </row>
    <row r="371" spans="1:17">
      <c r="A371" s="14">
        <v>367</v>
      </c>
      <c r="B371" s="29" t="s">
        <v>490</v>
      </c>
      <c r="C371" s="16">
        <f>'Медикаменты Сентябрь'!L368</f>
        <v>0</v>
      </c>
      <c r="D371" s="17"/>
      <c r="E371" s="14"/>
      <c r="F371" s="18"/>
      <c r="G371" s="19"/>
      <c r="H371" s="20"/>
      <c r="I371" s="21"/>
      <c r="J371" s="14"/>
      <c r="K371" s="14">
        <f t="shared" si="10"/>
        <v>0</v>
      </c>
      <c r="L371" s="16">
        <f t="shared" si="11"/>
        <v>0</v>
      </c>
      <c r="M371" s="22"/>
      <c r="N371" s="44"/>
      <c r="O371" s="23" t="s">
        <v>16</v>
      </c>
      <c r="P371" s="24"/>
      <c r="Q371" s="45"/>
    </row>
    <row r="372" spans="1:17">
      <c r="A372" s="14">
        <v>368</v>
      </c>
      <c r="B372" s="29" t="s">
        <v>614</v>
      </c>
      <c r="C372" s="16">
        <f>'Медикаменты Сентябрь'!L369</f>
        <v>63</v>
      </c>
      <c r="D372" s="17"/>
      <c r="E372" s="14"/>
      <c r="F372" s="18"/>
      <c r="G372" s="19"/>
      <c r="H372" s="20"/>
      <c r="I372" s="21"/>
      <c r="J372" s="14"/>
      <c r="K372" s="14">
        <f t="shared" si="10"/>
        <v>0</v>
      </c>
      <c r="L372" s="16">
        <f t="shared" si="11"/>
        <v>63</v>
      </c>
      <c r="M372" s="22">
        <v>45323</v>
      </c>
      <c r="N372" s="44" t="s">
        <v>551</v>
      </c>
      <c r="O372" s="23" t="s">
        <v>16</v>
      </c>
      <c r="P372" s="24" t="s">
        <v>17</v>
      </c>
      <c r="Q372" s="28" t="s">
        <v>615</v>
      </c>
    </row>
    <row r="373" spans="1:17">
      <c r="A373" s="14">
        <v>369</v>
      </c>
      <c r="B373" s="29" t="s">
        <v>642</v>
      </c>
      <c r="C373" s="16">
        <f>'Медикаменты Сентябрь'!L370</f>
        <v>50</v>
      </c>
      <c r="D373" s="17"/>
      <c r="E373" s="14"/>
      <c r="F373" s="18"/>
      <c r="G373" s="19"/>
      <c r="H373" s="20"/>
      <c r="I373" s="21"/>
      <c r="J373" s="14"/>
      <c r="K373" s="14">
        <f t="shared" si="10"/>
        <v>0</v>
      </c>
      <c r="L373" s="16">
        <f t="shared" si="11"/>
        <v>50</v>
      </c>
      <c r="M373" s="22">
        <v>45231</v>
      </c>
      <c r="N373" s="44" t="s">
        <v>551</v>
      </c>
      <c r="O373" s="23" t="s">
        <v>16</v>
      </c>
      <c r="P373" s="24" t="s">
        <v>17</v>
      </c>
      <c r="Q373" s="28" t="s">
        <v>492</v>
      </c>
    </row>
    <row r="374" spans="1:17">
      <c r="A374" s="14">
        <v>370</v>
      </c>
      <c r="B374" s="29" t="s">
        <v>642</v>
      </c>
      <c r="C374" s="16">
        <f>'Медикаменты Сентябрь'!L371</f>
        <v>345</v>
      </c>
      <c r="D374" s="17"/>
      <c r="E374" s="14"/>
      <c r="F374" s="18">
        <f>50</f>
        <v>50</v>
      </c>
      <c r="G374" s="19"/>
      <c r="H374" s="20"/>
      <c r="I374" s="21"/>
      <c r="J374" s="14"/>
      <c r="K374" s="14">
        <f t="shared" si="10"/>
        <v>50</v>
      </c>
      <c r="L374" s="16">
        <f t="shared" si="11"/>
        <v>295</v>
      </c>
      <c r="M374" s="22">
        <v>44896</v>
      </c>
      <c r="N374" s="44" t="s">
        <v>551</v>
      </c>
      <c r="O374" s="23" t="s">
        <v>16</v>
      </c>
      <c r="P374" s="24" t="s">
        <v>17</v>
      </c>
      <c r="Q374" s="28" t="s">
        <v>492</v>
      </c>
    </row>
    <row r="375" spans="1:17">
      <c r="A375" s="14">
        <v>371</v>
      </c>
      <c r="B375" s="29" t="s">
        <v>643</v>
      </c>
      <c r="C375" s="16">
        <f>'Медикаменты Сентябрь'!L372</f>
        <v>40</v>
      </c>
      <c r="D375" s="17"/>
      <c r="E375" s="14"/>
      <c r="F375" s="18"/>
      <c r="G375" s="19"/>
      <c r="H375" s="20"/>
      <c r="I375" s="21"/>
      <c r="J375" s="14"/>
      <c r="K375" s="14">
        <f t="shared" si="10"/>
        <v>0</v>
      </c>
      <c r="L375" s="16">
        <f t="shared" si="11"/>
        <v>40</v>
      </c>
      <c r="M375" s="22">
        <v>44774</v>
      </c>
      <c r="N375" s="44" t="s">
        <v>551</v>
      </c>
      <c r="O375" s="23" t="s">
        <v>16</v>
      </c>
      <c r="P375" s="24" t="s">
        <v>17</v>
      </c>
      <c r="Q375" s="28" t="s">
        <v>494</v>
      </c>
    </row>
    <row r="376" spans="1:17">
      <c r="A376" s="14">
        <v>372</v>
      </c>
      <c r="B376" s="29" t="s">
        <v>495</v>
      </c>
      <c r="C376" s="16">
        <f>'Медикаменты Сентябрь'!L373</f>
        <v>0</v>
      </c>
      <c r="D376" s="17"/>
      <c r="E376" s="14"/>
      <c r="F376" s="18"/>
      <c r="G376" s="19"/>
      <c r="H376" s="20"/>
      <c r="I376" s="21"/>
      <c r="J376" s="14"/>
      <c r="K376" s="14">
        <f t="shared" si="10"/>
        <v>0</v>
      </c>
      <c r="L376" s="16">
        <f t="shared" si="11"/>
        <v>0</v>
      </c>
      <c r="M376" s="22"/>
      <c r="N376" s="44"/>
      <c r="O376" s="23" t="s">
        <v>16</v>
      </c>
      <c r="P376" s="24"/>
      <c r="Q376" s="45"/>
    </row>
    <row r="377" spans="1:17">
      <c r="A377" s="14">
        <v>373</v>
      </c>
      <c r="B377" s="29" t="s">
        <v>583</v>
      </c>
      <c r="C377" s="16">
        <f>'Медикаменты Сентябрь'!L374</f>
        <v>6</v>
      </c>
      <c r="D377" s="17"/>
      <c r="E377" s="14"/>
      <c r="F377" s="18"/>
      <c r="G377" s="19"/>
      <c r="H377" s="20"/>
      <c r="I377" s="21"/>
      <c r="J377" s="14"/>
      <c r="K377" s="14">
        <f t="shared" si="10"/>
        <v>0</v>
      </c>
      <c r="L377" s="16">
        <f t="shared" si="11"/>
        <v>6</v>
      </c>
      <c r="M377" s="22">
        <v>44896</v>
      </c>
      <c r="N377" s="44" t="s">
        <v>551</v>
      </c>
      <c r="O377" s="23" t="s">
        <v>16</v>
      </c>
      <c r="P377" s="24" t="s">
        <v>17</v>
      </c>
      <c r="Q377" s="28" t="s">
        <v>497</v>
      </c>
    </row>
    <row r="378" spans="1:17">
      <c r="A378" s="14">
        <v>374</v>
      </c>
      <c r="B378" s="29" t="s">
        <v>498</v>
      </c>
      <c r="C378" s="16">
        <f>'Медикаменты Сентябрь'!L375</f>
        <v>100</v>
      </c>
      <c r="D378" s="17"/>
      <c r="E378" s="14"/>
      <c r="F378" s="18"/>
      <c r="G378" s="19"/>
      <c r="H378" s="20"/>
      <c r="I378" s="21"/>
      <c r="J378" s="14"/>
      <c r="K378" s="14">
        <f t="shared" si="10"/>
        <v>0</v>
      </c>
      <c r="L378" s="16">
        <f t="shared" si="11"/>
        <v>100</v>
      </c>
      <c r="M378" s="22">
        <v>44805</v>
      </c>
      <c r="N378" s="44" t="s">
        <v>45</v>
      </c>
      <c r="O378" s="23" t="s">
        <v>16</v>
      </c>
      <c r="P378" s="24" t="s">
        <v>17</v>
      </c>
      <c r="Q378" s="28" t="s">
        <v>499</v>
      </c>
    </row>
    <row r="379" spans="1:17">
      <c r="A379" s="14">
        <v>375</v>
      </c>
      <c r="B379" s="29" t="s">
        <v>500</v>
      </c>
      <c r="C379" s="16">
        <f>'Медикаменты Сентябрь'!L376</f>
        <v>70</v>
      </c>
      <c r="D379" s="17"/>
      <c r="E379" s="14"/>
      <c r="F379" s="18"/>
      <c r="G379" s="19"/>
      <c r="H379" s="20"/>
      <c r="I379" s="21"/>
      <c r="J379" s="14"/>
      <c r="K379" s="14">
        <f t="shared" si="10"/>
        <v>0</v>
      </c>
      <c r="L379" s="16">
        <f t="shared" si="11"/>
        <v>70</v>
      </c>
      <c r="M379" s="22">
        <v>45992</v>
      </c>
      <c r="N379" s="44" t="s">
        <v>551</v>
      </c>
      <c r="O379" s="23" t="s">
        <v>16</v>
      </c>
      <c r="P379" s="24" t="s">
        <v>17</v>
      </c>
      <c r="Q379" s="28" t="s">
        <v>616</v>
      </c>
    </row>
    <row r="380" spans="1:17">
      <c r="A380" s="14">
        <v>376</v>
      </c>
      <c r="B380" s="29" t="s">
        <v>501</v>
      </c>
      <c r="C380" s="16">
        <f>'Медикаменты Сентябрь'!L377</f>
        <v>0</v>
      </c>
      <c r="D380" s="17"/>
      <c r="E380" s="14"/>
      <c r="F380" s="18"/>
      <c r="G380" s="19"/>
      <c r="H380" s="20"/>
      <c r="I380" s="21"/>
      <c r="J380" s="14"/>
      <c r="K380" s="14">
        <f t="shared" si="10"/>
        <v>0</v>
      </c>
      <c r="L380" s="16">
        <f t="shared" si="11"/>
        <v>0</v>
      </c>
      <c r="M380" s="22"/>
      <c r="N380" s="44"/>
      <c r="O380" s="23" t="s">
        <v>16</v>
      </c>
      <c r="P380" s="24"/>
      <c r="Q380" s="45"/>
    </row>
    <row r="381" spans="1:17">
      <c r="A381" s="14">
        <v>377</v>
      </c>
      <c r="B381" s="29" t="s">
        <v>502</v>
      </c>
      <c r="C381" s="16">
        <f>'Медикаменты Сентябрь'!L378</f>
        <v>0</v>
      </c>
      <c r="D381" s="17"/>
      <c r="E381" s="14"/>
      <c r="F381" s="18"/>
      <c r="G381" s="19"/>
      <c r="H381" s="20"/>
      <c r="I381" s="21"/>
      <c r="J381" s="14"/>
      <c r="K381" s="14">
        <f t="shared" si="10"/>
        <v>0</v>
      </c>
      <c r="L381" s="16">
        <f t="shared" si="11"/>
        <v>0</v>
      </c>
      <c r="M381" s="22">
        <v>45139</v>
      </c>
      <c r="N381" s="44" t="s">
        <v>551</v>
      </c>
      <c r="O381" s="23" t="s">
        <v>16</v>
      </c>
      <c r="P381" s="24" t="s">
        <v>17</v>
      </c>
      <c r="Q381" s="46" t="s">
        <v>588</v>
      </c>
    </row>
    <row r="382" spans="1:17">
      <c r="A382" s="14">
        <v>378</v>
      </c>
      <c r="B382" s="29" t="s">
        <v>502</v>
      </c>
      <c r="C382" s="16">
        <f>'Медикаменты Сентябрь'!L379</f>
        <v>0</v>
      </c>
      <c r="D382" s="17"/>
      <c r="E382" s="14"/>
      <c r="F382" s="18"/>
      <c r="G382" s="19"/>
      <c r="H382" s="20"/>
      <c r="I382" s="21"/>
      <c r="J382" s="14"/>
      <c r="K382" s="14">
        <f t="shared" si="10"/>
        <v>0</v>
      </c>
      <c r="L382" s="16">
        <f t="shared" si="11"/>
        <v>0</v>
      </c>
      <c r="M382" s="22">
        <v>45139</v>
      </c>
      <c r="N382" s="44" t="s">
        <v>551</v>
      </c>
      <c r="O382" s="23" t="s">
        <v>26</v>
      </c>
      <c r="P382" s="24" t="s">
        <v>17</v>
      </c>
      <c r="Q382" s="46" t="s">
        <v>588</v>
      </c>
    </row>
    <row r="383" spans="1:17">
      <c r="A383" s="14">
        <v>379</v>
      </c>
      <c r="B383" s="29" t="s">
        <v>503</v>
      </c>
      <c r="C383" s="16">
        <f>'Медикаменты Сентябрь'!L380</f>
        <v>23</v>
      </c>
      <c r="D383" s="26"/>
      <c r="E383" s="14"/>
      <c r="F383" s="18">
        <f>10+5</f>
        <v>15</v>
      </c>
      <c r="G383" s="19"/>
      <c r="H383" s="20"/>
      <c r="I383" s="21"/>
      <c r="J383" s="14"/>
      <c r="K383" s="14">
        <f t="shared" si="10"/>
        <v>15</v>
      </c>
      <c r="L383" s="16">
        <f t="shared" si="11"/>
        <v>8</v>
      </c>
      <c r="M383" s="22">
        <v>44713</v>
      </c>
      <c r="N383" s="44" t="s">
        <v>45</v>
      </c>
      <c r="O383" s="23" t="s">
        <v>16</v>
      </c>
      <c r="P383" s="24" t="s">
        <v>17</v>
      </c>
      <c r="Q383" s="28" t="s">
        <v>504</v>
      </c>
    </row>
    <row r="384" spans="1:17">
      <c r="A384" s="14">
        <v>380</v>
      </c>
      <c r="B384" s="29" t="s">
        <v>503</v>
      </c>
      <c r="C384" s="16"/>
      <c r="D384" s="26"/>
      <c r="E384" s="14">
        <f>85</f>
        <v>85</v>
      </c>
      <c r="F384" s="18"/>
      <c r="G384" s="19"/>
      <c r="H384" s="20"/>
      <c r="I384" s="21"/>
      <c r="J384" s="14"/>
      <c r="K384" s="14">
        <f t="shared" si="10"/>
        <v>0</v>
      </c>
      <c r="L384" s="16">
        <f t="shared" si="11"/>
        <v>85</v>
      </c>
      <c r="M384" s="22">
        <v>44986</v>
      </c>
      <c r="N384" s="44" t="s">
        <v>551</v>
      </c>
      <c r="O384" s="23" t="s">
        <v>16</v>
      </c>
      <c r="P384" s="24" t="s">
        <v>17</v>
      </c>
      <c r="Q384" s="28" t="s">
        <v>504</v>
      </c>
    </row>
    <row r="385" spans="1:17">
      <c r="A385" s="14">
        <v>381</v>
      </c>
      <c r="B385" s="29" t="s">
        <v>503</v>
      </c>
      <c r="C385" s="16"/>
      <c r="D385" s="26"/>
      <c r="E385" s="14">
        <f>65</f>
        <v>65</v>
      </c>
      <c r="F385" s="18"/>
      <c r="G385" s="19"/>
      <c r="H385" s="20"/>
      <c r="I385" s="21"/>
      <c r="J385" s="14"/>
      <c r="K385" s="14">
        <f t="shared" si="10"/>
        <v>0</v>
      </c>
      <c r="L385" s="16">
        <f t="shared" si="11"/>
        <v>65</v>
      </c>
      <c r="M385" s="22">
        <v>44986</v>
      </c>
      <c r="N385" s="44" t="s">
        <v>551</v>
      </c>
      <c r="O385" s="23" t="s">
        <v>26</v>
      </c>
      <c r="P385" s="24" t="s">
        <v>17</v>
      </c>
      <c r="Q385" s="28" t="s">
        <v>504</v>
      </c>
    </row>
    <row r="386" spans="1:17">
      <c r="A386" s="14">
        <v>382</v>
      </c>
      <c r="B386" s="29" t="s">
        <v>505</v>
      </c>
      <c r="C386" s="16">
        <f>'Медикаменты Сентябрь'!L381</f>
        <v>0</v>
      </c>
      <c r="D386" s="17"/>
      <c r="E386" s="14"/>
      <c r="F386" s="18"/>
      <c r="G386" s="19"/>
      <c r="H386" s="20"/>
      <c r="I386" s="21"/>
      <c r="J386" s="14"/>
      <c r="K386" s="14">
        <f t="shared" si="10"/>
        <v>0</v>
      </c>
      <c r="L386" s="16">
        <f t="shared" si="11"/>
        <v>0</v>
      </c>
      <c r="M386" s="22"/>
      <c r="N386" s="44"/>
      <c r="O386" s="23" t="s">
        <v>16</v>
      </c>
      <c r="P386" s="24"/>
      <c r="Q386" s="45"/>
    </row>
    <row r="387" spans="1:17">
      <c r="A387" s="14">
        <v>383</v>
      </c>
      <c r="B387" s="29" t="s">
        <v>506</v>
      </c>
      <c r="C387" s="16">
        <f>'Медикаменты Сентябрь'!L382</f>
        <v>0</v>
      </c>
      <c r="D387" s="26"/>
      <c r="E387" s="14"/>
      <c r="F387" s="18"/>
      <c r="G387" s="19"/>
      <c r="H387" s="20"/>
      <c r="I387" s="21"/>
      <c r="J387" s="14"/>
      <c r="K387" s="14">
        <f t="shared" si="10"/>
        <v>0</v>
      </c>
      <c r="L387" s="16">
        <f t="shared" si="11"/>
        <v>0</v>
      </c>
      <c r="M387" s="22">
        <v>44531</v>
      </c>
      <c r="N387" s="44" t="s">
        <v>45</v>
      </c>
      <c r="O387" s="23" t="s">
        <v>16</v>
      </c>
      <c r="P387" s="24" t="s">
        <v>17</v>
      </c>
      <c r="Q387" s="28" t="s">
        <v>507</v>
      </c>
    </row>
    <row r="388" spans="1:17">
      <c r="A388" s="14">
        <v>384</v>
      </c>
      <c r="B388" s="29" t="s">
        <v>644</v>
      </c>
      <c r="C388" s="16">
        <f>'Медикаменты Сентябрь'!L383</f>
        <v>367</v>
      </c>
      <c r="D388" s="17"/>
      <c r="E388" s="14"/>
      <c r="F388" s="18">
        <f>10+10</f>
        <v>20</v>
      </c>
      <c r="G388" s="19"/>
      <c r="H388" s="20"/>
      <c r="I388" s="21"/>
      <c r="J388" s="14"/>
      <c r="K388" s="14">
        <f t="shared" si="10"/>
        <v>20</v>
      </c>
      <c r="L388" s="16">
        <f t="shared" si="11"/>
        <v>347</v>
      </c>
      <c r="M388" s="22">
        <v>45108</v>
      </c>
      <c r="N388" s="44" t="s">
        <v>551</v>
      </c>
      <c r="O388" s="23" t="s">
        <v>16</v>
      </c>
      <c r="P388" s="24" t="s">
        <v>17</v>
      </c>
      <c r="Q388" s="28" t="s">
        <v>509</v>
      </c>
    </row>
    <row r="389" spans="1:17">
      <c r="A389" s="14">
        <v>385</v>
      </c>
      <c r="B389" s="29" t="s">
        <v>510</v>
      </c>
      <c r="C389" s="16">
        <f>'Медикаменты Сентябрь'!L384</f>
        <v>100</v>
      </c>
      <c r="D389" s="17"/>
      <c r="E389" s="14"/>
      <c r="F389" s="18">
        <f>5</f>
        <v>5</v>
      </c>
      <c r="G389" s="19"/>
      <c r="H389" s="20"/>
      <c r="I389" s="21"/>
      <c r="J389" s="14"/>
      <c r="K389" s="14">
        <f t="shared" ref="K389:K452" si="12">SUM(F389:J389)</f>
        <v>5</v>
      </c>
      <c r="L389" s="16">
        <f t="shared" ref="L389:L452" si="13">(C389+E389)-K389</f>
        <v>95</v>
      </c>
      <c r="M389" s="22">
        <v>44950</v>
      </c>
      <c r="N389" s="44" t="s">
        <v>551</v>
      </c>
      <c r="O389" s="23" t="s">
        <v>16</v>
      </c>
      <c r="P389" s="24" t="s">
        <v>17</v>
      </c>
      <c r="Q389" s="28" t="s">
        <v>589</v>
      </c>
    </row>
    <row r="390" spans="1:17">
      <c r="A390" s="14">
        <v>386</v>
      </c>
      <c r="B390" s="29" t="s">
        <v>511</v>
      </c>
      <c r="C390" s="16">
        <f>'Медикаменты Сентябрь'!L385</f>
        <v>0</v>
      </c>
      <c r="D390" s="17"/>
      <c r="E390" s="14"/>
      <c r="F390" s="18"/>
      <c r="G390" s="19"/>
      <c r="H390" s="20"/>
      <c r="I390" s="21"/>
      <c r="J390" s="14"/>
      <c r="K390" s="14">
        <f t="shared" si="12"/>
        <v>0</v>
      </c>
      <c r="L390" s="16">
        <f t="shared" si="13"/>
        <v>0</v>
      </c>
      <c r="M390" s="22"/>
      <c r="N390" s="44"/>
      <c r="O390" s="23" t="s">
        <v>16</v>
      </c>
      <c r="P390" s="24"/>
      <c r="Q390" s="45"/>
    </row>
    <row r="391" spans="1:17">
      <c r="A391" s="14">
        <v>387</v>
      </c>
      <c r="B391" s="29" t="s">
        <v>512</v>
      </c>
      <c r="C391" s="16">
        <f>'Медикаменты Сентябрь'!L386</f>
        <v>230</v>
      </c>
      <c r="D391" s="17"/>
      <c r="E391" s="14"/>
      <c r="F391" s="18">
        <f>5+5</f>
        <v>10</v>
      </c>
      <c r="G391" s="19"/>
      <c r="H391" s="20"/>
      <c r="I391" s="21"/>
      <c r="J391" s="14"/>
      <c r="K391" s="14">
        <f t="shared" si="12"/>
        <v>10</v>
      </c>
      <c r="L391" s="16">
        <f t="shared" si="13"/>
        <v>220</v>
      </c>
      <c r="M391" s="22">
        <v>45383</v>
      </c>
      <c r="N391" s="44" t="s">
        <v>551</v>
      </c>
      <c r="O391" s="23" t="s">
        <v>16</v>
      </c>
      <c r="P391" s="24" t="s">
        <v>17</v>
      </c>
      <c r="Q391" s="28" t="s">
        <v>513</v>
      </c>
    </row>
    <row r="392" spans="1:17">
      <c r="A392" s="14">
        <v>388</v>
      </c>
      <c r="B392" s="29" t="s">
        <v>514</v>
      </c>
      <c r="C392" s="16">
        <f>'Медикаменты Сентябрь'!L387</f>
        <v>235</v>
      </c>
      <c r="D392" s="17"/>
      <c r="E392" s="14"/>
      <c r="F392" s="18">
        <f>5+3+2+15</f>
        <v>25</v>
      </c>
      <c r="G392" s="19"/>
      <c r="H392" s="20"/>
      <c r="I392" s="21"/>
      <c r="J392" s="14"/>
      <c r="K392" s="14">
        <f t="shared" si="12"/>
        <v>25</v>
      </c>
      <c r="L392" s="16">
        <f t="shared" si="13"/>
        <v>210</v>
      </c>
      <c r="M392" s="22">
        <v>45199</v>
      </c>
      <c r="N392" s="44" t="s">
        <v>551</v>
      </c>
      <c r="O392" s="23" t="s">
        <v>16</v>
      </c>
      <c r="P392" s="24" t="s">
        <v>17</v>
      </c>
      <c r="Q392" s="28" t="s">
        <v>515</v>
      </c>
    </row>
    <row r="393" spans="1:17">
      <c r="A393" s="14">
        <v>389</v>
      </c>
      <c r="B393" s="29" t="s">
        <v>516</v>
      </c>
      <c r="C393" s="16">
        <f>'Медикаменты Сентябрь'!L388</f>
        <v>0</v>
      </c>
      <c r="D393" s="17"/>
      <c r="E393" s="14"/>
      <c r="F393" s="18"/>
      <c r="G393" s="19"/>
      <c r="H393" s="20"/>
      <c r="I393" s="21"/>
      <c r="J393" s="14"/>
      <c r="K393" s="14">
        <f t="shared" si="12"/>
        <v>0</v>
      </c>
      <c r="L393" s="16">
        <f t="shared" si="13"/>
        <v>0</v>
      </c>
      <c r="M393" s="22"/>
      <c r="N393" s="44"/>
      <c r="O393" s="23" t="s">
        <v>16</v>
      </c>
      <c r="P393" s="24"/>
      <c r="Q393" s="45"/>
    </row>
    <row r="394" spans="1:17">
      <c r="A394" s="14">
        <v>390</v>
      </c>
      <c r="B394" s="29" t="s">
        <v>517</v>
      </c>
      <c r="C394" s="16">
        <f>'Медикаменты Сентябрь'!L389</f>
        <v>0</v>
      </c>
      <c r="D394" s="17"/>
      <c r="E394" s="14">
        <f>300</f>
        <v>300</v>
      </c>
      <c r="F394" s="18"/>
      <c r="G394" s="19"/>
      <c r="H394" s="20"/>
      <c r="I394" s="21"/>
      <c r="J394" s="14"/>
      <c r="K394" s="14">
        <f t="shared" si="12"/>
        <v>0</v>
      </c>
      <c r="L394" s="16">
        <f t="shared" si="13"/>
        <v>300</v>
      </c>
      <c r="M394" s="22">
        <v>45352</v>
      </c>
      <c r="N394" s="44" t="s">
        <v>551</v>
      </c>
      <c r="O394" s="23" t="s">
        <v>16</v>
      </c>
      <c r="P394" s="24" t="s">
        <v>17</v>
      </c>
      <c r="Q394" s="28" t="s">
        <v>518</v>
      </c>
    </row>
    <row r="395" spans="1:17">
      <c r="A395" s="14">
        <v>391</v>
      </c>
      <c r="B395" s="29" t="s">
        <v>519</v>
      </c>
      <c r="C395" s="16">
        <f>'Медикаменты Сентябрь'!L390</f>
        <v>155</v>
      </c>
      <c r="D395" s="17"/>
      <c r="E395" s="14"/>
      <c r="F395" s="18">
        <f>5+10</f>
        <v>15</v>
      </c>
      <c r="G395" s="19"/>
      <c r="H395" s="20"/>
      <c r="I395" s="21"/>
      <c r="J395" s="14"/>
      <c r="K395" s="14">
        <f t="shared" si="12"/>
        <v>15</v>
      </c>
      <c r="L395" s="16">
        <f t="shared" si="13"/>
        <v>140</v>
      </c>
      <c r="M395" s="22">
        <v>45352</v>
      </c>
      <c r="N395" s="44" t="s">
        <v>551</v>
      </c>
      <c r="O395" s="23" t="s">
        <v>16</v>
      </c>
      <c r="P395" s="24" t="s">
        <v>17</v>
      </c>
      <c r="Q395" s="28" t="s">
        <v>655</v>
      </c>
    </row>
    <row r="396" spans="1:17">
      <c r="A396" s="14">
        <v>392</v>
      </c>
      <c r="B396" s="29" t="s">
        <v>520</v>
      </c>
      <c r="C396" s="16">
        <f>'Медикаменты Сентябрь'!L391</f>
        <v>0</v>
      </c>
      <c r="D396" s="17"/>
      <c r="E396" s="14">
        <f>200</f>
        <v>200</v>
      </c>
      <c r="F396" s="18">
        <f>10</f>
        <v>10</v>
      </c>
      <c r="G396" s="19"/>
      <c r="H396" s="20"/>
      <c r="I396" s="21"/>
      <c r="J396" s="14"/>
      <c r="K396" s="14">
        <f t="shared" si="12"/>
        <v>10</v>
      </c>
      <c r="L396" s="16">
        <f t="shared" si="13"/>
        <v>190</v>
      </c>
      <c r="M396" s="22">
        <v>45383</v>
      </c>
      <c r="N396" s="44" t="s">
        <v>551</v>
      </c>
      <c r="O396" s="23" t="s">
        <v>16</v>
      </c>
      <c r="P396" s="24" t="s">
        <v>17</v>
      </c>
      <c r="Q396" s="28" t="s">
        <v>521</v>
      </c>
    </row>
    <row r="397" spans="1:17">
      <c r="A397" s="14">
        <v>393</v>
      </c>
      <c r="B397" s="29" t="s">
        <v>522</v>
      </c>
      <c r="C397" s="16">
        <f>'Медикаменты Сентябрь'!L392</f>
        <v>0</v>
      </c>
      <c r="D397" s="17"/>
      <c r="E397" s="14"/>
      <c r="F397" s="18"/>
      <c r="G397" s="19"/>
      <c r="H397" s="20"/>
      <c r="I397" s="21"/>
      <c r="J397" s="14"/>
      <c r="K397" s="14">
        <f t="shared" si="12"/>
        <v>0</v>
      </c>
      <c r="L397" s="16">
        <f t="shared" si="13"/>
        <v>0</v>
      </c>
      <c r="M397" s="22"/>
      <c r="N397" s="44"/>
      <c r="O397" s="23" t="s">
        <v>16</v>
      </c>
      <c r="P397" s="24"/>
      <c r="Q397" s="45"/>
    </row>
    <row r="398" spans="1:17">
      <c r="A398" s="14">
        <v>394</v>
      </c>
      <c r="B398" s="29" t="s">
        <v>523</v>
      </c>
      <c r="C398" s="16">
        <f>'Медикаменты Сентябрь'!L393</f>
        <v>0</v>
      </c>
      <c r="D398" s="17"/>
      <c r="E398" s="14"/>
      <c r="F398" s="18"/>
      <c r="G398" s="19"/>
      <c r="H398" s="20"/>
      <c r="I398" s="21"/>
      <c r="J398" s="14"/>
      <c r="K398" s="14">
        <f t="shared" si="12"/>
        <v>0</v>
      </c>
      <c r="L398" s="16">
        <f t="shared" si="13"/>
        <v>0</v>
      </c>
      <c r="M398" s="22">
        <v>44228</v>
      </c>
      <c r="N398" s="44"/>
      <c r="O398" s="23" t="s">
        <v>16</v>
      </c>
      <c r="P398" s="24"/>
      <c r="Q398" s="28" t="s">
        <v>524</v>
      </c>
    </row>
    <row r="399" spans="1:17">
      <c r="A399" s="14">
        <v>395</v>
      </c>
      <c r="B399" s="29" t="s">
        <v>525</v>
      </c>
      <c r="C399" s="16">
        <f>'Медикаменты Сентябрь'!L394</f>
        <v>86</v>
      </c>
      <c r="D399" s="17"/>
      <c r="E399" s="14"/>
      <c r="F399" s="18"/>
      <c r="G399" s="19"/>
      <c r="H399" s="20"/>
      <c r="I399" s="21"/>
      <c r="J399" s="14"/>
      <c r="K399" s="14">
        <f t="shared" si="12"/>
        <v>0</v>
      </c>
      <c r="L399" s="16">
        <f t="shared" si="13"/>
        <v>86</v>
      </c>
      <c r="M399" s="22">
        <v>44958</v>
      </c>
      <c r="N399" s="44" t="s">
        <v>45</v>
      </c>
      <c r="O399" s="23" t="s">
        <v>16</v>
      </c>
      <c r="P399" s="24" t="s">
        <v>17</v>
      </c>
      <c r="Q399" s="28" t="s">
        <v>526</v>
      </c>
    </row>
    <row r="400" spans="1:17">
      <c r="A400" s="14">
        <v>396</v>
      </c>
      <c r="B400" s="29" t="s">
        <v>527</v>
      </c>
      <c r="C400" s="16">
        <f>'Медикаменты Сентябрь'!L395</f>
        <v>0</v>
      </c>
      <c r="D400" s="17"/>
      <c r="E400" s="14"/>
      <c r="F400" s="18"/>
      <c r="G400" s="19"/>
      <c r="H400" s="20"/>
      <c r="I400" s="21"/>
      <c r="J400" s="14"/>
      <c r="K400" s="14">
        <f t="shared" si="12"/>
        <v>0</v>
      </c>
      <c r="L400" s="16">
        <f t="shared" si="13"/>
        <v>0</v>
      </c>
      <c r="M400" s="22">
        <v>44652</v>
      </c>
      <c r="N400" s="44" t="s">
        <v>45</v>
      </c>
      <c r="O400" s="23" t="s">
        <v>16</v>
      </c>
      <c r="P400" s="24" t="s">
        <v>17</v>
      </c>
      <c r="Q400" s="28" t="s">
        <v>528</v>
      </c>
    </row>
    <row r="401" spans="1:17">
      <c r="A401" s="14">
        <v>397</v>
      </c>
      <c r="B401" s="29" t="s">
        <v>527</v>
      </c>
      <c r="C401" s="16">
        <f>'Медикаменты Сентябрь'!L396</f>
        <v>18</v>
      </c>
      <c r="D401" s="17"/>
      <c r="E401" s="14"/>
      <c r="F401" s="18">
        <f>4+5+5</f>
        <v>14</v>
      </c>
      <c r="G401" s="19"/>
      <c r="H401" s="20"/>
      <c r="I401" s="21"/>
      <c r="J401" s="14"/>
      <c r="K401" s="14">
        <f t="shared" si="12"/>
        <v>14</v>
      </c>
      <c r="L401" s="16">
        <f t="shared" si="13"/>
        <v>4</v>
      </c>
      <c r="M401" s="22">
        <v>44896</v>
      </c>
      <c r="N401" s="44" t="s">
        <v>45</v>
      </c>
      <c r="O401" s="23" t="s">
        <v>16</v>
      </c>
      <c r="P401" s="24" t="s">
        <v>17</v>
      </c>
      <c r="Q401" s="28" t="s">
        <v>528</v>
      </c>
    </row>
  </sheetData>
  <autoFilter ref="A2:Q401"/>
  <mergeCells count="18">
    <mergeCell ref="P2:P4"/>
    <mergeCell ref="Q2:Q4"/>
    <mergeCell ref="A1:Q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2:M4"/>
    <mergeCell ref="N2:N4"/>
    <mergeCell ref="O2:O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D62E4E"/>
  </sheetPr>
  <dimension ref="A1:O26"/>
  <sheetViews>
    <sheetView zoomScaleNormal="100" workbookViewId="0">
      <pane ySplit="4" topLeftCell="A5" activePane="bottomLeft" state="frozen"/>
      <selection pane="bottomLeft" activeCell="F21" sqref="F21"/>
    </sheetView>
  </sheetViews>
  <sheetFormatPr defaultRowHeight="15"/>
  <cols>
    <col min="1" max="1" width="12.5703125" customWidth="1"/>
    <col min="2" max="2" width="45.85546875" customWidth="1"/>
    <col min="3" max="13" width="13.28515625" customWidth="1"/>
    <col min="14" max="14" width="13.7109375" customWidth="1"/>
    <col min="15" max="1022" width="9.140625" customWidth="1"/>
    <col min="1023" max="1025" width="11.5703125" customWidth="1"/>
  </cols>
  <sheetData>
    <row r="1" spans="1:15" ht="51.75" customHeight="1">
      <c r="A1" s="3" t="s">
        <v>529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s="33" customFormat="1" ht="13.9" customHeight="1">
      <c r="A2" s="11" t="s">
        <v>1</v>
      </c>
      <c r="B2" s="10" t="s">
        <v>2</v>
      </c>
      <c r="C2" s="9">
        <v>44470</v>
      </c>
      <c r="D2" s="11" t="s">
        <v>3</v>
      </c>
      <c r="E2" s="11" t="s">
        <v>4</v>
      </c>
      <c r="F2" s="8" t="s">
        <v>5</v>
      </c>
      <c r="G2" s="2" t="s">
        <v>6</v>
      </c>
      <c r="H2" s="6" t="s">
        <v>7</v>
      </c>
      <c r="I2" s="5" t="s">
        <v>8</v>
      </c>
      <c r="J2" s="11" t="s">
        <v>9</v>
      </c>
      <c r="K2" s="11" t="s">
        <v>10</v>
      </c>
      <c r="L2" s="9">
        <v>44500</v>
      </c>
      <c r="M2" s="1" t="s">
        <v>11</v>
      </c>
      <c r="N2" s="1" t="s">
        <v>12</v>
      </c>
      <c r="O2" s="32"/>
    </row>
    <row r="3" spans="1:15" s="33" customFormat="1" ht="14.25">
      <c r="A3" s="11"/>
      <c r="B3" s="10"/>
      <c r="C3" s="9"/>
      <c r="D3" s="9"/>
      <c r="E3" s="9"/>
      <c r="F3" s="8"/>
      <c r="G3" s="2"/>
      <c r="H3" s="6"/>
      <c r="I3" s="5"/>
      <c r="J3" s="11"/>
      <c r="K3" s="11"/>
      <c r="L3" s="11"/>
      <c r="M3" s="1"/>
      <c r="N3" s="1"/>
      <c r="O3" s="32"/>
    </row>
    <row r="4" spans="1:15" s="33" customFormat="1" ht="24.75" customHeight="1">
      <c r="A4" s="11"/>
      <c r="B4" s="10"/>
      <c r="C4" s="9"/>
      <c r="D4" s="9"/>
      <c r="E4" s="9"/>
      <c r="F4" s="8"/>
      <c r="G4" s="2"/>
      <c r="H4" s="6"/>
      <c r="I4" s="5"/>
      <c r="J4" s="11"/>
      <c r="K4" s="11"/>
      <c r="L4" s="11"/>
      <c r="M4" s="1"/>
      <c r="N4" s="1"/>
      <c r="O4" s="32"/>
    </row>
    <row r="5" spans="1:15">
      <c r="A5" s="34">
        <v>1</v>
      </c>
      <c r="B5" s="35" t="s">
        <v>530</v>
      </c>
      <c r="C5" s="14">
        <f>'Перевязочные Сентябрь'!L5</f>
        <v>438</v>
      </c>
      <c r="D5" s="36"/>
      <c r="E5" s="36"/>
      <c r="F5" s="37">
        <f>20+20</f>
        <v>40</v>
      </c>
      <c r="G5" s="38"/>
      <c r="H5" s="39"/>
      <c r="I5" s="40"/>
      <c r="J5" s="36"/>
      <c r="K5" s="14">
        <f t="shared" ref="K5:K26" si="0">SUM(F5:J5)</f>
        <v>40</v>
      </c>
      <c r="L5" s="16">
        <f t="shared" ref="L5:L26" si="1">(C5+E5)-K5</f>
        <v>398</v>
      </c>
      <c r="M5" s="41">
        <v>44652</v>
      </c>
      <c r="N5" s="42" t="s">
        <v>16</v>
      </c>
      <c r="O5" s="43"/>
    </row>
    <row r="6" spans="1:15">
      <c r="A6" s="34">
        <v>2</v>
      </c>
      <c r="B6" s="35" t="s">
        <v>531</v>
      </c>
      <c r="C6" s="14">
        <f>'Перевязочные Сентябрь'!L6</f>
        <v>83</v>
      </c>
      <c r="D6" s="36"/>
      <c r="E6" s="36"/>
      <c r="F6" s="37"/>
      <c r="G6" s="38"/>
      <c r="H6" s="39"/>
      <c r="I6" s="40"/>
      <c r="J6" s="36"/>
      <c r="K6" s="14">
        <f t="shared" si="0"/>
        <v>0</v>
      </c>
      <c r="L6" s="16">
        <f t="shared" si="1"/>
        <v>83</v>
      </c>
      <c r="M6" s="41">
        <v>45200</v>
      </c>
      <c r="N6" s="42" t="s">
        <v>16</v>
      </c>
      <c r="O6" s="43"/>
    </row>
    <row r="7" spans="1:15">
      <c r="A7" s="34">
        <v>3</v>
      </c>
      <c r="B7" s="35" t="s">
        <v>532</v>
      </c>
      <c r="C7" s="14">
        <f>'Перевязочные Сентябрь'!L7</f>
        <v>10</v>
      </c>
      <c r="D7" s="36"/>
      <c r="E7" s="36"/>
      <c r="F7" s="37"/>
      <c r="G7" s="38"/>
      <c r="H7" s="39"/>
      <c r="I7" s="40"/>
      <c r="J7" s="36"/>
      <c r="K7" s="14">
        <f t="shared" si="0"/>
        <v>0</v>
      </c>
      <c r="L7" s="16">
        <f t="shared" si="1"/>
        <v>10</v>
      </c>
      <c r="M7" s="41">
        <v>44958</v>
      </c>
      <c r="N7" s="42" t="s">
        <v>16</v>
      </c>
      <c r="O7" s="43"/>
    </row>
    <row r="8" spans="1:15">
      <c r="A8" s="34">
        <v>4</v>
      </c>
      <c r="B8" s="35" t="s">
        <v>533</v>
      </c>
      <c r="C8" s="14">
        <f>'Перевязочные Сентябрь'!L8</f>
        <v>0</v>
      </c>
      <c r="D8" s="36"/>
      <c r="E8" s="36"/>
      <c r="F8" s="37"/>
      <c r="G8" s="38"/>
      <c r="H8" s="39"/>
      <c r="I8" s="40"/>
      <c r="J8" s="36"/>
      <c r="K8" s="14">
        <f t="shared" si="0"/>
        <v>0</v>
      </c>
      <c r="L8" s="16">
        <f t="shared" si="1"/>
        <v>0</v>
      </c>
      <c r="M8" s="41"/>
      <c r="N8" s="42" t="s">
        <v>16</v>
      </c>
      <c r="O8" s="43"/>
    </row>
    <row r="9" spans="1:15">
      <c r="A9" s="34">
        <v>5</v>
      </c>
      <c r="B9" s="35" t="s">
        <v>534</v>
      </c>
      <c r="C9" s="14">
        <f>'Перевязочные Сентябрь'!L9</f>
        <v>0</v>
      </c>
      <c r="D9" s="36"/>
      <c r="E9" s="36"/>
      <c r="F9" s="37"/>
      <c r="G9" s="38"/>
      <c r="H9" s="39"/>
      <c r="I9" s="40"/>
      <c r="J9" s="36"/>
      <c r="K9" s="14">
        <f t="shared" si="0"/>
        <v>0</v>
      </c>
      <c r="L9" s="16">
        <f t="shared" si="1"/>
        <v>0</v>
      </c>
      <c r="M9" s="41"/>
      <c r="N9" s="42" t="s">
        <v>16</v>
      </c>
      <c r="O9" s="43"/>
    </row>
    <row r="10" spans="1:15">
      <c r="A10" s="34">
        <v>6</v>
      </c>
      <c r="B10" s="35" t="s">
        <v>535</v>
      </c>
      <c r="C10" s="14">
        <f>'Перевязочные Сентябрь'!L10</f>
        <v>10</v>
      </c>
      <c r="D10" s="36"/>
      <c r="E10" s="36"/>
      <c r="F10" s="37"/>
      <c r="G10" s="38"/>
      <c r="H10" s="39"/>
      <c r="I10" s="40"/>
      <c r="J10" s="36"/>
      <c r="K10" s="14">
        <f t="shared" si="0"/>
        <v>0</v>
      </c>
      <c r="L10" s="16">
        <f t="shared" si="1"/>
        <v>10</v>
      </c>
      <c r="M10" s="41">
        <v>45231</v>
      </c>
      <c r="N10" s="42" t="s">
        <v>16</v>
      </c>
      <c r="O10" s="43"/>
    </row>
    <row r="11" spans="1:15">
      <c r="A11" s="34">
        <v>7</v>
      </c>
      <c r="B11" s="35" t="s">
        <v>536</v>
      </c>
      <c r="C11" s="14">
        <f>'Перевязочные Сентябрь'!L11</f>
        <v>0</v>
      </c>
      <c r="D11" s="36"/>
      <c r="E11" s="36"/>
      <c r="F11" s="37"/>
      <c r="G11" s="38"/>
      <c r="H11" s="39"/>
      <c r="I11" s="40"/>
      <c r="J11" s="36"/>
      <c r="K11" s="14">
        <f t="shared" si="0"/>
        <v>0</v>
      </c>
      <c r="L11" s="16">
        <f t="shared" si="1"/>
        <v>0</v>
      </c>
      <c r="M11" s="41"/>
      <c r="N11" s="42" t="s">
        <v>16</v>
      </c>
      <c r="O11" s="43"/>
    </row>
    <row r="12" spans="1:15">
      <c r="A12" s="34">
        <v>8</v>
      </c>
      <c r="B12" s="35" t="s">
        <v>537</v>
      </c>
      <c r="C12" s="14">
        <f>'Перевязочные Сентябрь'!L12</f>
        <v>8</v>
      </c>
      <c r="D12" s="36"/>
      <c r="E12" s="36"/>
      <c r="F12" s="37"/>
      <c r="G12" s="38"/>
      <c r="H12" s="39"/>
      <c r="I12" s="40"/>
      <c r="J12" s="36"/>
      <c r="K12" s="14">
        <f t="shared" si="0"/>
        <v>0</v>
      </c>
      <c r="L12" s="16">
        <f t="shared" si="1"/>
        <v>8</v>
      </c>
      <c r="M12" s="41">
        <v>45658</v>
      </c>
      <c r="N12" s="42" t="s">
        <v>16</v>
      </c>
      <c r="O12" s="43"/>
    </row>
    <row r="13" spans="1:15">
      <c r="A13" s="34">
        <v>9</v>
      </c>
      <c r="B13" s="35" t="s">
        <v>537</v>
      </c>
      <c r="C13" s="14">
        <f>'Перевязочные Сентябрь'!L13</f>
        <v>50</v>
      </c>
      <c r="D13" s="36"/>
      <c r="E13" s="36"/>
      <c r="F13" s="37"/>
      <c r="G13" s="38"/>
      <c r="H13" s="39"/>
      <c r="I13" s="40"/>
      <c r="J13" s="36"/>
      <c r="K13" s="14">
        <f t="shared" si="0"/>
        <v>0</v>
      </c>
      <c r="L13" s="16">
        <f t="shared" si="1"/>
        <v>50</v>
      </c>
      <c r="M13" s="41">
        <v>45870</v>
      </c>
      <c r="N13" s="42" t="s">
        <v>16</v>
      </c>
      <c r="O13" s="43"/>
    </row>
    <row r="14" spans="1:15">
      <c r="A14" s="34">
        <v>10</v>
      </c>
      <c r="B14" s="35" t="s">
        <v>617</v>
      </c>
      <c r="C14" s="14">
        <f>'Перевязочные Сентябрь'!L14</f>
        <v>20</v>
      </c>
      <c r="D14" s="36"/>
      <c r="E14" s="36"/>
      <c r="F14" s="37"/>
      <c r="G14" s="38"/>
      <c r="H14" s="39"/>
      <c r="I14" s="40"/>
      <c r="J14" s="36"/>
      <c r="K14" s="14">
        <f t="shared" si="0"/>
        <v>0</v>
      </c>
      <c r="L14" s="16">
        <f t="shared" si="1"/>
        <v>20</v>
      </c>
      <c r="M14" s="41">
        <v>45809</v>
      </c>
      <c r="N14" s="42" t="s">
        <v>16</v>
      </c>
      <c r="O14" s="43"/>
    </row>
    <row r="15" spans="1:15">
      <c r="A15" s="34">
        <v>11</v>
      </c>
      <c r="B15" s="35" t="s">
        <v>538</v>
      </c>
      <c r="C15" s="14">
        <f>'Перевязочные Сентябрь'!L15</f>
        <v>500</v>
      </c>
      <c r="D15" s="36"/>
      <c r="E15" s="36"/>
      <c r="F15" s="37"/>
      <c r="G15" s="38"/>
      <c r="H15" s="39"/>
      <c r="I15" s="40"/>
      <c r="J15" s="36"/>
      <c r="K15" s="14">
        <f t="shared" si="0"/>
        <v>0</v>
      </c>
      <c r="L15" s="16">
        <f t="shared" si="1"/>
        <v>500</v>
      </c>
      <c r="M15" s="41">
        <v>44682</v>
      </c>
      <c r="N15" s="42" t="s">
        <v>16</v>
      </c>
      <c r="O15" s="43"/>
    </row>
    <row r="16" spans="1:15">
      <c r="A16" s="34">
        <v>12</v>
      </c>
      <c r="B16" s="35" t="s">
        <v>539</v>
      </c>
      <c r="C16" s="14">
        <f>'Перевязочные Сентябрь'!L16</f>
        <v>318</v>
      </c>
      <c r="D16" s="36"/>
      <c r="E16" s="36"/>
      <c r="F16" s="37">
        <f>24</f>
        <v>24</v>
      </c>
      <c r="G16" s="38"/>
      <c r="H16" s="39"/>
      <c r="I16" s="40"/>
      <c r="J16" s="36"/>
      <c r="K16" s="14">
        <f t="shared" si="0"/>
        <v>24</v>
      </c>
      <c r="L16" s="16">
        <f t="shared" si="1"/>
        <v>294</v>
      </c>
      <c r="M16" s="41">
        <v>45261</v>
      </c>
      <c r="N16" s="42" t="s">
        <v>16</v>
      </c>
      <c r="O16" s="43"/>
    </row>
    <row r="17" spans="1:15">
      <c r="A17" s="34">
        <v>13</v>
      </c>
      <c r="B17" s="35" t="s">
        <v>540</v>
      </c>
      <c r="C17" s="14">
        <f>'Перевязочные Сентябрь'!L17</f>
        <v>141</v>
      </c>
      <c r="D17" s="36"/>
      <c r="E17" s="36"/>
      <c r="F17" s="37">
        <f>10</f>
        <v>10</v>
      </c>
      <c r="G17" s="38"/>
      <c r="H17" s="39"/>
      <c r="I17" s="40"/>
      <c r="J17" s="36"/>
      <c r="K17" s="14">
        <f t="shared" si="0"/>
        <v>10</v>
      </c>
      <c r="L17" s="16">
        <f t="shared" si="1"/>
        <v>131</v>
      </c>
      <c r="M17" s="41">
        <v>44835</v>
      </c>
      <c r="N17" s="42" t="s">
        <v>16</v>
      </c>
      <c r="O17" s="43"/>
    </row>
    <row r="18" spans="1:15" ht="30">
      <c r="A18" s="34">
        <v>14</v>
      </c>
      <c r="B18" s="35" t="s">
        <v>541</v>
      </c>
      <c r="C18" s="14">
        <f>'Перевязочные Сентябрь'!L18</f>
        <v>285</v>
      </c>
      <c r="D18" s="36"/>
      <c r="E18" s="36"/>
      <c r="F18" s="37"/>
      <c r="G18" s="38"/>
      <c r="H18" s="39"/>
      <c r="I18" s="40"/>
      <c r="J18" s="36"/>
      <c r="K18" s="14">
        <f t="shared" si="0"/>
        <v>0</v>
      </c>
      <c r="L18" s="16">
        <f t="shared" si="1"/>
        <v>285</v>
      </c>
      <c r="M18" s="41">
        <v>45616</v>
      </c>
      <c r="N18" s="42" t="s">
        <v>16</v>
      </c>
      <c r="O18" s="43"/>
    </row>
    <row r="19" spans="1:15" ht="45">
      <c r="A19" s="34">
        <v>15</v>
      </c>
      <c r="B19" s="35" t="s">
        <v>542</v>
      </c>
      <c r="C19" s="14">
        <f>'Перевязочные Сентябрь'!L19</f>
        <v>450</v>
      </c>
      <c r="D19" s="36"/>
      <c r="E19" s="36"/>
      <c r="F19" s="37">
        <f>150</f>
        <v>150</v>
      </c>
      <c r="G19" s="38"/>
      <c r="H19" s="39"/>
      <c r="I19" s="40"/>
      <c r="J19" s="36"/>
      <c r="K19" s="14">
        <f t="shared" si="0"/>
        <v>150</v>
      </c>
      <c r="L19" s="16">
        <f t="shared" si="1"/>
        <v>300</v>
      </c>
      <c r="M19" s="41">
        <v>44682</v>
      </c>
      <c r="N19" s="42" t="s">
        <v>16</v>
      </c>
      <c r="O19" s="43"/>
    </row>
    <row r="20" spans="1:15" ht="30">
      <c r="A20" s="34">
        <v>16</v>
      </c>
      <c r="B20" s="35" t="s">
        <v>543</v>
      </c>
      <c r="C20" s="14">
        <f>'Перевязочные Сентябрь'!L20</f>
        <v>0</v>
      </c>
      <c r="D20" s="36"/>
      <c r="E20" s="36"/>
      <c r="F20" s="37"/>
      <c r="G20" s="38"/>
      <c r="H20" s="39"/>
      <c r="I20" s="40"/>
      <c r="J20" s="36"/>
      <c r="K20" s="14">
        <f t="shared" si="0"/>
        <v>0</v>
      </c>
      <c r="L20" s="16">
        <f t="shared" si="1"/>
        <v>0</v>
      </c>
      <c r="M20" s="41">
        <v>45778</v>
      </c>
      <c r="N20" s="42" t="s">
        <v>16</v>
      </c>
      <c r="O20" s="43"/>
    </row>
    <row r="21" spans="1:15" ht="30">
      <c r="A21" s="34">
        <v>17</v>
      </c>
      <c r="B21" s="35" t="s">
        <v>565</v>
      </c>
      <c r="C21" s="14">
        <f>'Перевязочные Сентябрь'!L21</f>
        <v>23250</v>
      </c>
      <c r="D21" s="36"/>
      <c r="E21" s="36"/>
      <c r="F21" s="37">
        <f>1000+400+600</f>
        <v>2000</v>
      </c>
      <c r="G21" s="38"/>
      <c r="H21" s="39"/>
      <c r="I21" s="40"/>
      <c r="J21" s="36"/>
      <c r="K21" s="14">
        <f t="shared" si="0"/>
        <v>2000</v>
      </c>
      <c r="L21" s="16">
        <f t="shared" si="1"/>
        <v>21250</v>
      </c>
      <c r="M21" s="41">
        <v>45992</v>
      </c>
      <c r="N21" s="42" t="s">
        <v>16</v>
      </c>
      <c r="O21" s="43"/>
    </row>
    <row r="22" spans="1:15" ht="30">
      <c r="A22" s="34">
        <v>18</v>
      </c>
      <c r="B22" s="35" t="s">
        <v>544</v>
      </c>
      <c r="C22" s="14">
        <f>'Перевязочные Сентябрь'!L22</f>
        <v>38</v>
      </c>
      <c r="D22" s="36"/>
      <c r="E22" s="36"/>
      <c r="F22" s="37"/>
      <c r="G22" s="38"/>
      <c r="H22" s="39"/>
      <c r="I22" s="40"/>
      <c r="J22" s="36"/>
      <c r="K22" s="14">
        <f t="shared" si="0"/>
        <v>0</v>
      </c>
      <c r="L22" s="16">
        <f t="shared" si="1"/>
        <v>38</v>
      </c>
      <c r="M22" s="41"/>
      <c r="N22" s="42" t="s">
        <v>16</v>
      </c>
      <c r="O22" s="43"/>
    </row>
    <row r="23" spans="1:15">
      <c r="A23" s="34">
        <v>19</v>
      </c>
      <c r="B23" s="35" t="s">
        <v>545</v>
      </c>
      <c r="C23" s="14">
        <f>'Перевязочные Сентябрь'!L23</f>
        <v>15</v>
      </c>
      <c r="D23" s="36"/>
      <c r="E23" s="36"/>
      <c r="F23" s="37"/>
      <c r="G23" s="38"/>
      <c r="H23" s="39"/>
      <c r="I23" s="40"/>
      <c r="J23" s="36"/>
      <c r="K23" s="14">
        <f t="shared" si="0"/>
        <v>0</v>
      </c>
      <c r="L23" s="16">
        <f t="shared" si="1"/>
        <v>15</v>
      </c>
      <c r="M23" s="41">
        <v>45292</v>
      </c>
      <c r="N23" s="42" t="s">
        <v>16</v>
      </c>
      <c r="O23" s="43"/>
    </row>
    <row r="24" spans="1:15">
      <c r="A24" s="34">
        <v>20</v>
      </c>
      <c r="B24" s="35" t="s">
        <v>566</v>
      </c>
      <c r="C24" s="14">
        <f>'Перевязочные Сентябрь'!L24</f>
        <v>28</v>
      </c>
      <c r="D24" s="36"/>
      <c r="E24" s="36"/>
      <c r="F24" s="37"/>
      <c r="G24" s="38"/>
      <c r="H24" s="39"/>
      <c r="I24" s="40"/>
      <c r="J24" s="36"/>
      <c r="K24" s="14">
        <f t="shared" si="0"/>
        <v>0</v>
      </c>
      <c r="L24" s="16">
        <f t="shared" si="1"/>
        <v>28</v>
      </c>
      <c r="M24" s="41">
        <v>45717</v>
      </c>
      <c r="N24" s="42" t="s">
        <v>16</v>
      </c>
      <c r="O24" s="43"/>
    </row>
    <row r="25" spans="1:15" ht="30">
      <c r="A25" s="34">
        <v>21</v>
      </c>
      <c r="B25" s="35" t="s">
        <v>546</v>
      </c>
      <c r="C25" s="14">
        <f>'Перевязочные Сентябрь'!L25</f>
        <v>14</v>
      </c>
      <c r="D25" s="36"/>
      <c r="E25" s="36"/>
      <c r="F25" s="37">
        <f>4</f>
        <v>4</v>
      </c>
      <c r="G25" s="38"/>
      <c r="H25" s="39"/>
      <c r="I25" s="40"/>
      <c r="J25" s="36"/>
      <c r="K25" s="14">
        <f t="shared" si="0"/>
        <v>4</v>
      </c>
      <c r="L25" s="16">
        <f t="shared" si="1"/>
        <v>10</v>
      </c>
      <c r="M25" s="41">
        <v>44682</v>
      </c>
      <c r="N25" s="42" t="s">
        <v>16</v>
      </c>
      <c r="O25" s="43"/>
    </row>
    <row r="26" spans="1:15" ht="45">
      <c r="A26" s="34">
        <v>22</v>
      </c>
      <c r="B26" s="35" t="s">
        <v>567</v>
      </c>
      <c r="C26" s="14">
        <f>'Перевязочные Сентябрь'!L26</f>
        <v>14</v>
      </c>
      <c r="D26" s="36"/>
      <c r="E26" s="36"/>
      <c r="F26" s="37"/>
      <c r="G26" s="38"/>
      <c r="H26" s="39"/>
      <c r="I26" s="40"/>
      <c r="J26" s="36"/>
      <c r="K26" s="14">
        <f t="shared" si="0"/>
        <v>0</v>
      </c>
      <c r="L26" s="16">
        <f t="shared" si="1"/>
        <v>14</v>
      </c>
      <c r="M26" s="41">
        <v>45292</v>
      </c>
      <c r="N26" s="42" t="s">
        <v>16</v>
      </c>
      <c r="O26" s="43"/>
    </row>
  </sheetData>
  <autoFilter ref="A2:N4"/>
  <mergeCells count="15">
    <mergeCell ref="A1:N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2:M4"/>
    <mergeCell ref="N2:N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FF5429"/>
  </sheetPr>
  <dimension ref="A1:Q402"/>
  <sheetViews>
    <sheetView tabSelected="1" zoomScale="80" zoomScaleNormal="80" workbookViewId="0">
      <pane ySplit="4" topLeftCell="A11" activePane="bottomLeft" state="frozen"/>
      <selection pane="bottomLeft" activeCell="F20" sqref="F20"/>
    </sheetView>
  </sheetViews>
  <sheetFormatPr defaultRowHeight="15"/>
  <cols>
    <col min="1" max="1" width="9.140625" customWidth="1"/>
    <col min="2" max="2" width="40.85546875" customWidth="1"/>
    <col min="3" max="13" width="13.28515625" customWidth="1"/>
    <col min="14" max="14" width="13.28515625" style="13" customWidth="1"/>
    <col min="15" max="15" width="13.28515625" customWidth="1"/>
    <col min="16" max="16" width="13.28515625" style="13" customWidth="1"/>
    <col min="17" max="17" width="43.5703125" customWidth="1"/>
    <col min="18" max="1025" width="9.140625" customWidth="1"/>
  </cols>
  <sheetData>
    <row r="1" spans="1:17" ht="52.5" customHeight="1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ht="13.9" customHeight="1">
      <c r="A2" s="11" t="s">
        <v>1</v>
      </c>
      <c r="B2" s="10" t="s">
        <v>2</v>
      </c>
      <c r="C2" s="9">
        <v>44501</v>
      </c>
      <c r="D2" s="11" t="s">
        <v>3</v>
      </c>
      <c r="E2" s="11" t="s">
        <v>4</v>
      </c>
      <c r="F2" s="8" t="s">
        <v>5</v>
      </c>
      <c r="G2" s="7" t="s">
        <v>6</v>
      </c>
      <c r="H2" s="6" t="s">
        <v>7</v>
      </c>
      <c r="I2" s="5" t="s">
        <v>8</v>
      </c>
      <c r="J2" s="11" t="s">
        <v>9</v>
      </c>
      <c r="K2" s="11" t="s">
        <v>10</v>
      </c>
      <c r="L2" s="9">
        <v>44530</v>
      </c>
      <c r="M2" s="4" t="s">
        <v>11</v>
      </c>
      <c r="N2" s="4" t="s">
        <v>550</v>
      </c>
      <c r="O2" s="4" t="s">
        <v>12</v>
      </c>
      <c r="P2" s="4" t="s">
        <v>13</v>
      </c>
      <c r="Q2" s="4" t="s">
        <v>14</v>
      </c>
    </row>
    <row r="3" spans="1:17">
      <c r="A3" s="11"/>
      <c r="B3" s="10"/>
      <c r="C3" s="9"/>
      <c r="D3" s="9"/>
      <c r="E3" s="9"/>
      <c r="F3" s="8"/>
      <c r="G3" s="7"/>
      <c r="H3" s="6"/>
      <c r="I3" s="5"/>
      <c r="J3" s="11"/>
      <c r="K3" s="11"/>
      <c r="L3" s="11"/>
      <c r="M3" s="4"/>
      <c r="N3" s="4"/>
      <c r="O3" s="4"/>
      <c r="P3" s="4"/>
      <c r="Q3" s="4"/>
    </row>
    <row r="4" spans="1:17" ht="34.5" customHeight="1">
      <c r="A4" s="11"/>
      <c r="B4" s="10"/>
      <c r="C4" s="9"/>
      <c r="D4" s="9"/>
      <c r="E4" s="9"/>
      <c r="F4" s="8"/>
      <c r="G4" s="7"/>
      <c r="H4" s="6"/>
      <c r="I4" s="5"/>
      <c r="J4" s="11"/>
      <c r="K4" s="11"/>
      <c r="L4" s="11"/>
      <c r="M4" s="4"/>
      <c r="N4" s="4"/>
      <c r="O4" s="4"/>
      <c r="P4" s="4"/>
      <c r="Q4" s="4"/>
    </row>
    <row r="5" spans="1:17">
      <c r="A5" s="14">
        <v>1</v>
      </c>
      <c r="B5" s="15" t="s">
        <v>15</v>
      </c>
      <c r="C5" s="16">
        <f>'Медикаменты Октябрь'!L5</f>
        <v>10</v>
      </c>
      <c r="D5" s="17"/>
      <c r="E5" s="14"/>
      <c r="F5" s="18">
        <f>4</f>
        <v>4</v>
      </c>
      <c r="G5" s="19"/>
      <c r="H5" s="20"/>
      <c r="I5" s="21"/>
      <c r="J5" s="14"/>
      <c r="K5" s="14">
        <f t="shared" ref="K5:K68" si="0">SUM(F5:J5)</f>
        <v>4</v>
      </c>
      <c r="L5" s="16">
        <f t="shared" ref="L5:L68" si="1">(C5+E5)-K5</f>
        <v>6</v>
      </c>
      <c r="M5" s="22">
        <v>45444</v>
      </c>
      <c r="N5" s="44" t="s">
        <v>551</v>
      </c>
      <c r="O5" s="23" t="s">
        <v>16</v>
      </c>
      <c r="P5" s="24" t="s">
        <v>17</v>
      </c>
      <c r="Q5" s="28" t="s">
        <v>18</v>
      </c>
    </row>
    <row r="6" spans="1:17" ht="25.5">
      <c r="A6" s="14">
        <v>2</v>
      </c>
      <c r="B6" s="15" t="s">
        <v>656</v>
      </c>
      <c r="C6" s="16">
        <f>'Медикаменты Октябрь'!L6</f>
        <v>27</v>
      </c>
      <c r="D6" s="17"/>
      <c r="E6" s="14"/>
      <c r="F6" s="18"/>
      <c r="G6" s="19"/>
      <c r="H6" s="20"/>
      <c r="I6" s="21"/>
      <c r="J6" s="14"/>
      <c r="K6" s="14">
        <f t="shared" si="0"/>
        <v>0</v>
      </c>
      <c r="L6" s="16">
        <f t="shared" si="1"/>
        <v>27</v>
      </c>
      <c r="M6" s="22">
        <v>45505</v>
      </c>
      <c r="N6" s="44" t="s">
        <v>551</v>
      </c>
      <c r="O6" s="23" t="s">
        <v>26</v>
      </c>
      <c r="P6" s="24" t="s">
        <v>17</v>
      </c>
      <c r="Q6" s="28" t="s">
        <v>657</v>
      </c>
    </row>
    <row r="7" spans="1:17" ht="25.5">
      <c r="A7" s="14">
        <v>3</v>
      </c>
      <c r="B7" s="15" t="s">
        <v>656</v>
      </c>
      <c r="C7" s="16">
        <f>'Медикаменты Октябрь'!L7</f>
        <v>3</v>
      </c>
      <c r="D7" s="17"/>
      <c r="E7" s="14"/>
      <c r="F7" s="18"/>
      <c r="G7" s="19"/>
      <c r="H7" s="20"/>
      <c r="I7" s="21"/>
      <c r="J7" s="14"/>
      <c r="K7" s="14">
        <f t="shared" si="0"/>
        <v>0</v>
      </c>
      <c r="L7" s="16">
        <f t="shared" si="1"/>
        <v>3</v>
      </c>
      <c r="M7" s="22">
        <v>45505</v>
      </c>
      <c r="N7" s="44" t="s">
        <v>551</v>
      </c>
      <c r="O7" s="23" t="s">
        <v>16</v>
      </c>
      <c r="P7" s="24" t="s">
        <v>17</v>
      </c>
      <c r="Q7" s="28" t="s">
        <v>657</v>
      </c>
    </row>
    <row r="8" spans="1:17">
      <c r="A8" s="14">
        <v>4</v>
      </c>
      <c r="B8" s="15" t="s">
        <v>658</v>
      </c>
      <c r="C8" s="16">
        <f>'Медикаменты Октябрь'!L8</f>
        <v>145</v>
      </c>
      <c r="D8" s="17"/>
      <c r="E8" s="14"/>
      <c r="F8" s="18">
        <f>3</f>
        <v>3</v>
      </c>
      <c r="G8" s="19"/>
      <c r="H8" s="20"/>
      <c r="I8" s="21"/>
      <c r="J8" s="14"/>
      <c r="K8" s="14">
        <f t="shared" si="0"/>
        <v>3</v>
      </c>
      <c r="L8" s="16">
        <f t="shared" si="1"/>
        <v>142</v>
      </c>
      <c r="M8" s="22">
        <v>46082</v>
      </c>
      <c r="N8" s="44" t="s">
        <v>551</v>
      </c>
      <c r="O8" s="23" t="s">
        <v>16</v>
      </c>
      <c r="P8" s="24" t="s">
        <v>17</v>
      </c>
      <c r="Q8" s="28" t="s">
        <v>659</v>
      </c>
    </row>
    <row r="9" spans="1:17">
      <c r="A9" s="14">
        <v>5</v>
      </c>
      <c r="B9" s="15" t="s">
        <v>19</v>
      </c>
      <c r="C9" s="16">
        <f>'Медикаменты Октябрь'!L9</f>
        <v>11</v>
      </c>
      <c r="D9" s="17"/>
      <c r="E9" s="14"/>
      <c r="F9" s="18">
        <f>3</f>
        <v>3</v>
      </c>
      <c r="G9" s="19"/>
      <c r="H9" s="20"/>
      <c r="I9" s="21"/>
      <c r="J9" s="14"/>
      <c r="K9" s="14">
        <f t="shared" si="0"/>
        <v>3</v>
      </c>
      <c r="L9" s="16">
        <f t="shared" si="1"/>
        <v>8</v>
      </c>
      <c r="M9" s="22">
        <v>44593</v>
      </c>
      <c r="N9" s="44" t="s">
        <v>45</v>
      </c>
      <c r="O9" s="23" t="s">
        <v>16</v>
      </c>
      <c r="P9" s="24" t="s">
        <v>17</v>
      </c>
      <c r="Q9" s="28" t="s">
        <v>20</v>
      </c>
    </row>
    <row r="10" spans="1:17">
      <c r="A10" s="14">
        <v>6</v>
      </c>
      <c r="B10" s="15" t="s">
        <v>19</v>
      </c>
      <c r="C10" s="16">
        <f>'Медикаменты Октябрь'!L10</f>
        <v>50</v>
      </c>
      <c r="D10" s="17"/>
      <c r="E10" s="14"/>
      <c r="F10" s="18"/>
      <c r="G10" s="19"/>
      <c r="H10" s="20"/>
      <c r="I10" s="21"/>
      <c r="J10" s="14"/>
      <c r="K10" s="14">
        <f t="shared" si="0"/>
        <v>0</v>
      </c>
      <c r="L10" s="16">
        <f t="shared" si="1"/>
        <v>50</v>
      </c>
      <c r="M10" s="22">
        <v>45231</v>
      </c>
      <c r="N10" s="44" t="s">
        <v>551</v>
      </c>
      <c r="O10" s="23" t="s">
        <v>16</v>
      </c>
      <c r="P10" s="24" t="s">
        <v>17</v>
      </c>
      <c r="Q10" s="28" t="s">
        <v>20</v>
      </c>
    </row>
    <row r="11" spans="1:17">
      <c r="A11" s="14">
        <v>7</v>
      </c>
      <c r="B11" s="15" t="s">
        <v>21</v>
      </c>
      <c r="C11" s="16">
        <f>'Медикаменты Октябрь'!L11</f>
        <v>61</v>
      </c>
      <c r="D11" s="17"/>
      <c r="E11" s="14"/>
      <c r="F11" s="18">
        <f>10+10</f>
        <v>20</v>
      </c>
      <c r="G11" s="19"/>
      <c r="H11" s="20">
        <f>20</f>
        <v>20</v>
      </c>
      <c r="I11" s="21"/>
      <c r="J11" s="14"/>
      <c r="K11" s="14">
        <f t="shared" si="0"/>
        <v>40</v>
      </c>
      <c r="L11" s="16">
        <f t="shared" si="1"/>
        <v>21</v>
      </c>
      <c r="M11" s="22">
        <v>45566</v>
      </c>
      <c r="N11" s="44" t="s">
        <v>45</v>
      </c>
      <c r="O11" s="23" t="s">
        <v>16</v>
      </c>
      <c r="P11" s="24" t="s">
        <v>17</v>
      </c>
      <c r="Q11" s="28" t="s">
        <v>22</v>
      </c>
    </row>
    <row r="12" spans="1:17">
      <c r="A12" s="14">
        <v>8</v>
      </c>
      <c r="B12" s="15" t="s">
        <v>590</v>
      </c>
      <c r="C12" s="16">
        <f>'Медикаменты Октябрь'!L12</f>
        <v>48</v>
      </c>
      <c r="D12" s="17"/>
      <c r="E12" s="14"/>
      <c r="F12" s="18">
        <f>10</f>
        <v>10</v>
      </c>
      <c r="G12" s="19"/>
      <c r="H12" s="20"/>
      <c r="I12" s="21"/>
      <c r="J12" s="14"/>
      <c r="K12" s="14">
        <f t="shared" si="0"/>
        <v>10</v>
      </c>
      <c r="L12" s="16">
        <f t="shared" si="1"/>
        <v>38</v>
      </c>
      <c r="M12" s="22">
        <v>45047</v>
      </c>
      <c r="N12" s="44" t="s">
        <v>551</v>
      </c>
      <c r="O12" s="23" t="s">
        <v>16</v>
      </c>
      <c r="P12" s="24" t="s">
        <v>17</v>
      </c>
      <c r="Q12" s="28" t="s">
        <v>591</v>
      </c>
    </row>
    <row r="13" spans="1:17">
      <c r="A13" s="14">
        <v>9</v>
      </c>
      <c r="B13" s="15" t="s">
        <v>24</v>
      </c>
      <c r="C13" s="16">
        <f>'Медикаменты Октябрь'!L13</f>
        <v>0</v>
      </c>
      <c r="D13" s="17"/>
      <c r="E13" s="14"/>
      <c r="F13" s="18"/>
      <c r="G13" s="19"/>
      <c r="H13" s="20"/>
      <c r="I13" s="21"/>
      <c r="J13" s="14"/>
      <c r="K13" s="14">
        <f t="shared" si="0"/>
        <v>0</v>
      </c>
      <c r="L13" s="16">
        <f t="shared" si="1"/>
        <v>0</v>
      </c>
      <c r="M13" s="22">
        <v>44866</v>
      </c>
      <c r="N13" s="44"/>
      <c r="O13" s="23" t="s">
        <v>16</v>
      </c>
      <c r="P13" s="24" t="s">
        <v>17</v>
      </c>
      <c r="Q13" s="28" t="s">
        <v>25</v>
      </c>
    </row>
    <row r="14" spans="1:17">
      <c r="A14" s="14">
        <v>10</v>
      </c>
      <c r="B14" s="15" t="s">
        <v>24</v>
      </c>
      <c r="C14" s="16">
        <f>'Медикаменты Октябрь'!L14</f>
        <v>0</v>
      </c>
      <c r="D14" s="17"/>
      <c r="E14" s="14"/>
      <c r="F14" s="18"/>
      <c r="G14" s="19"/>
      <c r="H14" s="20"/>
      <c r="I14" s="21"/>
      <c r="J14" s="14"/>
      <c r="K14" s="14">
        <f t="shared" si="0"/>
        <v>0</v>
      </c>
      <c r="L14" s="16">
        <f t="shared" si="1"/>
        <v>0</v>
      </c>
      <c r="M14" s="22"/>
      <c r="N14" s="44"/>
      <c r="O14" s="23" t="s">
        <v>26</v>
      </c>
      <c r="P14" s="24"/>
      <c r="Q14" s="45"/>
    </row>
    <row r="15" spans="1:17">
      <c r="A15" s="14">
        <v>11</v>
      </c>
      <c r="B15" s="15" t="s">
        <v>27</v>
      </c>
      <c r="C15" s="16">
        <f>'Медикаменты Октябрь'!L15</f>
        <v>0</v>
      </c>
      <c r="D15" s="17"/>
      <c r="E15" s="14"/>
      <c r="F15" s="18"/>
      <c r="G15" s="19"/>
      <c r="H15" s="20"/>
      <c r="I15" s="21"/>
      <c r="J15" s="14"/>
      <c r="K15" s="14">
        <f t="shared" si="0"/>
        <v>0</v>
      </c>
      <c r="L15" s="16">
        <f t="shared" si="1"/>
        <v>0</v>
      </c>
      <c r="M15" s="22">
        <v>44805</v>
      </c>
      <c r="N15" s="44" t="s">
        <v>45</v>
      </c>
      <c r="O15" s="23" t="s">
        <v>16</v>
      </c>
      <c r="P15" s="24" t="s">
        <v>17</v>
      </c>
      <c r="Q15" s="28" t="s">
        <v>28</v>
      </c>
    </row>
    <row r="16" spans="1:17">
      <c r="A16" s="14">
        <v>12</v>
      </c>
      <c r="B16" s="15" t="s">
        <v>27</v>
      </c>
      <c r="C16" s="16">
        <f>'Медикаменты Октябрь'!L16</f>
        <v>0</v>
      </c>
      <c r="D16" s="17"/>
      <c r="E16" s="14"/>
      <c r="F16" s="18"/>
      <c r="G16" s="19"/>
      <c r="H16" s="20"/>
      <c r="I16" s="21"/>
      <c r="J16" s="14"/>
      <c r="K16" s="14">
        <f t="shared" si="0"/>
        <v>0</v>
      </c>
      <c r="L16" s="16">
        <f t="shared" si="1"/>
        <v>0</v>
      </c>
      <c r="M16" s="22"/>
      <c r="N16" s="44"/>
      <c r="O16" s="23" t="s">
        <v>26</v>
      </c>
      <c r="P16" s="24"/>
      <c r="Q16" s="45"/>
    </row>
    <row r="17" spans="1:17">
      <c r="A17" s="14">
        <v>13</v>
      </c>
      <c r="B17" s="15" t="s">
        <v>29</v>
      </c>
      <c r="C17" s="16">
        <f>'Медикаменты Октябрь'!L17</f>
        <v>17</v>
      </c>
      <c r="D17" s="17"/>
      <c r="E17" s="14"/>
      <c r="F17" s="18"/>
      <c r="G17" s="19"/>
      <c r="H17" s="20"/>
      <c r="I17" s="21"/>
      <c r="J17" s="14"/>
      <c r="K17" s="14">
        <f t="shared" si="0"/>
        <v>0</v>
      </c>
      <c r="L17" s="16">
        <f t="shared" si="1"/>
        <v>17</v>
      </c>
      <c r="M17" s="22">
        <v>44835</v>
      </c>
      <c r="N17" s="44" t="s">
        <v>45</v>
      </c>
      <c r="O17" s="23" t="s">
        <v>16</v>
      </c>
      <c r="P17" s="24" t="s">
        <v>17</v>
      </c>
      <c r="Q17" s="28" t="s">
        <v>30</v>
      </c>
    </row>
    <row r="18" spans="1:17">
      <c r="A18" s="14">
        <v>14</v>
      </c>
      <c r="B18" s="15" t="s">
        <v>31</v>
      </c>
      <c r="C18" s="16">
        <f>'Медикаменты Октябрь'!L18</f>
        <v>17</v>
      </c>
      <c r="D18" s="26"/>
      <c r="E18" s="14"/>
      <c r="F18" s="18"/>
      <c r="G18" s="19"/>
      <c r="H18" s="20"/>
      <c r="I18" s="21"/>
      <c r="J18" s="14"/>
      <c r="K18" s="14">
        <f t="shared" si="0"/>
        <v>0</v>
      </c>
      <c r="L18" s="16">
        <f t="shared" si="1"/>
        <v>17</v>
      </c>
      <c r="M18" s="22">
        <v>44621</v>
      </c>
      <c r="N18" s="44" t="s">
        <v>45</v>
      </c>
      <c r="O18" s="23" t="s">
        <v>16</v>
      </c>
      <c r="P18" s="24" t="s">
        <v>17</v>
      </c>
      <c r="Q18" s="28" t="s">
        <v>32</v>
      </c>
    </row>
    <row r="19" spans="1:17">
      <c r="A19" s="14">
        <v>15</v>
      </c>
      <c r="B19" s="15" t="s">
        <v>35</v>
      </c>
      <c r="C19" s="16">
        <f>'Медикаменты Октябрь'!L19</f>
        <v>11</v>
      </c>
      <c r="D19" s="17"/>
      <c r="E19" s="14"/>
      <c r="F19" s="18">
        <f>5+6</f>
        <v>11</v>
      </c>
      <c r="G19" s="19"/>
      <c r="H19" s="20"/>
      <c r="I19" s="21"/>
      <c r="J19" s="14"/>
      <c r="K19" s="14">
        <f t="shared" si="0"/>
        <v>11</v>
      </c>
      <c r="L19" s="16">
        <f t="shared" si="1"/>
        <v>0</v>
      </c>
      <c r="M19" s="22">
        <v>44621</v>
      </c>
      <c r="N19" s="44" t="s">
        <v>45</v>
      </c>
      <c r="O19" s="23" t="s">
        <v>16</v>
      </c>
      <c r="P19" s="24" t="s">
        <v>17</v>
      </c>
      <c r="Q19" s="28" t="s">
        <v>36</v>
      </c>
    </row>
    <row r="20" spans="1:17">
      <c r="A20" s="14">
        <v>16</v>
      </c>
      <c r="B20" s="15" t="s">
        <v>37</v>
      </c>
      <c r="C20" s="16">
        <f>'Медикаменты Октябрь'!L20</f>
        <v>95</v>
      </c>
      <c r="D20" s="17"/>
      <c r="E20" s="14"/>
      <c r="F20" s="18">
        <f>5</f>
        <v>5</v>
      </c>
      <c r="G20" s="19"/>
      <c r="H20" s="20"/>
      <c r="I20" s="21"/>
      <c r="J20" s="14"/>
      <c r="K20" s="14">
        <f t="shared" si="0"/>
        <v>5</v>
      </c>
      <c r="L20" s="16">
        <f t="shared" si="1"/>
        <v>90</v>
      </c>
      <c r="M20" s="22">
        <v>44621</v>
      </c>
      <c r="N20" s="44" t="s">
        <v>45</v>
      </c>
      <c r="O20" s="23" t="s">
        <v>16</v>
      </c>
      <c r="P20" s="24" t="s">
        <v>17</v>
      </c>
      <c r="Q20" s="28" t="s">
        <v>38</v>
      </c>
    </row>
    <row r="21" spans="1:17">
      <c r="A21" s="14">
        <v>17</v>
      </c>
      <c r="B21" s="15" t="s">
        <v>39</v>
      </c>
      <c r="C21" s="16">
        <f>'Медикаменты Октябрь'!L21</f>
        <v>0</v>
      </c>
      <c r="D21" s="17"/>
      <c r="E21" s="14"/>
      <c r="F21" s="18"/>
      <c r="G21" s="19"/>
      <c r="H21" s="20"/>
      <c r="I21" s="21"/>
      <c r="J21" s="14"/>
      <c r="K21" s="14">
        <f t="shared" si="0"/>
        <v>0</v>
      </c>
      <c r="L21" s="16">
        <f t="shared" si="1"/>
        <v>0</v>
      </c>
      <c r="M21" s="22">
        <v>44409</v>
      </c>
      <c r="N21" s="44" t="s">
        <v>45</v>
      </c>
      <c r="O21" s="23" t="s">
        <v>16</v>
      </c>
      <c r="P21" s="24" t="s">
        <v>17</v>
      </c>
      <c r="Q21" s="28" t="s">
        <v>40</v>
      </c>
    </row>
    <row r="22" spans="1:17">
      <c r="A22" s="14">
        <v>18</v>
      </c>
      <c r="B22" s="15" t="s">
        <v>618</v>
      </c>
      <c r="C22" s="16">
        <f>'Медикаменты Октябрь'!L22</f>
        <v>0</v>
      </c>
      <c r="D22" s="17"/>
      <c r="E22" s="14"/>
      <c r="F22" s="18"/>
      <c r="G22" s="19"/>
      <c r="H22" s="20"/>
      <c r="I22" s="21"/>
      <c r="J22" s="14"/>
      <c r="K22" s="14">
        <f t="shared" si="0"/>
        <v>0</v>
      </c>
      <c r="L22" s="16">
        <f t="shared" si="1"/>
        <v>0</v>
      </c>
      <c r="M22" s="22">
        <v>44743</v>
      </c>
      <c r="N22" s="44" t="s">
        <v>551</v>
      </c>
      <c r="O22" s="23" t="s">
        <v>16</v>
      </c>
      <c r="P22" s="24" t="s">
        <v>17</v>
      </c>
      <c r="Q22" s="28" t="s">
        <v>42</v>
      </c>
    </row>
    <row r="23" spans="1:17">
      <c r="A23" s="14">
        <v>19</v>
      </c>
      <c r="B23" s="15" t="s">
        <v>43</v>
      </c>
      <c r="C23" s="16">
        <f>'Медикаменты Октябрь'!L23</f>
        <v>0</v>
      </c>
      <c r="D23" s="17"/>
      <c r="E23" s="14"/>
      <c r="F23" s="18"/>
      <c r="G23" s="19"/>
      <c r="H23" s="20"/>
      <c r="I23" s="21"/>
      <c r="J23" s="14"/>
      <c r="K23" s="14">
        <f t="shared" si="0"/>
        <v>0</v>
      </c>
      <c r="L23" s="16">
        <f t="shared" si="1"/>
        <v>0</v>
      </c>
      <c r="M23" s="22"/>
      <c r="N23" s="44"/>
      <c r="O23" s="23" t="s">
        <v>16</v>
      </c>
      <c r="P23" s="24"/>
      <c r="Q23" s="45"/>
    </row>
    <row r="24" spans="1:17">
      <c r="A24" s="14">
        <v>20</v>
      </c>
      <c r="B24" s="15" t="s">
        <v>44</v>
      </c>
      <c r="C24" s="16">
        <f>'Медикаменты Октябрь'!L24</f>
        <v>4</v>
      </c>
      <c r="D24" s="17"/>
      <c r="E24" s="14"/>
      <c r="F24" s="18"/>
      <c r="G24" s="19"/>
      <c r="H24" s="20"/>
      <c r="I24" s="21"/>
      <c r="J24" s="14"/>
      <c r="K24" s="14">
        <f t="shared" si="0"/>
        <v>0</v>
      </c>
      <c r="L24" s="16">
        <f t="shared" si="1"/>
        <v>4</v>
      </c>
      <c r="M24" s="22">
        <v>44621</v>
      </c>
      <c r="N24" s="44" t="s">
        <v>45</v>
      </c>
      <c r="O24" s="23" t="s">
        <v>16</v>
      </c>
      <c r="P24" s="24" t="s">
        <v>45</v>
      </c>
      <c r="Q24" s="28" t="s">
        <v>46</v>
      </c>
    </row>
    <row r="25" spans="1:17">
      <c r="A25" s="14">
        <v>21</v>
      </c>
      <c r="B25" s="15" t="s">
        <v>44</v>
      </c>
      <c r="C25" s="16">
        <f>'Медикаменты Октябрь'!L25</f>
        <v>0</v>
      </c>
      <c r="D25" s="17"/>
      <c r="E25" s="14"/>
      <c r="F25" s="18"/>
      <c r="G25" s="19"/>
      <c r="H25" s="20"/>
      <c r="I25" s="21"/>
      <c r="J25" s="14"/>
      <c r="K25" s="14">
        <f t="shared" si="0"/>
        <v>0</v>
      </c>
      <c r="L25" s="16">
        <f t="shared" si="1"/>
        <v>0</v>
      </c>
      <c r="M25" s="22">
        <v>44621</v>
      </c>
      <c r="N25" s="44"/>
      <c r="O25" s="23" t="s">
        <v>26</v>
      </c>
      <c r="P25" s="24"/>
      <c r="Q25" s="28" t="s">
        <v>46</v>
      </c>
    </row>
    <row r="26" spans="1:17">
      <c r="A26" s="14">
        <v>22</v>
      </c>
      <c r="B26" s="15" t="s">
        <v>47</v>
      </c>
      <c r="C26" s="16">
        <f>'Медикаменты Октябрь'!L26</f>
        <v>64</v>
      </c>
      <c r="D26" s="17"/>
      <c r="E26" s="14"/>
      <c r="F26" s="18"/>
      <c r="G26" s="19"/>
      <c r="H26" s="20"/>
      <c r="I26" s="21"/>
      <c r="J26" s="14"/>
      <c r="K26" s="14">
        <f t="shared" si="0"/>
        <v>0</v>
      </c>
      <c r="L26" s="16">
        <f t="shared" si="1"/>
        <v>64</v>
      </c>
      <c r="M26" s="22">
        <v>44621</v>
      </c>
      <c r="N26" s="44" t="s">
        <v>45</v>
      </c>
      <c r="O26" s="23" t="s">
        <v>16</v>
      </c>
      <c r="P26" s="24" t="s">
        <v>45</v>
      </c>
      <c r="Q26" s="28" t="s">
        <v>48</v>
      </c>
    </row>
    <row r="27" spans="1:17">
      <c r="A27" s="14">
        <v>23</v>
      </c>
      <c r="B27" s="15" t="s">
        <v>49</v>
      </c>
      <c r="C27" s="16">
        <f>'Медикаменты Октябрь'!L27</f>
        <v>0</v>
      </c>
      <c r="D27" s="17"/>
      <c r="E27" s="14"/>
      <c r="F27" s="18"/>
      <c r="G27" s="19"/>
      <c r="H27" s="20"/>
      <c r="I27" s="21"/>
      <c r="J27" s="14"/>
      <c r="K27" s="14">
        <f t="shared" si="0"/>
        <v>0</v>
      </c>
      <c r="L27" s="16">
        <f t="shared" si="1"/>
        <v>0</v>
      </c>
      <c r="M27" s="22">
        <v>44652</v>
      </c>
      <c r="N27" s="44"/>
      <c r="O27" s="23" t="s">
        <v>16</v>
      </c>
      <c r="P27" s="24"/>
      <c r="Q27" s="28" t="s">
        <v>50</v>
      </c>
    </row>
    <row r="28" spans="1:17">
      <c r="A28" s="14">
        <v>24</v>
      </c>
      <c r="B28" s="15" t="s">
        <v>51</v>
      </c>
      <c r="C28" s="16">
        <f>'Медикаменты Октябрь'!L28</f>
        <v>37</v>
      </c>
      <c r="D28" s="17"/>
      <c r="E28" s="14"/>
      <c r="F28" s="18">
        <f>2</f>
        <v>2</v>
      </c>
      <c r="G28" s="19"/>
      <c r="H28" s="20"/>
      <c r="I28" s="21"/>
      <c r="J28" s="14"/>
      <c r="K28" s="14">
        <f t="shared" si="0"/>
        <v>2</v>
      </c>
      <c r="L28" s="16">
        <f t="shared" si="1"/>
        <v>35</v>
      </c>
      <c r="M28" s="22">
        <v>45641</v>
      </c>
      <c r="N28" s="44" t="s">
        <v>551</v>
      </c>
      <c r="O28" s="23" t="s">
        <v>16</v>
      </c>
      <c r="P28" s="24" t="s">
        <v>17</v>
      </c>
      <c r="Q28" s="28" t="s">
        <v>52</v>
      </c>
    </row>
    <row r="29" spans="1:17">
      <c r="A29" s="14">
        <v>25</v>
      </c>
      <c r="B29" s="15" t="s">
        <v>54</v>
      </c>
      <c r="C29" s="16">
        <f>'Медикаменты Октябрь'!L29</f>
        <v>0</v>
      </c>
      <c r="D29" s="17"/>
      <c r="E29" s="14"/>
      <c r="F29" s="18"/>
      <c r="G29" s="19"/>
      <c r="H29" s="20"/>
      <c r="I29" s="21"/>
      <c r="J29" s="14"/>
      <c r="K29" s="14">
        <f t="shared" si="0"/>
        <v>0</v>
      </c>
      <c r="L29" s="16">
        <f t="shared" si="1"/>
        <v>0</v>
      </c>
      <c r="M29" s="22"/>
      <c r="N29" s="44"/>
      <c r="O29" s="23" t="s">
        <v>16</v>
      </c>
      <c r="P29" s="24"/>
      <c r="Q29" s="45"/>
    </row>
    <row r="30" spans="1:17">
      <c r="A30" s="14">
        <v>26</v>
      </c>
      <c r="B30" s="15" t="s">
        <v>55</v>
      </c>
      <c r="C30" s="16">
        <f>'Медикаменты Октябрь'!L30</f>
        <v>0</v>
      </c>
      <c r="D30" s="17"/>
      <c r="E30" s="14"/>
      <c r="F30" s="18"/>
      <c r="G30" s="19"/>
      <c r="H30" s="20"/>
      <c r="I30" s="21"/>
      <c r="J30" s="14"/>
      <c r="K30" s="14">
        <f t="shared" si="0"/>
        <v>0</v>
      </c>
      <c r="L30" s="16">
        <f t="shared" si="1"/>
        <v>0</v>
      </c>
      <c r="M30" s="22"/>
      <c r="N30" s="44"/>
      <c r="O30" s="23" t="s">
        <v>16</v>
      </c>
      <c r="P30" s="24"/>
      <c r="Q30" s="45"/>
    </row>
    <row r="31" spans="1:17">
      <c r="A31" s="14">
        <v>27</v>
      </c>
      <c r="B31" s="15" t="s">
        <v>56</v>
      </c>
      <c r="C31" s="16">
        <f>'Медикаменты Октябрь'!L31</f>
        <v>0</v>
      </c>
      <c r="D31" s="17"/>
      <c r="E31" s="14"/>
      <c r="F31" s="18"/>
      <c r="G31" s="19"/>
      <c r="H31" s="20"/>
      <c r="I31" s="21"/>
      <c r="J31" s="14"/>
      <c r="K31" s="14">
        <f t="shared" si="0"/>
        <v>0</v>
      </c>
      <c r="L31" s="16">
        <f t="shared" si="1"/>
        <v>0</v>
      </c>
      <c r="M31" s="22">
        <v>44743</v>
      </c>
      <c r="N31" s="44"/>
      <c r="O31" s="23" t="s">
        <v>16</v>
      </c>
      <c r="P31" s="24"/>
      <c r="Q31" s="45"/>
    </row>
    <row r="32" spans="1:17">
      <c r="A32" s="14">
        <v>28</v>
      </c>
      <c r="B32" s="15" t="s">
        <v>57</v>
      </c>
      <c r="C32" s="16">
        <f>'Медикаменты Октябрь'!L32</f>
        <v>0</v>
      </c>
      <c r="D32" s="17"/>
      <c r="E32" s="14"/>
      <c r="F32" s="18"/>
      <c r="G32" s="19"/>
      <c r="H32" s="20"/>
      <c r="I32" s="21"/>
      <c r="J32" s="14"/>
      <c r="K32" s="14">
        <f t="shared" si="0"/>
        <v>0</v>
      </c>
      <c r="L32" s="16">
        <f t="shared" si="1"/>
        <v>0</v>
      </c>
      <c r="M32" s="22">
        <v>44958</v>
      </c>
      <c r="N32" s="44"/>
      <c r="O32" s="23" t="s">
        <v>16</v>
      </c>
      <c r="P32" s="24"/>
      <c r="Q32" s="28" t="s">
        <v>58</v>
      </c>
    </row>
    <row r="33" spans="1:17" ht="25.5">
      <c r="A33" s="14">
        <v>29</v>
      </c>
      <c r="B33" s="15" t="s">
        <v>59</v>
      </c>
      <c r="C33" s="16">
        <f>'Медикаменты Октябрь'!L33</f>
        <v>0</v>
      </c>
      <c r="D33" s="17"/>
      <c r="E33" s="14"/>
      <c r="F33" s="18"/>
      <c r="G33" s="19"/>
      <c r="H33" s="20"/>
      <c r="I33" s="21"/>
      <c r="J33" s="14"/>
      <c r="K33" s="14">
        <f t="shared" si="0"/>
        <v>0</v>
      </c>
      <c r="L33" s="16">
        <f t="shared" si="1"/>
        <v>0</v>
      </c>
      <c r="M33" s="22">
        <v>44957</v>
      </c>
      <c r="N33" s="44" t="s">
        <v>551</v>
      </c>
      <c r="O33" s="23" t="s">
        <v>16</v>
      </c>
      <c r="P33" s="24" t="s">
        <v>17</v>
      </c>
      <c r="Q33" s="28" t="s">
        <v>60</v>
      </c>
    </row>
    <row r="34" spans="1:17" ht="25.5">
      <c r="A34" s="14">
        <v>30</v>
      </c>
      <c r="B34" s="15" t="s">
        <v>59</v>
      </c>
      <c r="C34" s="16">
        <f>'Медикаменты Октябрь'!L34</f>
        <v>0</v>
      </c>
      <c r="D34" s="17"/>
      <c r="E34" s="14"/>
      <c r="F34" s="18"/>
      <c r="G34" s="19"/>
      <c r="H34" s="20"/>
      <c r="I34" s="21"/>
      <c r="J34" s="14"/>
      <c r="K34" s="14">
        <f t="shared" si="0"/>
        <v>0</v>
      </c>
      <c r="L34" s="16">
        <f t="shared" si="1"/>
        <v>0</v>
      </c>
      <c r="M34" s="22">
        <v>44957</v>
      </c>
      <c r="N34" s="44" t="s">
        <v>551</v>
      </c>
      <c r="O34" s="23" t="s">
        <v>26</v>
      </c>
      <c r="P34" s="24" t="s">
        <v>17</v>
      </c>
      <c r="Q34" s="28" t="s">
        <v>60</v>
      </c>
    </row>
    <row r="35" spans="1:17">
      <c r="A35" s="14">
        <v>31</v>
      </c>
      <c r="B35" s="15" t="s">
        <v>61</v>
      </c>
      <c r="C35" s="16">
        <f>'Медикаменты Октябрь'!L35</f>
        <v>0</v>
      </c>
      <c r="D35" s="17"/>
      <c r="E35" s="14"/>
      <c r="F35" s="18"/>
      <c r="G35" s="19"/>
      <c r="H35" s="20"/>
      <c r="I35" s="21"/>
      <c r="J35" s="14"/>
      <c r="K35" s="14">
        <f t="shared" si="0"/>
        <v>0</v>
      </c>
      <c r="L35" s="16">
        <f t="shared" si="1"/>
        <v>0</v>
      </c>
      <c r="M35" s="22">
        <v>44713</v>
      </c>
      <c r="N35" s="44"/>
      <c r="O35" s="23" t="s">
        <v>16</v>
      </c>
      <c r="P35" s="24"/>
      <c r="Q35" s="28" t="s">
        <v>62</v>
      </c>
    </row>
    <row r="36" spans="1:17">
      <c r="A36" s="14">
        <v>32</v>
      </c>
      <c r="B36" s="15" t="s">
        <v>63</v>
      </c>
      <c r="C36" s="16">
        <f>'Медикаменты Октябрь'!L36</f>
        <v>0</v>
      </c>
      <c r="D36" s="17"/>
      <c r="E36" s="14"/>
      <c r="F36" s="18"/>
      <c r="G36" s="19"/>
      <c r="H36" s="20"/>
      <c r="I36" s="21"/>
      <c r="J36" s="14"/>
      <c r="K36" s="14">
        <f t="shared" si="0"/>
        <v>0</v>
      </c>
      <c r="L36" s="16">
        <f t="shared" si="1"/>
        <v>0</v>
      </c>
      <c r="M36" s="22"/>
      <c r="N36" s="44"/>
      <c r="O36" s="23" t="s">
        <v>16</v>
      </c>
      <c r="P36" s="24"/>
      <c r="Q36" s="45"/>
    </row>
    <row r="37" spans="1:17" ht="26.25">
      <c r="A37" s="14">
        <v>33</v>
      </c>
      <c r="B37" s="15" t="s">
        <v>592</v>
      </c>
      <c r="C37" s="16">
        <f>'Медикаменты Октябрь'!L37</f>
        <v>20</v>
      </c>
      <c r="D37" s="17"/>
      <c r="E37" s="14"/>
      <c r="F37" s="18"/>
      <c r="G37" s="19"/>
      <c r="H37" s="20"/>
      <c r="I37" s="21"/>
      <c r="J37" s="14"/>
      <c r="K37" s="14">
        <f t="shared" si="0"/>
        <v>0</v>
      </c>
      <c r="L37" s="16">
        <f t="shared" si="1"/>
        <v>20</v>
      </c>
      <c r="M37" s="22">
        <v>44958</v>
      </c>
      <c r="N37" s="44" t="s">
        <v>551</v>
      </c>
      <c r="O37" s="23" t="s">
        <v>16</v>
      </c>
      <c r="P37" s="24" t="s">
        <v>17</v>
      </c>
      <c r="Q37" s="28" t="s">
        <v>593</v>
      </c>
    </row>
    <row r="38" spans="1:17">
      <c r="A38" s="14">
        <v>34</v>
      </c>
      <c r="B38" s="15" t="s">
        <v>64</v>
      </c>
      <c r="C38" s="16">
        <f>'Медикаменты Октябрь'!L38</f>
        <v>0</v>
      </c>
      <c r="D38" s="17"/>
      <c r="E38" s="14"/>
      <c r="F38" s="18"/>
      <c r="G38" s="19"/>
      <c r="H38" s="20"/>
      <c r="I38" s="21"/>
      <c r="J38" s="14"/>
      <c r="K38" s="14">
        <f t="shared" si="0"/>
        <v>0</v>
      </c>
      <c r="L38" s="16">
        <f t="shared" si="1"/>
        <v>0</v>
      </c>
      <c r="M38" s="22"/>
      <c r="N38" s="44"/>
      <c r="O38" s="23" t="s">
        <v>16</v>
      </c>
      <c r="P38" s="24"/>
      <c r="Q38" s="45"/>
    </row>
    <row r="39" spans="1:17">
      <c r="A39" s="14">
        <v>35</v>
      </c>
      <c r="B39" s="15" t="s">
        <v>65</v>
      </c>
      <c r="C39" s="16">
        <f>'Медикаменты Октябрь'!L39</f>
        <v>55</v>
      </c>
      <c r="D39" s="17"/>
      <c r="E39" s="14"/>
      <c r="F39" s="18"/>
      <c r="G39" s="19"/>
      <c r="H39" s="20"/>
      <c r="I39" s="21"/>
      <c r="J39" s="14"/>
      <c r="K39" s="14">
        <f t="shared" si="0"/>
        <v>0</v>
      </c>
      <c r="L39" s="16">
        <f t="shared" si="1"/>
        <v>55</v>
      </c>
      <c r="M39" s="22">
        <v>45261</v>
      </c>
      <c r="N39" s="44" t="s">
        <v>45</v>
      </c>
      <c r="O39" s="23" t="s">
        <v>16</v>
      </c>
      <c r="P39" s="24" t="s">
        <v>17</v>
      </c>
      <c r="Q39" s="28" t="s">
        <v>66</v>
      </c>
    </row>
    <row r="40" spans="1:17">
      <c r="A40" s="14">
        <v>36</v>
      </c>
      <c r="B40" s="15" t="s">
        <v>67</v>
      </c>
      <c r="C40" s="16">
        <f>'Медикаменты Октябрь'!L40</f>
        <v>37</v>
      </c>
      <c r="D40" s="17"/>
      <c r="E40" s="14"/>
      <c r="F40" s="18"/>
      <c r="G40" s="19"/>
      <c r="H40" s="20"/>
      <c r="I40" s="21"/>
      <c r="J40" s="14"/>
      <c r="K40" s="14">
        <f t="shared" si="0"/>
        <v>0</v>
      </c>
      <c r="L40" s="16">
        <f t="shared" si="1"/>
        <v>37</v>
      </c>
      <c r="M40" s="22">
        <v>45200</v>
      </c>
      <c r="N40" s="44" t="s">
        <v>551</v>
      </c>
      <c r="O40" s="23" t="s">
        <v>16</v>
      </c>
      <c r="P40" s="24" t="s">
        <v>17</v>
      </c>
      <c r="Q40" s="46" t="s">
        <v>68</v>
      </c>
    </row>
    <row r="41" spans="1:17">
      <c r="A41" s="14">
        <v>37</v>
      </c>
      <c r="B41" s="15" t="s">
        <v>69</v>
      </c>
      <c r="C41" s="16">
        <f>'Медикаменты Октябрь'!L41</f>
        <v>30</v>
      </c>
      <c r="D41" s="17"/>
      <c r="E41" s="14"/>
      <c r="F41" s="18"/>
      <c r="G41" s="19"/>
      <c r="H41" s="20"/>
      <c r="I41" s="21"/>
      <c r="J41" s="14"/>
      <c r="K41" s="14">
        <f t="shared" si="0"/>
        <v>0</v>
      </c>
      <c r="L41" s="16">
        <f t="shared" si="1"/>
        <v>30</v>
      </c>
      <c r="M41" s="22">
        <v>45778</v>
      </c>
      <c r="N41" s="44" t="s">
        <v>551</v>
      </c>
      <c r="O41" s="23" t="s">
        <v>16</v>
      </c>
      <c r="P41" s="24" t="s">
        <v>17</v>
      </c>
      <c r="Q41" s="28" t="s">
        <v>70</v>
      </c>
    </row>
    <row r="42" spans="1:17" ht="25.5">
      <c r="A42" s="14">
        <v>38</v>
      </c>
      <c r="B42" s="15" t="s">
        <v>594</v>
      </c>
      <c r="C42" s="16">
        <f>'Медикаменты Октябрь'!L42</f>
        <v>130</v>
      </c>
      <c r="D42" s="17"/>
      <c r="E42" s="14"/>
      <c r="F42" s="18">
        <f>5+5</f>
        <v>10</v>
      </c>
      <c r="G42" s="19"/>
      <c r="H42" s="20"/>
      <c r="I42" s="21"/>
      <c r="J42" s="14"/>
      <c r="K42" s="14">
        <f t="shared" si="0"/>
        <v>10</v>
      </c>
      <c r="L42" s="16">
        <f t="shared" si="1"/>
        <v>120</v>
      </c>
      <c r="M42" s="22">
        <v>44986</v>
      </c>
      <c r="N42" s="44" t="s">
        <v>551</v>
      </c>
      <c r="O42" s="23" t="s">
        <v>16</v>
      </c>
      <c r="P42" s="24" t="s">
        <v>17</v>
      </c>
      <c r="Q42" s="28" t="s">
        <v>595</v>
      </c>
    </row>
    <row r="43" spans="1:17">
      <c r="A43" s="14">
        <v>39</v>
      </c>
      <c r="B43" s="15" t="s">
        <v>71</v>
      </c>
      <c r="C43" s="16">
        <f>'Медикаменты Октябрь'!L43</f>
        <v>0</v>
      </c>
      <c r="D43" s="17"/>
      <c r="E43" s="14"/>
      <c r="F43" s="18"/>
      <c r="G43" s="19"/>
      <c r="H43" s="20"/>
      <c r="I43" s="21"/>
      <c r="J43" s="14"/>
      <c r="K43" s="14">
        <f t="shared" si="0"/>
        <v>0</v>
      </c>
      <c r="L43" s="16">
        <f t="shared" si="1"/>
        <v>0</v>
      </c>
      <c r="M43" s="22"/>
      <c r="N43" s="44"/>
      <c r="O43" s="23" t="s">
        <v>16</v>
      </c>
      <c r="P43" s="24"/>
      <c r="Q43" s="45"/>
    </row>
    <row r="44" spans="1:17">
      <c r="A44" s="14">
        <v>40</v>
      </c>
      <c r="B44" s="15" t="s">
        <v>72</v>
      </c>
      <c r="C44" s="16">
        <f>'Медикаменты Октябрь'!L44</f>
        <v>13</v>
      </c>
      <c r="D44" s="17"/>
      <c r="E44" s="14"/>
      <c r="F44" s="18"/>
      <c r="G44" s="19"/>
      <c r="H44" s="20"/>
      <c r="I44" s="21"/>
      <c r="J44" s="14"/>
      <c r="K44" s="14">
        <f t="shared" si="0"/>
        <v>0</v>
      </c>
      <c r="L44" s="16">
        <f t="shared" si="1"/>
        <v>13</v>
      </c>
      <c r="M44" s="22">
        <v>44652</v>
      </c>
      <c r="N44" s="44" t="s">
        <v>45</v>
      </c>
      <c r="O44" s="23" t="s">
        <v>16</v>
      </c>
      <c r="P44" s="24" t="s">
        <v>17</v>
      </c>
      <c r="Q44" s="28" t="s">
        <v>73</v>
      </c>
    </row>
    <row r="45" spans="1:17">
      <c r="A45" s="14">
        <v>41</v>
      </c>
      <c r="B45" s="15" t="s">
        <v>74</v>
      </c>
      <c r="C45" s="16">
        <f>'Медикаменты Октябрь'!L45</f>
        <v>0</v>
      </c>
      <c r="D45" s="17"/>
      <c r="E45" s="14"/>
      <c r="F45" s="18"/>
      <c r="G45" s="19"/>
      <c r="H45" s="20"/>
      <c r="I45" s="21"/>
      <c r="J45" s="14"/>
      <c r="K45" s="14">
        <f t="shared" si="0"/>
        <v>0</v>
      </c>
      <c r="L45" s="16">
        <f t="shared" si="1"/>
        <v>0</v>
      </c>
      <c r="M45" s="22">
        <v>45108</v>
      </c>
      <c r="N45" s="44" t="s">
        <v>45</v>
      </c>
      <c r="O45" s="23" t="s">
        <v>16</v>
      </c>
      <c r="P45" s="24" t="s">
        <v>17</v>
      </c>
      <c r="Q45" s="28" t="s">
        <v>75</v>
      </c>
    </row>
    <row r="46" spans="1:17">
      <c r="A46" s="14">
        <v>42</v>
      </c>
      <c r="B46" s="15" t="s">
        <v>76</v>
      </c>
      <c r="C46" s="16">
        <f>'Медикаменты Октябрь'!L46</f>
        <v>0</v>
      </c>
      <c r="D46" s="17"/>
      <c r="E46" s="14"/>
      <c r="F46" s="18"/>
      <c r="G46" s="19"/>
      <c r="H46" s="20"/>
      <c r="I46" s="21"/>
      <c r="J46" s="14"/>
      <c r="K46" s="14">
        <f t="shared" si="0"/>
        <v>0</v>
      </c>
      <c r="L46" s="16">
        <f t="shared" si="1"/>
        <v>0</v>
      </c>
      <c r="M46" s="22"/>
      <c r="N46" s="44"/>
      <c r="O46" s="23" t="s">
        <v>16</v>
      </c>
      <c r="P46" s="24"/>
      <c r="Q46" s="45"/>
    </row>
    <row r="47" spans="1:17">
      <c r="A47" s="14">
        <v>43</v>
      </c>
      <c r="B47" s="15" t="s">
        <v>77</v>
      </c>
      <c r="C47" s="16">
        <f>'Медикаменты Октябрь'!L47</f>
        <v>0</v>
      </c>
      <c r="D47" s="17"/>
      <c r="E47" s="14"/>
      <c r="F47" s="18"/>
      <c r="G47" s="19"/>
      <c r="H47" s="20"/>
      <c r="I47" s="21"/>
      <c r="J47" s="14"/>
      <c r="K47" s="14">
        <f t="shared" si="0"/>
        <v>0</v>
      </c>
      <c r="L47" s="16">
        <f t="shared" si="1"/>
        <v>0</v>
      </c>
      <c r="M47" s="22"/>
      <c r="N47" s="44"/>
      <c r="O47" s="23" t="s">
        <v>16</v>
      </c>
      <c r="P47" s="24"/>
      <c r="Q47" s="45"/>
    </row>
    <row r="48" spans="1:17">
      <c r="A48" s="14">
        <v>44</v>
      </c>
      <c r="B48" s="15" t="s">
        <v>619</v>
      </c>
      <c r="C48" s="16">
        <f>'Медикаменты Октябрь'!L48</f>
        <v>10</v>
      </c>
      <c r="D48" s="17"/>
      <c r="E48" s="14"/>
      <c r="F48" s="18">
        <f>6</f>
        <v>6</v>
      </c>
      <c r="G48" s="19"/>
      <c r="H48" s="20"/>
      <c r="I48" s="21"/>
      <c r="J48" s="14"/>
      <c r="K48" s="14">
        <f t="shared" si="0"/>
        <v>6</v>
      </c>
      <c r="L48" s="16">
        <f t="shared" si="1"/>
        <v>4</v>
      </c>
      <c r="M48" s="22">
        <v>45413</v>
      </c>
      <c r="N48" s="44" t="s">
        <v>551</v>
      </c>
      <c r="O48" s="23" t="s">
        <v>16</v>
      </c>
      <c r="P48" s="24" t="s">
        <v>17</v>
      </c>
      <c r="Q48" s="28" t="s">
        <v>79</v>
      </c>
    </row>
    <row r="49" spans="1:17">
      <c r="A49" s="14">
        <v>45</v>
      </c>
      <c r="B49" s="15" t="s">
        <v>80</v>
      </c>
      <c r="C49" s="16">
        <f>'Медикаменты Октябрь'!L49</f>
        <v>0</v>
      </c>
      <c r="D49" s="17"/>
      <c r="E49" s="14"/>
      <c r="F49" s="18"/>
      <c r="G49" s="19"/>
      <c r="H49" s="20"/>
      <c r="I49" s="21"/>
      <c r="J49" s="14"/>
      <c r="K49" s="14">
        <f t="shared" si="0"/>
        <v>0</v>
      </c>
      <c r="L49" s="16">
        <f t="shared" si="1"/>
        <v>0</v>
      </c>
      <c r="M49" s="22">
        <v>44317</v>
      </c>
      <c r="N49" s="44"/>
      <c r="O49" s="23" t="s">
        <v>16</v>
      </c>
      <c r="P49" s="24" t="s">
        <v>17</v>
      </c>
      <c r="Q49" s="28" t="s">
        <v>81</v>
      </c>
    </row>
    <row r="50" spans="1:17">
      <c r="A50" s="14">
        <v>46</v>
      </c>
      <c r="B50" s="15" t="s">
        <v>83</v>
      </c>
      <c r="C50" s="16">
        <f>'Медикаменты Октябрь'!L50</f>
        <v>0</v>
      </c>
      <c r="D50" s="17"/>
      <c r="E50" s="14"/>
      <c r="F50" s="18"/>
      <c r="G50" s="19"/>
      <c r="H50" s="20"/>
      <c r="I50" s="21"/>
      <c r="J50" s="14"/>
      <c r="K50" s="14">
        <f t="shared" si="0"/>
        <v>0</v>
      </c>
      <c r="L50" s="16">
        <f t="shared" si="1"/>
        <v>0</v>
      </c>
      <c r="M50" s="22">
        <v>44317</v>
      </c>
      <c r="N50" s="44" t="s">
        <v>45</v>
      </c>
      <c r="O50" s="23" t="s">
        <v>16</v>
      </c>
      <c r="P50" s="24" t="s">
        <v>17</v>
      </c>
      <c r="Q50" s="28" t="s">
        <v>84</v>
      </c>
    </row>
    <row r="51" spans="1:17">
      <c r="A51" s="14">
        <v>47</v>
      </c>
      <c r="B51" s="15" t="s">
        <v>85</v>
      </c>
      <c r="C51" s="16">
        <f>'Медикаменты Октябрь'!L51</f>
        <v>0</v>
      </c>
      <c r="D51" s="17"/>
      <c r="E51" s="14"/>
      <c r="F51" s="18"/>
      <c r="G51" s="19"/>
      <c r="H51" s="20"/>
      <c r="I51" s="21"/>
      <c r="J51" s="14"/>
      <c r="K51" s="14">
        <f t="shared" si="0"/>
        <v>0</v>
      </c>
      <c r="L51" s="16">
        <f t="shared" si="1"/>
        <v>0</v>
      </c>
      <c r="M51" s="22">
        <v>44409</v>
      </c>
      <c r="N51" s="44" t="s">
        <v>45</v>
      </c>
      <c r="O51" s="23" t="s">
        <v>16</v>
      </c>
      <c r="P51" s="24" t="s">
        <v>17</v>
      </c>
      <c r="Q51" s="28" t="s">
        <v>86</v>
      </c>
    </row>
    <row r="52" spans="1:17">
      <c r="A52" s="14">
        <v>48</v>
      </c>
      <c r="B52" s="15" t="s">
        <v>87</v>
      </c>
      <c r="C52" s="16">
        <f>'Медикаменты Октябрь'!L52</f>
        <v>0</v>
      </c>
      <c r="D52" s="17"/>
      <c r="E52" s="14"/>
      <c r="F52" s="18"/>
      <c r="G52" s="19"/>
      <c r="H52" s="20"/>
      <c r="I52" s="21"/>
      <c r="J52" s="14"/>
      <c r="K52" s="14">
        <f t="shared" si="0"/>
        <v>0</v>
      </c>
      <c r="L52" s="16">
        <f t="shared" si="1"/>
        <v>0</v>
      </c>
      <c r="M52" s="22">
        <v>44136</v>
      </c>
      <c r="N52" s="44"/>
      <c r="O52" s="23" t="s">
        <v>16</v>
      </c>
      <c r="P52" s="24"/>
      <c r="Q52" s="28" t="s">
        <v>88</v>
      </c>
    </row>
    <row r="53" spans="1:17">
      <c r="A53" s="14">
        <v>49</v>
      </c>
      <c r="B53" s="15" t="s">
        <v>620</v>
      </c>
      <c r="C53" s="16">
        <f>'Медикаменты Октябрь'!L53</f>
        <v>30</v>
      </c>
      <c r="D53" s="17"/>
      <c r="E53" s="14"/>
      <c r="F53" s="18">
        <f>6</f>
        <v>6</v>
      </c>
      <c r="G53" s="19"/>
      <c r="H53" s="20">
        <f>2</f>
        <v>2</v>
      </c>
      <c r="I53" s="21"/>
      <c r="J53" s="14"/>
      <c r="K53" s="14">
        <f t="shared" si="0"/>
        <v>8</v>
      </c>
      <c r="L53" s="16">
        <f t="shared" si="1"/>
        <v>22</v>
      </c>
      <c r="M53" s="22">
        <v>44986</v>
      </c>
      <c r="N53" s="44" t="s">
        <v>551</v>
      </c>
      <c r="O53" s="23" t="s">
        <v>16</v>
      </c>
      <c r="P53" s="24" t="s">
        <v>17</v>
      </c>
      <c r="Q53" s="28" t="s">
        <v>621</v>
      </c>
    </row>
    <row r="54" spans="1:17">
      <c r="A54" s="14">
        <v>50</v>
      </c>
      <c r="B54" s="15" t="s">
        <v>622</v>
      </c>
      <c r="C54" s="16">
        <f>'Медикаменты Октябрь'!L54</f>
        <v>45</v>
      </c>
      <c r="D54" s="17"/>
      <c r="E54" s="14"/>
      <c r="F54" s="18">
        <f>3</f>
        <v>3</v>
      </c>
      <c r="G54" s="19"/>
      <c r="H54" s="20"/>
      <c r="I54" s="21"/>
      <c r="J54" s="14"/>
      <c r="K54" s="14">
        <f t="shared" si="0"/>
        <v>3</v>
      </c>
      <c r="L54" s="16">
        <f t="shared" si="1"/>
        <v>42</v>
      </c>
      <c r="M54" s="22">
        <v>45017</v>
      </c>
      <c r="N54" s="44" t="s">
        <v>551</v>
      </c>
      <c r="O54" s="23" t="s">
        <v>16</v>
      </c>
      <c r="P54" s="24" t="s">
        <v>17</v>
      </c>
      <c r="Q54" s="28" t="s">
        <v>623</v>
      </c>
    </row>
    <row r="55" spans="1:17">
      <c r="A55" s="14">
        <v>51</v>
      </c>
      <c r="B55" s="15" t="s">
        <v>91</v>
      </c>
      <c r="C55" s="16">
        <f>'Медикаменты Октябрь'!L55</f>
        <v>0</v>
      </c>
      <c r="D55" s="17"/>
      <c r="E55" s="14"/>
      <c r="F55" s="18"/>
      <c r="G55" s="19"/>
      <c r="H55" s="20"/>
      <c r="I55" s="21"/>
      <c r="J55" s="14"/>
      <c r="K55" s="14">
        <f t="shared" si="0"/>
        <v>0</v>
      </c>
      <c r="L55" s="16">
        <f t="shared" si="1"/>
        <v>0</v>
      </c>
      <c r="M55" s="22">
        <v>44317</v>
      </c>
      <c r="N55" s="44" t="s">
        <v>45</v>
      </c>
      <c r="O55" s="23" t="s">
        <v>16</v>
      </c>
      <c r="P55" s="24" t="s">
        <v>17</v>
      </c>
      <c r="Q55" s="28" t="s">
        <v>92</v>
      </c>
    </row>
    <row r="56" spans="1:17">
      <c r="A56" s="14">
        <v>52</v>
      </c>
      <c r="B56" s="15" t="s">
        <v>596</v>
      </c>
      <c r="C56" s="16">
        <f>'Медикаменты Октябрь'!L56</f>
        <v>35</v>
      </c>
      <c r="D56" s="17"/>
      <c r="E56" s="14"/>
      <c r="F56" s="18"/>
      <c r="G56" s="19"/>
      <c r="H56" s="20"/>
      <c r="I56" s="21"/>
      <c r="J56" s="14"/>
      <c r="K56" s="14">
        <f t="shared" si="0"/>
        <v>0</v>
      </c>
      <c r="L56" s="16">
        <f t="shared" si="1"/>
        <v>35</v>
      </c>
      <c r="M56" s="22">
        <v>45261</v>
      </c>
      <c r="N56" s="44" t="s">
        <v>551</v>
      </c>
      <c r="O56" s="23" t="s">
        <v>16</v>
      </c>
      <c r="P56" s="24" t="s">
        <v>17</v>
      </c>
      <c r="Q56" s="28" t="s">
        <v>597</v>
      </c>
    </row>
    <row r="57" spans="1:17">
      <c r="A57" s="14">
        <v>53</v>
      </c>
      <c r="B57" s="15" t="s">
        <v>93</v>
      </c>
      <c r="C57" s="16">
        <f>'Медикаменты Октябрь'!L57</f>
        <v>0</v>
      </c>
      <c r="D57" s="17"/>
      <c r="E57" s="14"/>
      <c r="F57" s="18"/>
      <c r="G57" s="19"/>
      <c r="H57" s="20"/>
      <c r="I57" s="21"/>
      <c r="J57" s="14"/>
      <c r="K57" s="14">
        <f t="shared" si="0"/>
        <v>0</v>
      </c>
      <c r="L57" s="16">
        <f t="shared" si="1"/>
        <v>0</v>
      </c>
      <c r="M57" s="22">
        <v>44013</v>
      </c>
      <c r="N57" s="44"/>
      <c r="O57" s="23" t="s">
        <v>16</v>
      </c>
      <c r="P57" s="24"/>
      <c r="Q57" s="28" t="s">
        <v>94</v>
      </c>
    </row>
    <row r="58" spans="1:17">
      <c r="A58" s="14">
        <v>54</v>
      </c>
      <c r="B58" s="15" t="s">
        <v>95</v>
      </c>
      <c r="C58" s="16">
        <f>'Медикаменты Октябрь'!L58</f>
        <v>29</v>
      </c>
      <c r="D58" s="17"/>
      <c r="E58" s="14"/>
      <c r="F58" s="18"/>
      <c r="G58" s="19"/>
      <c r="H58" s="20">
        <f>5</f>
        <v>5</v>
      </c>
      <c r="I58" s="21"/>
      <c r="J58" s="14"/>
      <c r="K58" s="14">
        <f t="shared" si="0"/>
        <v>5</v>
      </c>
      <c r="L58" s="16">
        <f t="shared" si="1"/>
        <v>24</v>
      </c>
      <c r="M58" s="22">
        <v>44986</v>
      </c>
      <c r="N58" s="44" t="s">
        <v>45</v>
      </c>
      <c r="O58" s="23" t="s">
        <v>16</v>
      </c>
      <c r="P58" s="24" t="s">
        <v>45</v>
      </c>
      <c r="Q58" s="28" t="s">
        <v>96</v>
      </c>
    </row>
    <row r="59" spans="1:17">
      <c r="A59" s="14">
        <v>55</v>
      </c>
      <c r="B59" s="15" t="s">
        <v>97</v>
      </c>
      <c r="C59" s="16">
        <f>'Медикаменты Октябрь'!L59</f>
        <v>0</v>
      </c>
      <c r="D59" s="17"/>
      <c r="E59" s="14"/>
      <c r="F59" s="18"/>
      <c r="G59" s="19"/>
      <c r="H59" s="20"/>
      <c r="I59" s="21"/>
      <c r="J59" s="14"/>
      <c r="K59" s="14">
        <f t="shared" si="0"/>
        <v>0</v>
      </c>
      <c r="L59" s="16">
        <f t="shared" si="1"/>
        <v>0</v>
      </c>
      <c r="M59" s="22">
        <v>44866</v>
      </c>
      <c r="N59" s="44"/>
      <c r="O59" s="23" t="s">
        <v>16</v>
      </c>
      <c r="P59" s="24"/>
      <c r="Q59" s="28" t="s">
        <v>98</v>
      </c>
    </row>
    <row r="60" spans="1:17">
      <c r="A60" s="14">
        <v>56</v>
      </c>
      <c r="B60" s="15" t="s">
        <v>99</v>
      </c>
      <c r="C60" s="16">
        <f>'Медикаменты Октябрь'!L60</f>
        <v>0</v>
      </c>
      <c r="D60" s="17"/>
      <c r="E60" s="14"/>
      <c r="F60" s="18"/>
      <c r="G60" s="19"/>
      <c r="H60" s="20"/>
      <c r="I60" s="21"/>
      <c r="J60" s="14"/>
      <c r="K60" s="14">
        <f t="shared" si="0"/>
        <v>0</v>
      </c>
      <c r="L60" s="16">
        <f t="shared" si="1"/>
        <v>0</v>
      </c>
      <c r="M60" s="22"/>
      <c r="N60" s="44"/>
      <c r="O60" s="23" t="s">
        <v>16</v>
      </c>
      <c r="P60" s="24"/>
      <c r="Q60" s="45"/>
    </row>
    <row r="61" spans="1:17">
      <c r="A61" s="14">
        <v>57</v>
      </c>
      <c r="B61" s="15" t="s">
        <v>100</v>
      </c>
      <c r="C61" s="16">
        <f>'Медикаменты Октябрь'!L61</f>
        <v>0</v>
      </c>
      <c r="D61" s="17"/>
      <c r="E61" s="14"/>
      <c r="F61" s="18"/>
      <c r="G61" s="19"/>
      <c r="H61" s="20"/>
      <c r="I61" s="21"/>
      <c r="J61" s="14"/>
      <c r="K61" s="14">
        <f t="shared" si="0"/>
        <v>0</v>
      </c>
      <c r="L61" s="16">
        <f t="shared" si="1"/>
        <v>0</v>
      </c>
      <c r="M61" s="22"/>
      <c r="N61" s="44"/>
      <c r="O61" s="23" t="s">
        <v>26</v>
      </c>
      <c r="P61" s="24" t="s">
        <v>17</v>
      </c>
      <c r="Q61" s="28" t="s">
        <v>101</v>
      </c>
    </row>
    <row r="62" spans="1:17">
      <c r="A62" s="14">
        <v>58</v>
      </c>
      <c r="B62" s="15" t="s">
        <v>102</v>
      </c>
      <c r="C62" s="16">
        <f>'Медикаменты Октябрь'!L62</f>
        <v>0</v>
      </c>
      <c r="D62" s="17"/>
      <c r="E62" s="14"/>
      <c r="F62" s="18"/>
      <c r="G62" s="19"/>
      <c r="H62" s="20"/>
      <c r="I62" s="21"/>
      <c r="J62" s="14"/>
      <c r="K62" s="14">
        <f t="shared" si="0"/>
        <v>0</v>
      </c>
      <c r="L62" s="16">
        <f t="shared" si="1"/>
        <v>0</v>
      </c>
      <c r="M62" s="22">
        <v>44866</v>
      </c>
      <c r="N62" s="44" t="s">
        <v>45</v>
      </c>
      <c r="O62" s="23" t="s">
        <v>16</v>
      </c>
      <c r="P62" s="24" t="s">
        <v>45</v>
      </c>
      <c r="Q62" s="28" t="s">
        <v>103</v>
      </c>
    </row>
    <row r="63" spans="1:17">
      <c r="A63" s="14">
        <v>59</v>
      </c>
      <c r="B63" s="15" t="s">
        <v>102</v>
      </c>
      <c r="C63" s="16">
        <f>'Медикаменты Октябрь'!L63</f>
        <v>0</v>
      </c>
      <c r="D63" s="17"/>
      <c r="E63" s="14"/>
      <c r="F63" s="18"/>
      <c r="G63" s="19"/>
      <c r="H63" s="20"/>
      <c r="I63" s="21"/>
      <c r="J63" s="14"/>
      <c r="K63" s="14">
        <f t="shared" si="0"/>
        <v>0</v>
      </c>
      <c r="L63" s="16">
        <f t="shared" si="1"/>
        <v>0</v>
      </c>
      <c r="M63" s="22">
        <v>44866</v>
      </c>
      <c r="N63" s="44"/>
      <c r="O63" s="23" t="s">
        <v>26</v>
      </c>
      <c r="P63" s="24"/>
      <c r="Q63" s="28" t="s">
        <v>103</v>
      </c>
    </row>
    <row r="64" spans="1:17">
      <c r="A64" s="14">
        <v>60</v>
      </c>
      <c r="B64" s="15" t="s">
        <v>104</v>
      </c>
      <c r="C64" s="16">
        <f>'Медикаменты Октябрь'!L64</f>
        <v>0</v>
      </c>
      <c r="D64" s="17"/>
      <c r="E64" s="14"/>
      <c r="F64" s="18"/>
      <c r="G64" s="19"/>
      <c r="H64" s="20"/>
      <c r="I64" s="21"/>
      <c r="J64" s="14"/>
      <c r="K64" s="14">
        <f t="shared" si="0"/>
        <v>0</v>
      </c>
      <c r="L64" s="16">
        <f t="shared" si="1"/>
        <v>0</v>
      </c>
      <c r="M64" s="22"/>
      <c r="N64" s="44"/>
      <c r="O64" s="23" t="s">
        <v>16</v>
      </c>
      <c r="P64" s="24"/>
      <c r="Q64" s="45"/>
    </row>
    <row r="65" spans="1:17">
      <c r="A65" s="14">
        <v>61</v>
      </c>
      <c r="B65" s="15" t="s">
        <v>104</v>
      </c>
      <c r="C65" s="16">
        <f>'Медикаменты Октябрь'!L65</f>
        <v>0</v>
      </c>
      <c r="D65" s="17"/>
      <c r="E65" s="14"/>
      <c r="F65" s="18"/>
      <c r="G65" s="19"/>
      <c r="H65" s="20"/>
      <c r="I65" s="21"/>
      <c r="J65" s="14"/>
      <c r="K65" s="14">
        <f t="shared" si="0"/>
        <v>0</v>
      </c>
      <c r="L65" s="16">
        <f t="shared" si="1"/>
        <v>0</v>
      </c>
      <c r="M65" s="22"/>
      <c r="N65" s="44"/>
      <c r="O65" s="23" t="s">
        <v>26</v>
      </c>
      <c r="P65" s="24"/>
      <c r="Q65" s="45"/>
    </row>
    <row r="66" spans="1:17">
      <c r="A66" s="14">
        <v>62</v>
      </c>
      <c r="B66" s="15" t="s">
        <v>624</v>
      </c>
      <c r="C66" s="16">
        <f>'Медикаменты Октябрь'!L66</f>
        <v>50</v>
      </c>
      <c r="D66" s="17"/>
      <c r="E66" s="14"/>
      <c r="F66" s="18"/>
      <c r="G66" s="19"/>
      <c r="H66" s="20"/>
      <c r="I66" s="21"/>
      <c r="J66" s="14"/>
      <c r="K66" s="14">
        <f t="shared" si="0"/>
        <v>0</v>
      </c>
      <c r="L66" s="16">
        <f t="shared" si="1"/>
        <v>50</v>
      </c>
      <c r="M66" s="22">
        <v>46054</v>
      </c>
      <c r="N66" s="44" t="s">
        <v>551</v>
      </c>
      <c r="O66" s="23" t="s">
        <v>16</v>
      </c>
      <c r="P66" s="24" t="s">
        <v>17</v>
      </c>
      <c r="Q66" s="28" t="s">
        <v>625</v>
      </c>
    </row>
    <row r="67" spans="1:17">
      <c r="A67" s="14">
        <v>63</v>
      </c>
      <c r="B67" s="15" t="s">
        <v>105</v>
      </c>
      <c r="C67" s="16">
        <f>'Медикаменты Октябрь'!L67</f>
        <v>25</v>
      </c>
      <c r="D67" s="17"/>
      <c r="E67" s="14"/>
      <c r="F67" s="18"/>
      <c r="G67" s="19"/>
      <c r="H67" s="20"/>
      <c r="I67" s="21"/>
      <c r="J67" s="14"/>
      <c r="K67" s="14">
        <f t="shared" si="0"/>
        <v>0</v>
      </c>
      <c r="L67" s="16">
        <f t="shared" si="1"/>
        <v>25</v>
      </c>
      <c r="M67" s="22">
        <v>45017</v>
      </c>
      <c r="N67" s="44" t="s">
        <v>551</v>
      </c>
      <c r="O67" s="23" t="s">
        <v>16</v>
      </c>
      <c r="P67" s="24" t="s">
        <v>17</v>
      </c>
      <c r="Q67" s="28" t="s">
        <v>106</v>
      </c>
    </row>
    <row r="68" spans="1:17">
      <c r="A68" s="14">
        <v>64</v>
      </c>
      <c r="B68" s="15" t="s">
        <v>105</v>
      </c>
      <c r="C68" s="16">
        <f>'Медикаменты Октябрь'!L68</f>
        <v>0</v>
      </c>
      <c r="D68" s="17"/>
      <c r="E68" s="14"/>
      <c r="F68" s="18"/>
      <c r="G68" s="19"/>
      <c r="H68" s="20"/>
      <c r="I68" s="21"/>
      <c r="J68" s="14"/>
      <c r="K68" s="14">
        <f t="shared" si="0"/>
        <v>0</v>
      </c>
      <c r="L68" s="16">
        <f t="shared" si="1"/>
        <v>0</v>
      </c>
      <c r="M68" s="22">
        <v>44531</v>
      </c>
      <c r="N68" s="44" t="s">
        <v>45</v>
      </c>
      <c r="O68" s="23" t="s">
        <v>16</v>
      </c>
      <c r="P68" s="24" t="s">
        <v>17</v>
      </c>
      <c r="Q68" s="28" t="s">
        <v>106</v>
      </c>
    </row>
    <row r="69" spans="1:17">
      <c r="A69" s="14">
        <v>65</v>
      </c>
      <c r="B69" s="15" t="s">
        <v>107</v>
      </c>
      <c r="C69" s="16">
        <f>'Медикаменты Октябрь'!L69</f>
        <v>77</v>
      </c>
      <c r="D69" s="17"/>
      <c r="E69" s="14"/>
      <c r="F69" s="18">
        <f>4</f>
        <v>4</v>
      </c>
      <c r="G69" s="19"/>
      <c r="H69" s="20"/>
      <c r="I69" s="21"/>
      <c r="J69" s="14"/>
      <c r="K69" s="14">
        <f t="shared" ref="K69:K132" si="2">SUM(F69:J69)</f>
        <v>4</v>
      </c>
      <c r="L69" s="16">
        <f t="shared" ref="L69:L132" si="3">(C69+E69)-K69</f>
        <v>73</v>
      </c>
      <c r="M69" s="22">
        <v>45077</v>
      </c>
      <c r="N69" s="44" t="s">
        <v>551</v>
      </c>
      <c r="O69" s="23" t="s">
        <v>16</v>
      </c>
      <c r="P69" s="24" t="s">
        <v>17</v>
      </c>
      <c r="Q69" s="28" t="s">
        <v>108</v>
      </c>
    </row>
    <row r="70" spans="1:17">
      <c r="A70" s="14">
        <v>66</v>
      </c>
      <c r="B70" s="15" t="s">
        <v>109</v>
      </c>
      <c r="C70" s="16">
        <f>'Медикаменты Октябрь'!L70</f>
        <v>0</v>
      </c>
      <c r="D70" s="17"/>
      <c r="E70" s="14"/>
      <c r="F70" s="18"/>
      <c r="G70" s="19"/>
      <c r="H70" s="20"/>
      <c r="I70" s="21"/>
      <c r="J70" s="14"/>
      <c r="K70" s="14">
        <f t="shared" si="2"/>
        <v>0</v>
      </c>
      <c r="L70" s="16">
        <f t="shared" si="3"/>
        <v>0</v>
      </c>
      <c r="M70" s="22"/>
      <c r="N70" s="44"/>
      <c r="O70" s="23" t="s">
        <v>16</v>
      </c>
      <c r="P70" s="24"/>
      <c r="Q70" s="45"/>
    </row>
    <row r="71" spans="1:17">
      <c r="A71" s="14">
        <v>67</v>
      </c>
      <c r="B71" s="15" t="s">
        <v>110</v>
      </c>
      <c r="C71" s="16">
        <f>'Медикаменты Октябрь'!L71</f>
        <v>0</v>
      </c>
      <c r="D71" s="17"/>
      <c r="E71" s="14"/>
      <c r="F71" s="18"/>
      <c r="G71" s="19"/>
      <c r="H71" s="20"/>
      <c r="I71" s="21"/>
      <c r="J71" s="14"/>
      <c r="K71" s="14">
        <f t="shared" si="2"/>
        <v>0</v>
      </c>
      <c r="L71" s="16">
        <f t="shared" si="3"/>
        <v>0</v>
      </c>
      <c r="M71" s="22">
        <v>44682</v>
      </c>
      <c r="N71" s="44"/>
      <c r="O71" s="23" t="s">
        <v>16</v>
      </c>
      <c r="P71" s="24"/>
      <c r="Q71" s="45"/>
    </row>
    <row r="72" spans="1:17">
      <c r="A72" s="14">
        <v>68</v>
      </c>
      <c r="B72" s="15" t="s">
        <v>111</v>
      </c>
      <c r="C72" s="16">
        <f>'Медикаменты Октябрь'!L72</f>
        <v>0</v>
      </c>
      <c r="D72" s="17"/>
      <c r="E72" s="14"/>
      <c r="F72" s="18"/>
      <c r="G72" s="19"/>
      <c r="H72" s="20"/>
      <c r="I72" s="21"/>
      <c r="J72" s="14"/>
      <c r="K72" s="14">
        <f t="shared" si="2"/>
        <v>0</v>
      </c>
      <c r="L72" s="16">
        <f t="shared" si="3"/>
        <v>0</v>
      </c>
      <c r="M72" s="22">
        <v>44958</v>
      </c>
      <c r="N72" s="44" t="s">
        <v>45</v>
      </c>
      <c r="O72" s="23" t="s">
        <v>16</v>
      </c>
      <c r="P72" s="24" t="s">
        <v>17</v>
      </c>
      <c r="Q72" s="28" t="s">
        <v>112</v>
      </c>
    </row>
    <row r="73" spans="1:17">
      <c r="A73" s="14">
        <v>69</v>
      </c>
      <c r="B73" s="15" t="s">
        <v>111</v>
      </c>
      <c r="C73" s="16">
        <f>'Медикаменты Октябрь'!L73</f>
        <v>297</v>
      </c>
      <c r="D73" s="17"/>
      <c r="E73" s="14"/>
      <c r="F73" s="18">
        <f>5+20+5</f>
        <v>30</v>
      </c>
      <c r="G73" s="19"/>
      <c r="H73" s="20"/>
      <c r="I73" s="21"/>
      <c r="J73" s="14"/>
      <c r="K73" s="14">
        <f t="shared" si="2"/>
        <v>30</v>
      </c>
      <c r="L73" s="16">
        <f t="shared" si="3"/>
        <v>267</v>
      </c>
      <c r="M73" s="22">
        <v>45323</v>
      </c>
      <c r="N73" s="44" t="s">
        <v>551</v>
      </c>
      <c r="O73" s="23" t="s">
        <v>16</v>
      </c>
      <c r="P73" s="24" t="s">
        <v>17</v>
      </c>
      <c r="Q73" s="28" t="s">
        <v>112</v>
      </c>
    </row>
    <row r="74" spans="1:17">
      <c r="A74" s="14">
        <v>70</v>
      </c>
      <c r="B74" s="15" t="s">
        <v>113</v>
      </c>
      <c r="C74" s="16">
        <f>'Медикаменты Октябрь'!L74</f>
        <v>85</v>
      </c>
      <c r="D74" s="17"/>
      <c r="E74" s="14"/>
      <c r="F74" s="18"/>
      <c r="G74" s="19"/>
      <c r="H74" s="20"/>
      <c r="I74" s="21"/>
      <c r="J74" s="14"/>
      <c r="K74" s="14">
        <f t="shared" si="2"/>
        <v>0</v>
      </c>
      <c r="L74" s="16">
        <f t="shared" si="3"/>
        <v>85</v>
      </c>
      <c r="M74" s="22">
        <v>44986</v>
      </c>
      <c r="N74" s="44" t="s">
        <v>45</v>
      </c>
      <c r="O74" s="23" t="s">
        <v>16</v>
      </c>
      <c r="P74" s="24" t="s">
        <v>17</v>
      </c>
      <c r="Q74" s="28" t="s">
        <v>114</v>
      </c>
    </row>
    <row r="75" spans="1:17">
      <c r="A75" s="14">
        <v>71</v>
      </c>
      <c r="B75" s="15" t="s">
        <v>113</v>
      </c>
      <c r="C75" s="16">
        <f>'Медикаменты Октябрь'!L75</f>
        <v>0</v>
      </c>
      <c r="D75" s="17"/>
      <c r="E75" s="14"/>
      <c r="F75" s="18"/>
      <c r="G75" s="19"/>
      <c r="H75" s="20"/>
      <c r="I75" s="21"/>
      <c r="J75" s="14"/>
      <c r="K75" s="14">
        <f t="shared" si="2"/>
        <v>0</v>
      </c>
      <c r="L75" s="16">
        <f t="shared" si="3"/>
        <v>0</v>
      </c>
      <c r="M75" s="22">
        <v>44986</v>
      </c>
      <c r="N75" s="44"/>
      <c r="O75" s="23" t="s">
        <v>26</v>
      </c>
      <c r="P75" s="24"/>
      <c r="Q75" s="28" t="s">
        <v>114</v>
      </c>
    </row>
    <row r="76" spans="1:17" ht="26.25">
      <c r="A76" s="14">
        <v>72</v>
      </c>
      <c r="B76" s="15" t="s">
        <v>115</v>
      </c>
      <c r="C76" s="16">
        <f>'Медикаменты Октябрь'!L76</f>
        <v>20</v>
      </c>
      <c r="D76" s="17"/>
      <c r="E76" s="14"/>
      <c r="F76" s="18">
        <f>5</f>
        <v>5</v>
      </c>
      <c r="G76" s="19"/>
      <c r="H76" s="20">
        <f>10</f>
        <v>10</v>
      </c>
      <c r="I76" s="21"/>
      <c r="J76" s="14"/>
      <c r="K76" s="14">
        <f t="shared" si="2"/>
        <v>15</v>
      </c>
      <c r="L76" s="16">
        <f t="shared" si="3"/>
        <v>5</v>
      </c>
      <c r="M76" s="22">
        <v>46082</v>
      </c>
      <c r="N76" s="44" t="s">
        <v>551</v>
      </c>
      <c r="O76" s="23" t="s">
        <v>16</v>
      </c>
      <c r="P76" s="24" t="s">
        <v>17</v>
      </c>
      <c r="Q76" s="28" t="s">
        <v>116</v>
      </c>
    </row>
    <row r="77" spans="1:17" ht="26.25">
      <c r="A77" s="14">
        <v>73</v>
      </c>
      <c r="B77" s="15" t="s">
        <v>115</v>
      </c>
      <c r="C77" s="16">
        <f>'Медикаменты Октябрь'!L77</f>
        <v>0</v>
      </c>
      <c r="D77" s="17"/>
      <c r="E77" s="14"/>
      <c r="F77" s="18"/>
      <c r="G77" s="19"/>
      <c r="H77" s="20"/>
      <c r="I77" s="21"/>
      <c r="J77" s="14"/>
      <c r="K77" s="14">
        <f t="shared" si="2"/>
        <v>0</v>
      </c>
      <c r="L77" s="16">
        <f t="shared" si="3"/>
        <v>0</v>
      </c>
      <c r="M77" s="22">
        <v>45901</v>
      </c>
      <c r="N77" s="44" t="s">
        <v>551</v>
      </c>
      <c r="O77" s="23" t="s">
        <v>26</v>
      </c>
      <c r="P77" s="24" t="s">
        <v>17</v>
      </c>
      <c r="Q77" s="28" t="s">
        <v>116</v>
      </c>
    </row>
    <row r="78" spans="1:17">
      <c r="A78" s="14">
        <v>74</v>
      </c>
      <c r="B78" s="15" t="s">
        <v>117</v>
      </c>
      <c r="C78" s="16">
        <f>'Медикаменты Октябрь'!L78</f>
        <v>200</v>
      </c>
      <c r="D78" s="17"/>
      <c r="E78" s="14"/>
      <c r="F78" s="18"/>
      <c r="G78" s="19"/>
      <c r="H78" s="20"/>
      <c r="I78" s="21"/>
      <c r="J78" s="14"/>
      <c r="K78" s="14">
        <f t="shared" si="2"/>
        <v>0</v>
      </c>
      <c r="L78" s="16">
        <f t="shared" si="3"/>
        <v>200</v>
      </c>
      <c r="M78" s="22">
        <v>45046</v>
      </c>
      <c r="N78" s="44" t="s">
        <v>551</v>
      </c>
      <c r="O78" s="23" t="s">
        <v>16</v>
      </c>
      <c r="P78" s="24" t="s">
        <v>17</v>
      </c>
      <c r="Q78" s="28" t="s">
        <v>118</v>
      </c>
    </row>
    <row r="79" spans="1:17">
      <c r="A79" s="14">
        <v>75</v>
      </c>
      <c r="B79" s="15" t="s">
        <v>117</v>
      </c>
      <c r="C79" s="16">
        <f>'Медикаменты Октябрь'!L79</f>
        <v>140</v>
      </c>
      <c r="D79" s="17"/>
      <c r="E79" s="14"/>
      <c r="F79" s="18">
        <f>10+15</f>
        <v>25</v>
      </c>
      <c r="G79" s="19"/>
      <c r="H79" s="20">
        <f>20</f>
        <v>20</v>
      </c>
      <c r="I79" s="21"/>
      <c r="J79" s="14"/>
      <c r="K79" s="14">
        <f t="shared" si="2"/>
        <v>45</v>
      </c>
      <c r="L79" s="16">
        <f t="shared" si="3"/>
        <v>95</v>
      </c>
      <c r="M79" s="22">
        <v>44682</v>
      </c>
      <c r="N79" s="44" t="s">
        <v>45</v>
      </c>
      <c r="O79" s="23" t="s">
        <v>16</v>
      </c>
      <c r="P79" s="24" t="s">
        <v>17</v>
      </c>
      <c r="Q79" s="28" t="s">
        <v>118</v>
      </c>
    </row>
    <row r="80" spans="1:17">
      <c r="A80" s="14">
        <v>76</v>
      </c>
      <c r="B80" s="15" t="s">
        <v>117</v>
      </c>
      <c r="C80" s="16">
        <f>'Медикаменты Октябрь'!L80</f>
        <v>0</v>
      </c>
      <c r="D80" s="17"/>
      <c r="E80" s="14"/>
      <c r="F80" s="18"/>
      <c r="G80" s="19"/>
      <c r="H80" s="20"/>
      <c r="I80" s="21"/>
      <c r="J80" s="14"/>
      <c r="K80" s="14">
        <f t="shared" si="2"/>
        <v>0</v>
      </c>
      <c r="L80" s="16">
        <f t="shared" si="3"/>
        <v>0</v>
      </c>
      <c r="M80" s="22">
        <v>45017</v>
      </c>
      <c r="N80" s="44" t="s">
        <v>551</v>
      </c>
      <c r="O80" s="23" t="s">
        <v>26</v>
      </c>
      <c r="P80" s="24" t="s">
        <v>17</v>
      </c>
      <c r="Q80" s="28" t="s">
        <v>118</v>
      </c>
    </row>
    <row r="81" spans="1:17">
      <c r="A81" s="14">
        <v>77</v>
      </c>
      <c r="B81" s="15" t="s">
        <v>119</v>
      </c>
      <c r="C81" s="16">
        <f>'Медикаменты Октябрь'!L81</f>
        <v>0</v>
      </c>
      <c r="D81" s="17"/>
      <c r="E81" s="14"/>
      <c r="F81" s="18"/>
      <c r="G81" s="19"/>
      <c r="H81" s="20"/>
      <c r="I81" s="21"/>
      <c r="J81" s="14"/>
      <c r="K81" s="14">
        <f t="shared" si="2"/>
        <v>0</v>
      </c>
      <c r="L81" s="16">
        <f t="shared" si="3"/>
        <v>0</v>
      </c>
      <c r="M81" s="22"/>
      <c r="N81" s="44"/>
      <c r="O81" s="23" t="s">
        <v>16</v>
      </c>
      <c r="P81" s="24"/>
      <c r="Q81" s="45"/>
    </row>
    <row r="82" spans="1:17">
      <c r="A82" s="14">
        <v>78</v>
      </c>
      <c r="B82" s="15" t="s">
        <v>120</v>
      </c>
      <c r="C82" s="16">
        <f>'Медикаменты Октябрь'!L82</f>
        <v>0</v>
      </c>
      <c r="D82" s="17"/>
      <c r="E82" s="14"/>
      <c r="F82" s="18"/>
      <c r="G82" s="19"/>
      <c r="H82" s="20"/>
      <c r="I82" s="21"/>
      <c r="J82" s="14"/>
      <c r="K82" s="14">
        <f t="shared" si="2"/>
        <v>0</v>
      </c>
      <c r="L82" s="16">
        <f t="shared" si="3"/>
        <v>0</v>
      </c>
      <c r="M82" s="22">
        <v>45444</v>
      </c>
      <c r="N82" s="44"/>
      <c r="O82" s="23" t="s">
        <v>26</v>
      </c>
      <c r="P82" s="24"/>
      <c r="Q82" s="28" t="s">
        <v>121</v>
      </c>
    </row>
    <row r="83" spans="1:17">
      <c r="A83" s="14">
        <v>79</v>
      </c>
      <c r="B83" s="29" t="s">
        <v>122</v>
      </c>
      <c r="C83" s="16">
        <f>'Медикаменты Октябрь'!L83</f>
        <v>0</v>
      </c>
      <c r="D83" s="17"/>
      <c r="E83" s="14"/>
      <c r="F83" s="18"/>
      <c r="G83" s="19"/>
      <c r="H83" s="20"/>
      <c r="I83" s="21"/>
      <c r="J83" s="14"/>
      <c r="K83" s="14">
        <f t="shared" si="2"/>
        <v>0</v>
      </c>
      <c r="L83" s="16">
        <f t="shared" si="3"/>
        <v>0</v>
      </c>
      <c r="M83" s="22">
        <v>44986</v>
      </c>
      <c r="N83" s="44" t="s">
        <v>45</v>
      </c>
      <c r="O83" s="23" t="s">
        <v>16</v>
      </c>
      <c r="P83" s="24" t="s">
        <v>17</v>
      </c>
      <c r="Q83" s="28" t="s">
        <v>123</v>
      </c>
    </row>
    <row r="84" spans="1:17">
      <c r="A84" s="14">
        <v>80</v>
      </c>
      <c r="B84" s="15" t="s">
        <v>124</v>
      </c>
      <c r="C84" s="16">
        <f>'Медикаменты Октябрь'!L84</f>
        <v>0</v>
      </c>
      <c r="D84" s="17"/>
      <c r="E84" s="14"/>
      <c r="F84" s="18"/>
      <c r="G84" s="19"/>
      <c r="H84" s="20"/>
      <c r="I84" s="21"/>
      <c r="J84" s="14"/>
      <c r="K84" s="14">
        <f t="shared" si="2"/>
        <v>0</v>
      </c>
      <c r="L84" s="16">
        <f t="shared" si="3"/>
        <v>0</v>
      </c>
      <c r="M84" s="22"/>
      <c r="N84" s="44"/>
      <c r="O84" s="23" t="s">
        <v>16</v>
      </c>
      <c r="P84" s="24"/>
      <c r="Q84" s="45"/>
    </row>
    <row r="85" spans="1:17">
      <c r="A85" s="14">
        <v>81</v>
      </c>
      <c r="B85" s="15" t="s">
        <v>125</v>
      </c>
      <c r="C85" s="16">
        <f>'Медикаменты Октябрь'!L85</f>
        <v>0</v>
      </c>
      <c r="D85" s="17"/>
      <c r="E85" s="14"/>
      <c r="F85" s="18"/>
      <c r="G85" s="19"/>
      <c r="H85" s="20"/>
      <c r="I85" s="21"/>
      <c r="J85" s="14"/>
      <c r="K85" s="14">
        <f t="shared" si="2"/>
        <v>0</v>
      </c>
      <c r="L85" s="16">
        <f t="shared" si="3"/>
        <v>0</v>
      </c>
      <c r="M85" s="22">
        <v>44531</v>
      </c>
      <c r="N85" s="44" t="s">
        <v>45</v>
      </c>
      <c r="O85" s="23" t="s">
        <v>16</v>
      </c>
      <c r="P85" s="24" t="s">
        <v>17</v>
      </c>
      <c r="Q85" s="28" t="s">
        <v>126</v>
      </c>
    </row>
    <row r="86" spans="1:17">
      <c r="A86" s="14">
        <v>82</v>
      </c>
      <c r="B86" s="15" t="s">
        <v>127</v>
      </c>
      <c r="C86" s="16">
        <f>'Медикаменты Октябрь'!L86</f>
        <v>0</v>
      </c>
      <c r="D86" s="17"/>
      <c r="E86" s="14"/>
      <c r="F86" s="18"/>
      <c r="G86" s="19"/>
      <c r="H86" s="20"/>
      <c r="I86" s="21"/>
      <c r="J86" s="14"/>
      <c r="K86" s="14">
        <f t="shared" si="2"/>
        <v>0</v>
      </c>
      <c r="L86" s="16">
        <f t="shared" si="3"/>
        <v>0</v>
      </c>
      <c r="M86" s="22">
        <v>44501</v>
      </c>
      <c r="N86" s="44" t="s">
        <v>45</v>
      </c>
      <c r="O86" s="23" t="s">
        <v>16</v>
      </c>
      <c r="P86" s="24" t="s">
        <v>45</v>
      </c>
      <c r="Q86" s="28" t="s">
        <v>128</v>
      </c>
    </row>
    <row r="87" spans="1:17" ht="25.5">
      <c r="A87" s="14">
        <v>83</v>
      </c>
      <c r="B87" s="15" t="s">
        <v>129</v>
      </c>
      <c r="C87" s="16">
        <f>'Медикаменты Октябрь'!L87</f>
        <v>0</v>
      </c>
      <c r="D87" s="17"/>
      <c r="E87" s="14"/>
      <c r="F87" s="18"/>
      <c r="G87" s="19"/>
      <c r="H87" s="20"/>
      <c r="I87" s="21"/>
      <c r="J87" s="14"/>
      <c r="K87" s="14">
        <f t="shared" si="2"/>
        <v>0</v>
      </c>
      <c r="L87" s="16">
        <f t="shared" si="3"/>
        <v>0</v>
      </c>
      <c r="M87" s="22">
        <v>44713</v>
      </c>
      <c r="N87" s="44" t="s">
        <v>45</v>
      </c>
      <c r="O87" s="23" t="s">
        <v>16</v>
      </c>
      <c r="P87" s="24" t="s">
        <v>17</v>
      </c>
      <c r="Q87" s="28" t="s">
        <v>130</v>
      </c>
    </row>
    <row r="88" spans="1:17" ht="25.5">
      <c r="A88" s="14">
        <v>84</v>
      </c>
      <c r="B88" s="15" t="s">
        <v>129</v>
      </c>
      <c r="C88" s="16">
        <f>'Медикаменты Октябрь'!L88</f>
        <v>0</v>
      </c>
      <c r="D88" s="17"/>
      <c r="E88" s="14"/>
      <c r="F88" s="18"/>
      <c r="G88" s="19"/>
      <c r="H88" s="20"/>
      <c r="I88" s="21"/>
      <c r="J88" s="14"/>
      <c r="K88" s="14">
        <f t="shared" si="2"/>
        <v>0</v>
      </c>
      <c r="L88" s="16">
        <f t="shared" si="3"/>
        <v>0</v>
      </c>
      <c r="M88" s="22">
        <v>44713</v>
      </c>
      <c r="N88" s="44"/>
      <c r="O88" s="23" t="s">
        <v>26</v>
      </c>
      <c r="P88" s="24"/>
      <c r="Q88" s="28" t="s">
        <v>130</v>
      </c>
    </row>
    <row r="89" spans="1:17" ht="25.5">
      <c r="A89" s="14">
        <v>85</v>
      </c>
      <c r="B89" s="15" t="s">
        <v>131</v>
      </c>
      <c r="C89" s="16">
        <f>'Медикаменты Октябрь'!L89</f>
        <v>0</v>
      </c>
      <c r="D89" s="17"/>
      <c r="E89" s="14"/>
      <c r="F89" s="18"/>
      <c r="G89" s="19"/>
      <c r="H89" s="20"/>
      <c r="I89" s="21"/>
      <c r="J89" s="14"/>
      <c r="K89" s="14">
        <f t="shared" si="2"/>
        <v>0</v>
      </c>
      <c r="L89" s="16">
        <f t="shared" si="3"/>
        <v>0</v>
      </c>
      <c r="M89" s="22"/>
      <c r="N89" s="44"/>
      <c r="O89" s="23" t="s">
        <v>16</v>
      </c>
      <c r="P89" s="24"/>
      <c r="Q89" s="45"/>
    </row>
    <row r="90" spans="1:17">
      <c r="A90" s="14">
        <v>86</v>
      </c>
      <c r="B90" s="15" t="s">
        <v>626</v>
      </c>
      <c r="C90" s="16">
        <f>'Медикаменты Октябрь'!L90</f>
        <v>237</v>
      </c>
      <c r="D90" s="17"/>
      <c r="E90" s="14"/>
      <c r="F90" s="18">
        <f>3+3+5+15</f>
        <v>26</v>
      </c>
      <c r="G90" s="19"/>
      <c r="H90" s="20"/>
      <c r="I90" s="21"/>
      <c r="J90" s="14"/>
      <c r="K90" s="14">
        <f t="shared" si="2"/>
        <v>26</v>
      </c>
      <c r="L90" s="16">
        <f t="shared" si="3"/>
        <v>211</v>
      </c>
      <c r="M90" s="22">
        <v>45017</v>
      </c>
      <c r="N90" s="44" t="s">
        <v>551</v>
      </c>
      <c r="O90" s="23" t="s">
        <v>16</v>
      </c>
      <c r="P90" s="24" t="s">
        <v>17</v>
      </c>
      <c r="Q90" s="28" t="s">
        <v>133</v>
      </c>
    </row>
    <row r="91" spans="1:17">
      <c r="A91" s="14">
        <v>87</v>
      </c>
      <c r="B91" s="15" t="s">
        <v>626</v>
      </c>
      <c r="C91" s="16">
        <f>'Медикаменты Октябрь'!L91</f>
        <v>100</v>
      </c>
      <c r="D91" s="17"/>
      <c r="E91" s="14"/>
      <c r="F91" s="18"/>
      <c r="G91" s="19"/>
      <c r="H91" s="20"/>
      <c r="I91" s="21">
        <f>100</f>
        <v>100</v>
      </c>
      <c r="J91" s="14"/>
      <c r="K91" s="14">
        <f t="shared" si="2"/>
        <v>100</v>
      </c>
      <c r="L91" s="16">
        <f t="shared" si="3"/>
        <v>0</v>
      </c>
      <c r="M91" s="22">
        <v>45017</v>
      </c>
      <c r="N91" s="44" t="s">
        <v>551</v>
      </c>
      <c r="O91" s="23" t="s">
        <v>26</v>
      </c>
      <c r="P91" s="24" t="s">
        <v>17</v>
      </c>
      <c r="Q91" s="28" t="s">
        <v>133</v>
      </c>
    </row>
    <row r="92" spans="1:17">
      <c r="A92" s="14">
        <v>88</v>
      </c>
      <c r="B92" s="15" t="s">
        <v>134</v>
      </c>
      <c r="C92" s="16">
        <f>'Медикаменты Октябрь'!L92</f>
        <v>0</v>
      </c>
      <c r="D92" s="17"/>
      <c r="E92" s="14"/>
      <c r="F92" s="18"/>
      <c r="G92" s="19"/>
      <c r="H92" s="20"/>
      <c r="I92" s="21"/>
      <c r="J92" s="14"/>
      <c r="K92" s="14">
        <f t="shared" si="2"/>
        <v>0</v>
      </c>
      <c r="L92" s="16">
        <f t="shared" si="3"/>
        <v>0</v>
      </c>
      <c r="M92" s="22">
        <v>44228</v>
      </c>
      <c r="N92" s="44"/>
      <c r="O92" s="23" t="s">
        <v>16</v>
      </c>
      <c r="P92" s="24" t="s">
        <v>17</v>
      </c>
      <c r="Q92" s="28" t="s">
        <v>135</v>
      </c>
    </row>
    <row r="93" spans="1:17">
      <c r="A93" s="14">
        <v>89</v>
      </c>
      <c r="B93" s="15" t="s">
        <v>136</v>
      </c>
      <c r="C93" s="16">
        <f>'Медикаменты Октябрь'!L93</f>
        <v>0</v>
      </c>
      <c r="D93" s="17"/>
      <c r="E93" s="14"/>
      <c r="F93" s="18"/>
      <c r="G93" s="19"/>
      <c r="H93" s="20"/>
      <c r="I93" s="21"/>
      <c r="J93" s="14"/>
      <c r="K93" s="14">
        <f t="shared" si="2"/>
        <v>0</v>
      </c>
      <c r="L93" s="16">
        <f t="shared" si="3"/>
        <v>0</v>
      </c>
      <c r="M93" s="22">
        <v>45778</v>
      </c>
      <c r="N93" s="44" t="s">
        <v>45</v>
      </c>
      <c r="O93" s="23" t="s">
        <v>16</v>
      </c>
      <c r="P93" s="24" t="s">
        <v>17</v>
      </c>
      <c r="Q93" s="28" t="s">
        <v>137</v>
      </c>
    </row>
    <row r="94" spans="1:17">
      <c r="A94" s="14">
        <v>90</v>
      </c>
      <c r="B94" s="15" t="s">
        <v>138</v>
      </c>
      <c r="C94" s="16">
        <f>'Медикаменты Октябрь'!L94</f>
        <v>75</v>
      </c>
      <c r="D94" s="30"/>
      <c r="E94" s="14"/>
      <c r="F94" s="18"/>
      <c r="G94" s="19"/>
      <c r="H94" s="20"/>
      <c r="I94" s="21"/>
      <c r="J94" s="14"/>
      <c r="K94" s="14">
        <f t="shared" si="2"/>
        <v>0</v>
      </c>
      <c r="L94" s="16">
        <f t="shared" si="3"/>
        <v>75</v>
      </c>
      <c r="M94" s="22">
        <v>44927</v>
      </c>
      <c r="N94" s="44" t="s">
        <v>551</v>
      </c>
      <c r="O94" s="23" t="s">
        <v>16</v>
      </c>
      <c r="P94" s="24" t="s">
        <v>17</v>
      </c>
      <c r="Q94" s="28" t="s">
        <v>568</v>
      </c>
    </row>
    <row r="95" spans="1:17">
      <c r="A95" s="14">
        <v>91</v>
      </c>
      <c r="B95" s="15" t="s">
        <v>138</v>
      </c>
      <c r="C95" s="16">
        <f>'Медикаменты Октябрь'!L95</f>
        <v>0</v>
      </c>
      <c r="D95" s="30"/>
      <c r="E95" s="14"/>
      <c r="F95" s="18"/>
      <c r="G95" s="19"/>
      <c r="H95" s="20"/>
      <c r="I95" s="21"/>
      <c r="J95" s="14"/>
      <c r="K95" s="14">
        <f t="shared" si="2"/>
        <v>0</v>
      </c>
      <c r="L95" s="16">
        <f t="shared" si="3"/>
        <v>0</v>
      </c>
      <c r="M95" s="22">
        <v>44927</v>
      </c>
      <c r="N95" s="44" t="s">
        <v>551</v>
      </c>
      <c r="O95" s="23" t="s">
        <v>26</v>
      </c>
      <c r="P95" s="24" t="s">
        <v>17</v>
      </c>
      <c r="Q95" s="28" t="s">
        <v>568</v>
      </c>
    </row>
    <row r="96" spans="1:17">
      <c r="A96" s="14">
        <v>92</v>
      </c>
      <c r="B96" s="15" t="s">
        <v>569</v>
      </c>
      <c r="C96" s="16">
        <f>'Медикаменты Октябрь'!L96</f>
        <v>1</v>
      </c>
      <c r="D96" s="17"/>
      <c r="E96" s="14"/>
      <c r="F96" s="18"/>
      <c r="G96" s="19"/>
      <c r="H96" s="20">
        <f>1</f>
        <v>1</v>
      </c>
      <c r="I96" s="21"/>
      <c r="J96" s="14"/>
      <c r="K96" s="14">
        <f t="shared" si="2"/>
        <v>1</v>
      </c>
      <c r="L96" s="16">
        <f t="shared" si="3"/>
        <v>0</v>
      </c>
      <c r="M96" s="22">
        <v>45108</v>
      </c>
      <c r="N96" s="44" t="s">
        <v>551</v>
      </c>
      <c r="O96" s="23" t="s">
        <v>16</v>
      </c>
      <c r="P96" s="24" t="s">
        <v>17</v>
      </c>
      <c r="Q96" s="28" t="s">
        <v>585</v>
      </c>
    </row>
    <row r="97" spans="1:17">
      <c r="A97" s="14">
        <v>93</v>
      </c>
      <c r="B97" s="15" t="s">
        <v>569</v>
      </c>
      <c r="C97" s="16">
        <f>'Медикаменты Октябрь'!L97</f>
        <v>0</v>
      </c>
      <c r="D97" s="17"/>
      <c r="E97" s="14"/>
      <c r="F97" s="18"/>
      <c r="G97" s="19"/>
      <c r="H97" s="20"/>
      <c r="I97" s="21"/>
      <c r="J97" s="14"/>
      <c r="K97" s="14">
        <f t="shared" si="2"/>
        <v>0</v>
      </c>
      <c r="L97" s="16">
        <f t="shared" si="3"/>
        <v>0</v>
      </c>
      <c r="M97" s="22">
        <v>45108</v>
      </c>
      <c r="N97" s="44" t="s">
        <v>551</v>
      </c>
      <c r="O97" s="23" t="s">
        <v>26</v>
      </c>
      <c r="P97" s="24" t="s">
        <v>17</v>
      </c>
      <c r="Q97" s="28" t="s">
        <v>585</v>
      </c>
    </row>
    <row r="98" spans="1:17">
      <c r="A98" s="14">
        <v>94</v>
      </c>
      <c r="B98" s="15" t="s">
        <v>140</v>
      </c>
      <c r="C98" s="16">
        <f>'Медикаменты Октябрь'!L98</f>
        <v>0</v>
      </c>
      <c r="D98" s="17"/>
      <c r="E98" s="14"/>
      <c r="F98" s="18"/>
      <c r="G98" s="19"/>
      <c r="H98" s="20"/>
      <c r="I98" s="21"/>
      <c r="J98" s="14"/>
      <c r="K98" s="14">
        <f t="shared" si="2"/>
        <v>0</v>
      </c>
      <c r="L98" s="16">
        <f t="shared" si="3"/>
        <v>0</v>
      </c>
      <c r="M98" s="22">
        <v>44682</v>
      </c>
      <c r="N98" s="44" t="s">
        <v>45</v>
      </c>
      <c r="O98" s="23" t="s">
        <v>16</v>
      </c>
      <c r="P98" s="24" t="s">
        <v>45</v>
      </c>
      <c r="Q98" s="28" t="s">
        <v>141</v>
      </c>
    </row>
    <row r="99" spans="1:17">
      <c r="A99" s="14">
        <v>95</v>
      </c>
      <c r="B99" s="15" t="s">
        <v>142</v>
      </c>
      <c r="C99" s="16">
        <f>'Медикаменты Октябрь'!L99</f>
        <v>0</v>
      </c>
      <c r="D99" s="17"/>
      <c r="E99" s="14"/>
      <c r="F99" s="18"/>
      <c r="G99" s="19"/>
      <c r="H99" s="20"/>
      <c r="I99" s="21"/>
      <c r="J99" s="14"/>
      <c r="K99" s="14">
        <f t="shared" si="2"/>
        <v>0</v>
      </c>
      <c r="L99" s="16">
        <f t="shared" si="3"/>
        <v>0</v>
      </c>
      <c r="M99" s="22">
        <v>45352</v>
      </c>
      <c r="N99" s="44"/>
      <c r="O99" s="23" t="s">
        <v>16</v>
      </c>
      <c r="P99" s="24"/>
      <c r="Q99" s="28" t="s">
        <v>143</v>
      </c>
    </row>
    <row r="100" spans="1:17">
      <c r="A100" s="14">
        <v>96</v>
      </c>
      <c r="B100" s="15" t="s">
        <v>144</v>
      </c>
      <c r="C100" s="16">
        <f>'Медикаменты Октябрь'!L100</f>
        <v>0</v>
      </c>
      <c r="D100" s="17"/>
      <c r="E100" s="14"/>
      <c r="F100" s="18"/>
      <c r="G100" s="19"/>
      <c r="H100" s="20"/>
      <c r="I100" s="21"/>
      <c r="J100" s="14"/>
      <c r="K100" s="14">
        <f t="shared" si="2"/>
        <v>0</v>
      </c>
      <c r="L100" s="16">
        <f t="shared" si="3"/>
        <v>0</v>
      </c>
      <c r="M100" s="22">
        <v>44228</v>
      </c>
      <c r="N100" s="44"/>
      <c r="O100" s="23" t="s">
        <v>16</v>
      </c>
      <c r="P100" s="24"/>
      <c r="Q100" s="28" t="s">
        <v>145</v>
      </c>
    </row>
    <row r="101" spans="1:17">
      <c r="A101" s="14">
        <v>97</v>
      </c>
      <c r="B101" s="15" t="s">
        <v>146</v>
      </c>
      <c r="C101" s="16">
        <f>'Медикаменты Октябрь'!L101</f>
        <v>0</v>
      </c>
      <c r="D101" s="17"/>
      <c r="E101" s="14"/>
      <c r="F101" s="18"/>
      <c r="G101" s="19"/>
      <c r="H101" s="20"/>
      <c r="I101" s="21"/>
      <c r="J101" s="14"/>
      <c r="K101" s="14">
        <f t="shared" si="2"/>
        <v>0</v>
      </c>
      <c r="L101" s="16">
        <f t="shared" si="3"/>
        <v>0</v>
      </c>
      <c r="M101" s="22">
        <v>45474</v>
      </c>
      <c r="N101" s="44"/>
      <c r="O101" s="23" t="s">
        <v>16</v>
      </c>
      <c r="P101" s="24" t="s">
        <v>45</v>
      </c>
      <c r="Q101" s="28" t="s">
        <v>147</v>
      </c>
    </row>
    <row r="102" spans="1:17">
      <c r="A102" s="14">
        <v>98</v>
      </c>
      <c r="B102" s="15" t="s">
        <v>148</v>
      </c>
      <c r="C102" s="16">
        <f>'Медикаменты Октябрь'!L102</f>
        <v>0</v>
      </c>
      <c r="D102" s="17"/>
      <c r="E102" s="14"/>
      <c r="F102" s="18"/>
      <c r="G102" s="19"/>
      <c r="H102" s="20"/>
      <c r="I102" s="21"/>
      <c r="J102" s="14"/>
      <c r="K102" s="14">
        <f t="shared" si="2"/>
        <v>0</v>
      </c>
      <c r="L102" s="16">
        <f t="shared" si="3"/>
        <v>0</v>
      </c>
      <c r="M102" s="22"/>
      <c r="N102" s="44"/>
      <c r="O102" s="23" t="s">
        <v>16</v>
      </c>
      <c r="P102" s="24"/>
      <c r="Q102" s="45"/>
    </row>
    <row r="103" spans="1:17">
      <c r="A103" s="14">
        <v>99</v>
      </c>
      <c r="B103" s="15" t="s">
        <v>149</v>
      </c>
      <c r="C103" s="16">
        <f>'Медикаменты Октябрь'!L103</f>
        <v>0</v>
      </c>
      <c r="D103" s="17"/>
      <c r="E103" s="14"/>
      <c r="F103" s="18"/>
      <c r="G103" s="19"/>
      <c r="H103" s="20"/>
      <c r="I103" s="21"/>
      <c r="J103" s="14"/>
      <c r="K103" s="14">
        <f t="shared" si="2"/>
        <v>0</v>
      </c>
      <c r="L103" s="16">
        <f t="shared" si="3"/>
        <v>0</v>
      </c>
      <c r="M103" s="22">
        <v>44348</v>
      </c>
      <c r="N103" s="44"/>
      <c r="O103" s="23" t="s">
        <v>16</v>
      </c>
      <c r="P103" s="24"/>
      <c r="Q103" s="28" t="s">
        <v>150</v>
      </c>
    </row>
    <row r="104" spans="1:17">
      <c r="A104" s="14">
        <v>100</v>
      </c>
      <c r="B104" s="15" t="s">
        <v>151</v>
      </c>
      <c r="C104" s="16">
        <f>'Медикаменты Октябрь'!L104</f>
        <v>0</v>
      </c>
      <c r="D104" s="17"/>
      <c r="E104" s="14"/>
      <c r="F104" s="18"/>
      <c r="G104" s="19"/>
      <c r="H104" s="20"/>
      <c r="I104" s="21"/>
      <c r="J104" s="14"/>
      <c r="K104" s="14">
        <f t="shared" si="2"/>
        <v>0</v>
      </c>
      <c r="L104" s="16">
        <f t="shared" si="3"/>
        <v>0</v>
      </c>
      <c r="M104" s="22">
        <v>44743</v>
      </c>
      <c r="N104" s="44" t="s">
        <v>45</v>
      </c>
      <c r="O104" s="23" t="s">
        <v>16</v>
      </c>
      <c r="P104" s="24" t="s">
        <v>45</v>
      </c>
      <c r="Q104" s="28" t="s">
        <v>152</v>
      </c>
    </row>
    <row r="105" spans="1:17">
      <c r="A105" s="14">
        <v>101</v>
      </c>
      <c r="B105" s="15" t="s">
        <v>153</v>
      </c>
      <c r="C105" s="16">
        <f>'Медикаменты Октябрь'!L105</f>
        <v>0</v>
      </c>
      <c r="D105" s="17"/>
      <c r="E105" s="14"/>
      <c r="F105" s="18"/>
      <c r="G105" s="19"/>
      <c r="H105" s="20"/>
      <c r="I105" s="21"/>
      <c r="J105" s="14"/>
      <c r="K105" s="14">
        <f t="shared" si="2"/>
        <v>0</v>
      </c>
      <c r="L105" s="16">
        <f t="shared" si="3"/>
        <v>0</v>
      </c>
      <c r="M105" s="22">
        <v>44256</v>
      </c>
      <c r="N105" s="44"/>
      <c r="O105" s="23" t="s">
        <v>16</v>
      </c>
      <c r="P105" s="24"/>
      <c r="Q105" s="28" t="s">
        <v>154</v>
      </c>
    </row>
    <row r="106" spans="1:17">
      <c r="A106" s="14">
        <v>102</v>
      </c>
      <c r="B106" s="15" t="s">
        <v>155</v>
      </c>
      <c r="C106" s="16">
        <f>'Медикаменты Октябрь'!L106</f>
        <v>0</v>
      </c>
      <c r="D106" s="17"/>
      <c r="E106" s="14"/>
      <c r="F106" s="18"/>
      <c r="G106" s="19"/>
      <c r="H106" s="20"/>
      <c r="I106" s="21"/>
      <c r="J106" s="14"/>
      <c r="K106" s="14">
        <f t="shared" si="2"/>
        <v>0</v>
      </c>
      <c r="L106" s="16">
        <f t="shared" si="3"/>
        <v>0</v>
      </c>
      <c r="M106" s="22"/>
      <c r="N106" s="44"/>
      <c r="O106" s="23" t="s">
        <v>16</v>
      </c>
      <c r="P106" s="24"/>
      <c r="Q106" s="45"/>
    </row>
    <row r="107" spans="1:17">
      <c r="A107" s="14">
        <v>103</v>
      </c>
      <c r="B107" s="15" t="s">
        <v>156</v>
      </c>
      <c r="C107" s="16">
        <f>'Медикаменты Октябрь'!L107</f>
        <v>0</v>
      </c>
      <c r="D107" s="17"/>
      <c r="E107" s="14"/>
      <c r="F107" s="18"/>
      <c r="G107" s="19"/>
      <c r="H107" s="20"/>
      <c r="I107" s="21"/>
      <c r="J107" s="14"/>
      <c r="K107" s="14">
        <f t="shared" si="2"/>
        <v>0</v>
      </c>
      <c r="L107" s="16">
        <f t="shared" si="3"/>
        <v>0</v>
      </c>
      <c r="M107" s="22">
        <v>44197</v>
      </c>
      <c r="N107" s="44"/>
      <c r="O107" s="23" t="s">
        <v>16</v>
      </c>
      <c r="P107" s="24"/>
      <c r="Q107" s="28" t="s">
        <v>157</v>
      </c>
    </row>
    <row r="108" spans="1:17">
      <c r="A108" s="14">
        <v>104</v>
      </c>
      <c r="B108" s="15" t="s">
        <v>158</v>
      </c>
      <c r="C108" s="16">
        <f>'Медикаменты Октябрь'!L108</f>
        <v>5</v>
      </c>
      <c r="D108" s="17"/>
      <c r="E108" s="14"/>
      <c r="F108" s="18"/>
      <c r="G108" s="19"/>
      <c r="H108" s="20"/>
      <c r="I108" s="21"/>
      <c r="J108" s="14"/>
      <c r="K108" s="14">
        <f t="shared" si="2"/>
        <v>0</v>
      </c>
      <c r="L108" s="16">
        <f t="shared" si="3"/>
        <v>5</v>
      </c>
      <c r="M108" s="22">
        <v>44774</v>
      </c>
      <c r="N108" s="44" t="s">
        <v>45</v>
      </c>
      <c r="O108" s="23" t="s">
        <v>16</v>
      </c>
      <c r="P108" s="24" t="s">
        <v>17</v>
      </c>
      <c r="Q108" s="28" t="s">
        <v>159</v>
      </c>
    </row>
    <row r="109" spans="1:17">
      <c r="A109" s="14">
        <v>105</v>
      </c>
      <c r="B109" s="15" t="s">
        <v>160</v>
      </c>
      <c r="C109" s="16">
        <f>'Медикаменты Октябрь'!L109</f>
        <v>73</v>
      </c>
      <c r="D109" s="17"/>
      <c r="E109" s="14"/>
      <c r="F109" s="18">
        <f>5</f>
        <v>5</v>
      </c>
      <c r="G109" s="19"/>
      <c r="H109" s="20"/>
      <c r="I109" s="21"/>
      <c r="J109" s="14"/>
      <c r="K109" s="14">
        <f t="shared" si="2"/>
        <v>5</v>
      </c>
      <c r="L109" s="16">
        <f t="shared" si="3"/>
        <v>68</v>
      </c>
      <c r="M109" s="22">
        <v>44805</v>
      </c>
      <c r="N109" s="44" t="s">
        <v>45</v>
      </c>
      <c r="O109" s="23" t="s">
        <v>16</v>
      </c>
      <c r="P109" s="24" t="s">
        <v>17</v>
      </c>
      <c r="Q109" s="28" t="s">
        <v>161</v>
      </c>
    </row>
    <row r="110" spans="1:17">
      <c r="A110" s="14">
        <v>106</v>
      </c>
      <c r="B110" s="15" t="s">
        <v>162</v>
      </c>
      <c r="C110" s="16">
        <f>'Медикаменты Октябрь'!L110</f>
        <v>81</v>
      </c>
      <c r="D110" s="17"/>
      <c r="E110" s="14"/>
      <c r="F110" s="18">
        <f>3</f>
        <v>3</v>
      </c>
      <c r="G110" s="19"/>
      <c r="H110" s="20">
        <f>5</f>
        <v>5</v>
      </c>
      <c r="I110" s="21"/>
      <c r="J110" s="14"/>
      <c r="K110" s="14">
        <f t="shared" si="2"/>
        <v>8</v>
      </c>
      <c r="L110" s="16">
        <f t="shared" si="3"/>
        <v>73</v>
      </c>
      <c r="M110" s="22">
        <v>44742</v>
      </c>
      <c r="N110" s="44" t="s">
        <v>45</v>
      </c>
      <c r="O110" s="23" t="s">
        <v>16</v>
      </c>
      <c r="P110" s="24" t="s">
        <v>17</v>
      </c>
      <c r="Q110" s="28" t="s">
        <v>163</v>
      </c>
    </row>
    <row r="111" spans="1:17">
      <c r="A111" s="14">
        <v>107</v>
      </c>
      <c r="B111" s="15" t="s">
        <v>645</v>
      </c>
      <c r="C111" s="16">
        <f>'Медикаменты Октябрь'!L111</f>
        <v>27</v>
      </c>
      <c r="D111" s="17"/>
      <c r="E111" s="14"/>
      <c r="F111" s="18">
        <f>5</f>
        <v>5</v>
      </c>
      <c r="G111" s="19"/>
      <c r="H111" s="20"/>
      <c r="I111" s="21"/>
      <c r="J111" s="14"/>
      <c r="K111" s="14">
        <f t="shared" si="2"/>
        <v>5</v>
      </c>
      <c r="L111" s="16">
        <f t="shared" si="3"/>
        <v>22</v>
      </c>
      <c r="M111" s="22">
        <v>45261</v>
      </c>
      <c r="N111" s="44" t="s">
        <v>551</v>
      </c>
      <c r="O111" s="23" t="s">
        <v>16</v>
      </c>
      <c r="P111" s="24" t="s">
        <v>17</v>
      </c>
      <c r="Q111" s="28" t="s">
        <v>646</v>
      </c>
    </row>
    <row r="112" spans="1:17">
      <c r="A112" s="14">
        <v>108</v>
      </c>
      <c r="B112" s="15" t="s">
        <v>660</v>
      </c>
      <c r="C112" s="16">
        <f>'Медикаменты Октябрь'!L112</f>
        <v>14</v>
      </c>
      <c r="D112" s="17"/>
      <c r="E112" s="14"/>
      <c r="F112" s="18">
        <f>6</f>
        <v>6</v>
      </c>
      <c r="G112" s="19"/>
      <c r="H112" s="20"/>
      <c r="I112" s="21"/>
      <c r="J112" s="14"/>
      <c r="K112" s="14">
        <f t="shared" si="2"/>
        <v>6</v>
      </c>
      <c r="L112" s="16">
        <f t="shared" si="3"/>
        <v>8</v>
      </c>
      <c r="M112" s="22">
        <v>45046</v>
      </c>
      <c r="N112" s="44" t="s">
        <v>551</v>
      </c>
      <c r="O112" s="23" t="s">
        <v>16</v>
      </c>
      <c r="P112" s="24" t="s">
        <v>17</v>
      </c>
      <c r="Q112" s="28" t="s">
        <v>661</v>
      </c>
    </row>
    <row r="113" spans="1:17">
      <c r="A113" s="14">
        <v>109</v>
      </c>
      <c r="B113" s="15" t="s">
        <v>169</v>
      </c>
      <c r="C113" s="16">
        <f>'Медикаменты Октябрь'!L113</f>
        <v>0</v>
      </c>
      <c r="D113" s="17"/>
      <c r="E113" s="14"/>
      <c r="F113" s="18"/>
      <c r="G113" s="19"/>
      <c r="H113" s="20"/>
      <c r="I113" s="21"/>
      <c r="J113" s="14"/>
      <c r="K113" s="14">
        <f t="shared" si="2"/>
        <v>0</v>
      </c>
      <c r="L113" s="16">
        <f t="shared" si="3"/>
        <v>0</v>
      </c>
      <c r="M113" s="22">
        <v>44197</v>
      </c>
      <c r="N113" s="44"/>
      <c r="O113" s="23" t="s">
        <v>16</v>
      </c>
      <c r="P113" s="24"/>
      <c r="Q113" s="28" t="s">
        <v>170</v>
      </c>
    </row>
    <row r="114" spans="1:17">
      <c r="A114" s="14">
        <v>110</v>
      </c>
      <c r="B114" s="15" t="s">
        <v>171</v>
      </c>
      <c r="C114" s="16">
        <f>'Медикаменты Октябрь'!L114</f>
        <v>0</v>
      </c>
      <c r="D114" s="17"/>
      <c r="E114" s="14"/>
      <c r="F114" s="18"/>
      <c r="G114" s="19"/>
      <c r="H114" s="20"/>
      <c r="I114" s="21"/>
      <c r="J114" s="14"/>
      <c r="K114" s="14">
        <f t="shared" si="2"/>
        <v>0</v>
      </c>
      <c r="L114" s="16">
        <f t="shared" si="3"/>
        <v>0</v>
      </c>
      <c r="M114" s="22"/>
      <c r="N114" s="44"/>
      <c r="O114" s="23" t="s">
        <v>16</v>
      </c>
      <c r="P114" s="24"/>
      <c r="Q114" s="45"/>
    </row>
    <row r="115" spans="1:17">
      <c r="A115" s="14">
        <v>111</v>
      </c>
      <c r="B115" s="15" t="s">
        <v>172</v>
      </c>
      <c r="C115" s="16">
        <f>'Медикаменты Октябрь'!L115</f>
        <v>0</v>
      </c>
      <c r="D115" s="17"/>
      <c r="E115" s="14"/>
      <c r="F115" s="18"/>
      <c r="G115" s="19"/>
      <c r="H115" s="20"/>
      <c r="I115" s="21"/>
      <c r="J115" s="14"/>
      <c r="K115" s="14">
        <f t="shared" si="2"/>
        <v>0</v>
      </c>
      <c r="L115" s="16">
        <f t="shared" si="3"/>
        <v>0</v>
      </c>
      <c r="M115" s="22">
        <v>44287</v>
      </c>
      <c r="N115" s="44"/>
      <c r="O115" s="23" t="s">
        <v>26</v>
      </c>
      <c r="P115" s="24" t="s">
        <v>17</v>
      </c>
      <c r="Q115" s="28" t="s">
        <v>173</v>
      </c>
    </row>
    <row r="116" spans="1:17">
      <c r="A116" s="14">
        <v>112</v>
      </c>
      <c r="B116" s="15" t="s">
        <v>172</v>
      </c>
      <c r="C116" s="16">
        <f>'Медикаменты Октябрь'!L116</f>
        <v>0</v>
      </c>
      <c r="D116" s="17"/>
      <c r="E116" s="14"/>
      <c r="F116" s="18"/>
      <c r="G116" s="19"/>
      <c r="H116" s="20"/>
      <c r="I116" s="21"/>
      <c r="J116" s="14"/>
      <c r="K116" s="14">
        <f t="shared" si="2"/>
        <v>0</v>
      </c>
      <c r="L116" s="16">
        <f t="shared" si="3"/>
        <v>0</v>
      </c>
      <c r="M116" s="22">
        <v>44805</v>
      </c>
      <c r="N116" s="44" t="s">
        <v>45</v>
      </c>
      <c r="O116" s="23" t="s">
        <v>26</v>
      </c>
      <c r="P116" s="24" t="s">
        <v>17</v>
      </c>
      <c r="Q116" s="28" t="s">
        <v>173</v>
      </c>
    </row>
    <row r="117" spans="1:17">
      <c r="A117" s="14">
        <v>113</v>
      </c>
      <c r="B117" s="15" t="s">
        <v>174</v>
      </c>
      <c r="C117" s="16">
        <f>'Медикаменты Октябрь'!L117</f>
        <v>54</v>
      </c>
      <c r="D117" s="17"/>
      <c r="E117" s="14"/>
      <c r="F117" s="18">
        <f>3</f>
        <v>3</v>
      </c>
      <c r="G117" s="19"/>
      <c r="H117" s="20"/>
      <c r="I117" s="21">
        <f>40</f>
        <v>40</v>
      </c>
      <c r="J117" s="14"/>
      <c r="K117" s="14">
        <f t="shared" si="2"/>
        <v>43</v>
      </c>
      <c r="L117" s="16">
        <f t="shared" si="3"/>
        <v>11</v>
      </c>
      <c r="M117" s="22">
        <v>46054</v>
      </c>
      <c r="N117" s="44" t="s">
        <v>551</v>
      </c>
      <c r="O117" s="23" t="s">
        <v>26</v>
      </c>
      <c r="P117" s="24" t="s">
        <v>17</v>
      </c>
      <c r="Q117" s="28" t="s">
        <v>571</v>
      </c>
    </row>
    <row r="118" spans="1:17">
      <c r="A118" s="14">
        <v>114</v>
      </c>
      <c r="B118" s="15" t="s">
        <v>547</v>
      </c>
      <c r="C118" s="16">
        <f>'Медикаменты Октябрь'!L118</f>
        <v>0</v>
      </c>
      <c r="D118" s="17"/>
      <c r="E118" s="14"/>
      <c r="F118" s="18"/>
      <c r="G118" s="19"/>
      <c r="H118" s="20"/>
      <c r="I118" s="21"/>
      <c r="J118" s="14"/>
      <c r="K118" s="14">
        <f t="shared" si="2"/>
        <v>0</v>
      </c>
      <c r="L118" s="16">
        <f t="shared" si="3"/>
        <v>0</v>
      </c>
      <c r="M118" s="22">
        <v>44317</v>
      </c>
      <c r="N118" s="44" t="s">
        <v>45</v>
      </c>
      <c r="O118" s="23" t="s">
        <v>16</v>
      </c>
      <c r="P118" s="24" t="s">
        <v>17</v>
      </c>
      <c r="Q118" s="28" t="s">
        <v>176</v>
      </c>
    </row>
    <row r="119" spans="1:17">
      <c r="A119" s="14">
        <v>115</v>
      </c>
      <c r="B119" s="15" t="s">
        <v>177</v>
      </c>
      <c r="C119" s="16">
        <f>'Медикаменты Октябрь'!L119</f>
        <v>0</v>
      </c>
      <c r="D119" s="17"/>
      <c r="E119" s="14"/>
      <c r="F119" s="18"/>
      <c r="G119" s="19"/>
      <c r="H119" s="20"/>
      <c r="I119" s="21"/>
      <c r="J119" s="14"/>
      <c r="K119" s="14">
        <f t="shared" si="2"/>
        <v>0</v>
      </c>
      <c r="L119" s="16">
        <f t="shared" si="3"/>
        <v>0</v>
      </c>
      <c r="M119" s="22"/>
      <c r="N119" s="44"/>
      <c r="O119" s="23" t="s">
        <v>16</v>
      </c>
      <c r="P119" s="24"/>
      <c r="Q119" s="45"/>
    </row>
    <row r="120" spans="1:17">
      <c r="A120" s="14">
        <v>116</v>
      </c>
      <c r="B120" s="15" t="s">
        <v>627</v>
      </c>
      <c r="C120" s="16">
        <f>'Медикаменты Октябрь'!L120</f>
        <v>170</v>
      </c>
      <c r="D120" s="17"/>
      <c r="E120" s="14"/>
      <c r="F120" s="18">
        <f>5+10+10</f>
        <v>25</v>
      </c>
      <c r="G120" s="19"/>
      <c r="H120" s="20"/>
      <c r="I120" s="21"/>
      <c r="J120" s="14"/>
      <c r="K120" s="14">
        <f t="shared" si="2"/>
        <v>25</v>
      </c>
      <c r="L120" s="16">
        <f t="shared" si="3"/>
        <v>145</v>
      </c>
      <c r="M120" s="22">
        <v>45474</v>
      </c>
      <c r="N120" s="44" t="s">
        <v>551</v>
      </c>
      <c r="O120" s="23" t="s">
        <v>16</v>
      </c>
      <c r="P120" s="24" t="s">
        <v>17</v>
      </c>
      <c r="Q120" s="28" t="s">
        <v>628</v>
      </c>
    </row>
    <row r="121" spans="1:17">
      <c r="A121" s="14">
        <v>117</v>
      </c>
      <c r="B121" s="15" t="s">
        <v>572</v>
      </c>
      <c r="C121" s="16">
        <f>'Медикаменты Октябрь'!L121</f>
        <v>6</v>
      </c>
      <c r="D121" s="17"/>
      <c r="E121" s="14"/>
      <c r="F121" s="18">
        <f>5+1</f>
        <v>6</v>
      </c>
      <c r="G121" s="19"/>
      <c r="H121" s="20"/>
      <c r="I121" s="21"/>
      <c r="J121" s="14"/>
      <c r="K121" s="14">
        <f t="shared" si="2"/>
        <v>6</v>
      </c>
      <c r="L121" s="16">
        <f t="shared" si="3"/>
        <v>0</v>
      </c>
      <c r="M121" s="22">
        <v>45200</v>
      </c>
      <c r="N121" s="44" t="s">
        <v>551</v>
      </c>
      <c r="O121" s="23" t="s">
        <v>16</v>
      </c>
      <c r="P121" s="24" t="s">
        <v>17</v>
      </c>
      <c r="Q121" s="28" t="s">
        <v>181</v>
      </c>
    </row>
    <row r="122" spans="1:17">
      <c r="A122" s="14">
        <v>118</v>
      </c>
      <c r="B122" s="15" t="s">
        <v>182</v>
      </c>
      <c r="C122" s="16">
        <f>'Медикаменты Октябрь'!L122</f>
        <v>0</v>
      </c>
      <c r="D122" s="17"/>
      <c r="E122" s="14"/>
      <c r="F122" s="18"/>
      <c r="G122" s="19"/>
      <c r="H122" s="20"/>
      <c r="I122" s="21"/>
      <c r="J122" s="14"/>
      <c r="K122" s="14">
        <f t="shared" si="2"/>
        <v>0</v>
      </c>
      <c r="L122" s="16">
        <f t="shared" si="3"/>
        <v>0</v>
      </c>
      <c r="M122" s="22">
        <v>44409</v>
      </c>
      <c r="N122" s="44"/>
      <c r="O122" s="23" t="s">
        <v>16</v>
      </c>
      <c r="P122" s="24"/>
      <c r="Q122" s="28" t="s">
        <v>183</v>
      </c>
    </row>
    <row r="123" spans="1:17">
      <c r="A123" s="14">
        <v>119</v>
      </c>
      <c r="B123" s="15" t="s">
        <v>184</v>
      </c>
      <c r="C123" s="16">
        <f>'Медикаменты Октябрь'!L123</f>
        <v>30</v>
      </c>
      <c r="D123" s="17"/>
      <c r="E123" s="14"/>
      <c r="F123" s="18">
        <f>3</f>
        <v>3</v>
      </c>
      <c r="G123" s="19"/>
      <c r="H123" s="20"/>
      <c r="I123" s="21"/>
      <c r="J123" s="14"/>
      <c r="K123" s="14">
        <f t="shared" si="2"/>
        <v>3</v>
      </c>
      <c r="L123" s="16">
        <f t="shared" si="3"/>
        <v>27</v>
      </c>
      <c r="M123" s="22">
        <v>45323</v>
      </c>
      <c r="N123" s="44" t="s">
        <v>551</v>
      </c>
      <c r="O123" s="23" t="s">
        <v>16</v>
      </c>
      <c r="P123" s="24" t="s">
        <v>17</v>
      </c>
      <c r="Q123" s="28" t="s">
        <v>598</v>
      </c>
    </row>
    <row r="124" spans="1:17">
      <c r="A124" s="14">
        <v>120</v>
      </c>
      <c r="B124" s="15" t="s">
        <v>186</v>
      </c>
      <c r="C124" s="16">
        <f>'Медикаменты Октябрь'!L124</f>
        <v>0</v>
      </c>
      <c r="D124" s="17"/>
      <c r="E124" s="14"/>
      <c r="F124" s="18"/>
      <c r="G124" s="19"/>
      <c r="H124" s="20"/>
      <c r="I124" s="21"/>
      <c r="J124" s="14"/>
      <c r="K124" s="14">
        <f t="shared" si="2"/>
        <v>0</v>
      </c>
      <c r="L124" s="16">
        <f t="shared" si="3"/>
        <v>0</v>
      </c>
      <c r="M124" s="22">
        <v>44743</v>
      </c>
      <c r="N124" s="44" t="s">
        <v>45</v>
      </c>
      <c r="O124" s="23" t="s">
        <v>16</v>
      </c>
      <c r="P124" s="24" t="s">
        <v>17</v>
      </c>
      <c r="Q124" s="28" t="s">
        <v>187</v>
      </c>
    </row>
    <row r="125" spans="1:17">
      <c r="A125" s="14">
        <v>121</v>
      </c>
      <c r="B125" s="15" t="s">
        <v>188</v>
      </c>
      <c r="C125" s="16">
        <f>'Медикаменты Октябрь'!L125</f>
        <v>0</v>
      </c>
      <c r="D125" s="17"/>
      <c r="E125" s="14"/>
      <c r="F125" s="18"/>
      <c r="G125" s="19"/>
      <c r="H125" s="20"/>
      <c r="I125" s="21"/>
      <c r="J125" s="14"/>
      <c r="K125" s="14">
        <f t="shared" si="2"/>
        <v>0</v>
      </c>
      <c r="L125" s="16">
        <f t="shared" si="3"/>
        <v>0</v>
      </c>
      <c r="M125" s="22"/>
      <c r="N125" s="44"/>
      <c r="O125" s="23" t="s">
        <v>16</v>
      </c>
      <c r="P125" s="24"/>
      <c r="Q125" s="45"/>
    </row>
    <row r="126" spans="1:17">
      <c r="A126" s="14">
        <v>122</v>
      </c>
      <c r="B126" s="15" t="s">
        <v>189</v>
      </c>
      <c r="C126" s="16">
        <f>'Медикаменты Октябрь'!L126</f>
        <v>0</v>
      </c>
      <c r="D126" s="17"/>
      <c r="E126" s="14"/>
      <c r="F126" s="18"/>
      <c r="G126" s="19"/>
      <c r="H126" s="20"/>
      <c r="I126" s="21"/>
      <c r="J126" s="14"/>
      <c r="K126" s="14">
        <f t="shared" si="2"/>
        <v>0</v>
      </c>
      <c r="L126" s="16">
        <f t="shared" si="3"/>
        <v>0</v>
      </c>
      <c r="M126" s="22">
        <v>44348</v>
      </c>
      <c r="N126" s="44"/>
      <c r="O126" s="23" t="s">
        <v>16</v>
      </c>
      <c r="P126" s="24" t="s">
        <v>45</v>
      </c>
      <c r="Q126" s="28" t="s">
        <v>190</v>
      </c>
    </row>
    <row r="127" spans="1:17">
      <c r="A127" s="14">
        <v>123</v>
      </c>
      <c r="B127" s="15" t="s">
        <v>191</v>
      </c>
      <c r="C127" s="16">
        <f>'Медикаменты Октябрь'!L127</f>
        <v>0</v>
      </c>
      <c r="D127" s="17"/>
      <c r="E127" s="14"/>
      <c r="F127" s="18"/>
      <c r="G127" s="19"/>
      <c r="H127" s="20"/>
      <c r="I127" s="21"/>
      <c r="J127" s="14"/>
      <c r="K127" s="14">
        <f t="shared" si="2"/>
        <v>0</v>
      </c>
      <c r="L127" s="16">
        <f t="shared" si="3"/>
        <v>0</v>
      </c>
      <c r="M127" s="22"/>
      <c r="N127" s="44"/>
      <c r="O127" s="23" t="s">
        <v>16</v>
      </c>
      <c r="P127" s="24"/>
      <c r="Q127" s="45"/>
    </row>
    <row r="128" spans="1:17">
      <c r="A128" s="14">
        <v>124</v>
      </c>
      <c r="B128" s="15" t="s">
        <v>192</v>
      </c>
      <c r="C128" s="16">
        <f>'Медикаменты Октябрь'!L128</f>
        <v>110</v>
      </c>
      <c r="D128" s="17"/>
      <c r="E128" s="14"/>
      <c r="F128" s="18">
        <f>5+10</f>
        <v>15</v>
      </c>
      <c r="G128" s="19"/>
      <c r="H128" s="20"/>
      <c r="I128" s="21"/>
      <c r="J128" s="14"/>
      <c r="K128" s="14">
        <f t="shared" si="2"/>
        <v>15</v>
      </c>
      <c r="L128" s="16">
        <f t="shared" si="3"/>
        <v>95</v>
      </c>
      <c r="M128" s="22">
        <v>45047</v>
      </c>
      <c r="N128" s="44" t="s">
        <v>45</v>
      </c>
      <c r="O128" s="23" t="s">
        <v>16</v>
      </c>
      <c r="P128" s="24" t="s">
        <v>17</v>
      </c>
      <c r="Q128" s="28" t="s">
        <v>193</v>
      </c>
    </row>
    <row r="129" spans="1:17">
      <c r="A129" s="14">
        <v>125</v>
      </c>
      <c r="B129" s="15" t="s">
        <v>192</v>
      </c>
      <c r="C129" s="16">
        <f>'Медикаменты Октябрь'!L129</f>
        <v>0</v>
      </c>
      <c r="D129" s="17"/>
      <c r="E129" s="14"/>
      <c r="F129" s="18"/>
      <c r="G129" s="19"/>
      <c r="H129" s="20"/>
      <c r="I129" s="21"/>
      <c r="J129" s="14"/>
      <c r="K129" s="14">
        <f t="shared" si="2"/>
        <v>0</v>
      </c>
      <c r="L129" s="16">
        <f t="shared" si="3"/>
        <v>0</v>
      </c>
      <c r="M129" s="22">
        <v>45047</v>
      </c>
      <c r="N129" s="44"/>
      <c r="O129" s="23" t="s">
        <v>26</v>
      </c>
      <c r="P129" s="24"/>
      <c r="Q129" s="28" t="s">
        <v>193</v>
      </c>
    </row>
    <row r="130" spans="1:17">
      <c r="A130" s="14">
        <v>126</v>
      </c>
      <c r="B130" s="15" t="s">
        <v>194</v>
      </c>
      <c r="C130" s="16">
        <f>'Медикаменты Октябрь'!L130</f>
        <v>10</v>
      </c>
      <c r="D130" s="17"/>
      <c r="E130" s="14"/>
      <c r="F130" s="18"/>
      <c r="G130" s="19"/>
      <c r="H130" s="20"/>
      <c r="I130" s="21"/>
      <c r="J130" s="14"/>
      <c r="K130" s="14">
        <f t="shared" si="2"/>
        <v>0</v>
      </c>
      <c r="L130" s="16">
        <f t="shared" si="3"/>
        <v>10</v>
      </c>
      <c r="M130" s="22">
        <v>45658</v>
      </c>
      <c r="N130" s="44" t="s">
        <v>45</v>
      </c>
      <c r="O130" s="23" t="s">
        <v>16</v>
      </c>
      <c r="P130" s="24" t="s">
        <v>45</v>
      </c>
      <c r="Q130" s="28" t="s">
        <v>195</v>
      </c>
    </row>
    <row r="131" spans="1:17">
      <c r="A131" s="14">
        <v>127</v>
      </c>
      <c r="B131" s="15" t="s">
        <v>196</v>
      </c>
      <c r="C131" s="16">
        <f>'Медикаменты Октябрь'!L131</f>
        <v>46</v>
      </c>
      <c r="D131" s="17"/>
      <c r="E131" s="14"/>
      <c r="F131" s="18"/>
      <c r="G131" s="19"/>
      <c r="H131" s="20"/>
      <c r="I131" s="21"/>
      <c r="J131" s="14"/>
      <c r="K131" s="14">
        <f t="shared" si="2"/>
        <v>0</v>
      </c>
      <c r="L131" s="16">
        <f t="shared" si="3"/>
        <v>46</v>
      </c>
      <c r="M131" s="22">
        <v>44593</v>
      </c>
      <c r="N131" s="44" t="s">
        <v>45</v>
      </c>
      <c r="O131" s="23" t="s">
        <v>16</v>
      </c>
      <c r="P131" s="24" t="s">
        <v>17</v>
      </c>
      <c r="Q131" s="28" t="s">
        <v>197</v>
      </c>
    </row>
    <row r="132" spans="1:17">
      <c r="A132" s="14">
        <v>128</v>
      </c>
      <c r="B132" s="15" t="s">
        <v>198</v>
      </c>
      <c r="C132" s="16">
        <f>'Медикаменты Октябрь'!L132</f>
        <v>0</v>
      </c>
      <c r="D132" s="17"/>
      <c r="E132" s="14"/>
      <c r="F132" s="18"/>
      <c r="G132" s="19"/>
      <c r="H132" s="20"/>
      <c r="I132" s="21"/>
      <c r="J132" s="14"/>
      <c r="K132" s="14">
        <f t="shared" si="2"/>
        <v>0</v>
      </c>
      <c r="L132" s="16">
        <f t="shared" si="3"/>
        <v>0</v>
      </c>
      <c r="M132" s="22"/>
      <c r="N132" s="44"/>
      <c r="O132" s="23" t="s">
        <v>16</v>
      </c>
      <c r="P132" s="24"/>
      <c r="Q132" s="45"/>
    </row>
    <row r="133" spans="1:17">
      <c r="A133" s="14">
        <v>129</v>
      </c>
      <c r="B133" s="15" t="s">
        <v>599</v>
      </c>
      <c r="C133" s="16">
        <f>'Медикаменты Октябрь'!L133</f>
        <v>78</v>
      </c>
      <c r="D133" s="17"/>
      <c r="E133" s="14"/>
      <c r="F133" s="18"/>
      <c r="G133" s="19"/>
      <c r="H133" s="20"/>
      <c r="I133" s="21"/>
      <c r="J133" s="14"/>
      <c r="K133" s="14">
        <f t="shared" ref="K133:K196" si="4">SUM(F133:J133)</f>
        <v>0</v>
      </c>
      <c r="L133" s="16">
        <f t="shared" ref="L133:L196" si="5">(C133+E133)-K133</f>
        <v>78</v>
      </c>
      <c r="M133" s="22">
        <v>45383</v>
      </c>
      <c r="N133" s="44" t="s">
        <v>551</v>
      </c>
      <c r="O133" s="23" t="s">
        <v>16</v>
      </c>
      <c r="P133" s="24" t="s">
        <v>17</v>
      </c>
      <c r="Q133" s="28" t="s">
        <v>600</v>
      </c>
    </row>
    <row r="134" spans="1:17">
      <c r="A134" s="14">
        <v>130</v>
      </c>
      <c r="B134" s="15" t="s">
        <v>666</v>
      </c>
      <c r="C134" s="16">
        <f>'Медикаменты Октябрь'!L134</f>
        <v>0</v>
      </c>
      <c r="D134" s="17"/>
      <c r="E134" s="14">
        <f>750</f>
        <v>750</v>
      </c>
      <c r="F134" s="18">
        <f>20+30+5</f>
        <v>55</v>
      </c>
      <c r="G134" s="19"/>
      <c r="H134" s="20"/>
      <c r="I134" s="21"/>
      <c r="J134" s="14"/>
      <c r="K134" s="14">
        <f t="shared" si="4"/>
        <v>55</v>
      </c>
      <c r="L134" s="16">
        <f t="shared" si="5"/>
        <v>695</v>
      </c>
      <c r="M134" s="22">
        <v>45444</v>
      </c>
      <c r="N134" s="44" t="s">
        <v>551</v>
      </c>
      <c r="O134" s="23" t="s">
        <v>16</v>
      </c>
      <c r="P134" s="24" t="s">
        <v>17</v>
      </c>
      <c r="Q134" s="28" t="s">
        <v>667</v>
      </c>
    </row>
    <row r="135" spans="1:17">
      <c r="A135" s="14">
        <v>131</v>
      </c>
      <c r="B135" s="15" t="s">
        <v>666</v>
      </c>
      <c r="C135" s="16"/>
      <c r="D135" s="17"/>
      <c r="E135" s="14">
        <f>100</f>
        <v>100</v>
      </c>
      <c r="F135" s="18"/>
      <c r="G135" s="19"/>
      <c r="H135" s="20"/>
      <c r="I135" s="21">
        <f>100</f>
        <v>100</v>
      </c>
      <c r="J135" s="14"/>
      <c r="K135" s="14">
        <f t="shared" si="4"/>
        <v>100</v>
      </c>
      <c r="L135" s="16">
        <f t="shared" si="5"/>
        <v>0</v>
      </c>
      <c r="M135" s="22">
        <v>45444</v>
      </c>
      <c r="N135" s="44" t="s">
        <v>551</v>
      </c>
      <c r="O135" s="23" t="s">
        <v>26</v>
      </c>
      <c r="P135" s="24" t="s">
        <v>17</v>
      </c>
      <c r="Q135" s="28" t="s">
        <v>667</v>
      </c>
    </row>
    <row r="136" spans="1:17">
      <c r="A136" s="14">
        <v>132</v>
      </c>
      <c r="B136" s="15" t="s">
        <v>202</v>
      </c>
      <c r="C136" s="16">
        <f>'Медикаменты Октябрь'!L135</f>
        <v>0</v>
      </c>
      <c r="D136" s="17"/>
      <c r="E136" s="14"/>
      <c r="F136" s="18"/>
      <c r="G136" s="19"/>
      <c r="H136" s="20"/>
      <c r="I136" s="21"/>
      <c r="J136" s="14"/>
      <c r="K136" s="14">
        <f t="shared" si="4"/>
        <v>0</v>
      </c>
      <c r="L136" s="16">
        <f t="shared" si="5"/>
        <v>0</v>
      </c>
      <c r="M136" s="22"/>
      <c r="N136" s="44"/>
      <c r="O136" s="23" t="s">
        <v>16</v>
      </c>
      <c r="P136" s="24"/>
      <c r="Q136" s="45"/>
    </row>
    <row r="137" spans="1:17">
      <c r="A137" s="14">
        <v>133</v>
      </c>
      <c r="B137" s="15" t="s">
        <v>203</v>
      </c>
      <c r="C137" s="16">
        <f>'Медикаменты Октябрь'!L136</f>
        <v>0</v>
      </c>
      <c r="D137" s="17"/>
      <c r="E137" s="14"/>
      <c r="F137" s="18"/>
      <c r="G137" s="19"/>
      <c r="H137" s="20"/>
      <c r="I137" s="21"/>
      <c r="J137" s="14"/>
      <c r="K137" s="14">
        <f t="shared" si="4"/>
        <v>0</v>
      </c>
      <c r="L137" s="16">
        <f t="shared" si="5"/>
        <v>0</v>
      </c>
      <c r="M137" s="22">
        <v>44287</v>
      </c>
      <c r="N137" s="44"/>
      <c r="O137" s="23" t="s">
        <v>16</v>
      </c>
      <c r="P137" s="24"/>
      <c r="Q137" s="28" t="s">
        <v>204</v>
      </c>
    </row>
    <row r="138" spans="1:17">
      <c r="A138" s="14">
        <v>134</v>
      </c>
      <c r="B138" s="15" t="s">
        <v>205</v>
      </c>
      <c r="C138" s="16">
        <f>'Медикаменты Октябрь'!L137</f>
        <v>0</v>
      </c>
      <c r="D138" s="17"/>
      <c r="E138" s="14"/>
      <c r="F138" s="18"/>
      <c r="G138" s="19"/>
      <c r="H138" s="20"/>
      <c r="I138" s="21"/>
      <c r="J138" s="14"/>
      <c r="K138" s="14">
        <f t="shared" si="4"/>
        <v>0</v>
      </c>
      <c r="L138" s="16">
        <f t="shared" si="5"/>
        <v>0</v>
      </c>
      <c r="M138" s="22"/>
      <c r="N138" s="44"/>
      <c r="O138" s="23" t="s">
        <v>16</v>
      </c>
      <c r="P138" s="24"/>
      <c r="Q138" s="45"/>
    </row>
    <row r="139" spans="1:17">
      <c r="A139" s="14">
        <v>135</v>
      </c>
      <c r="B139" s="15" t="s">
        <v>206</v>
      </c>
      <c r="C139" s="16">
        <f>'Медикаменты Октябрь'!L138</f>
        <v>0</v>
      </c>
      <c r="D139" s="17"/>
      <c r="E139" s="14"/>
      <c r="F139" s="18"/>
      <c r="G139" s="19"/>
      <c r="H139" s="20"/>
      <c r="I139" s="21"/>
      <c r="J139" s="14"/>
      <c r="K139" s="14">
        <f t="shared" si="4"/>
        <v>0</v>
      </c>
      <c r="L139" s="16">
        <f t="shared" si="5"/>
        <v>0</v>
      </c>
      <c r="M139" s="22"/>
      <c r="N139" s="44"/>
      <c r="O139" s="23" t="s">
        <v>16</v>
      </c>
      <c r="P139" s="24"/>
      <c r="Q139" s="45"/>
    </row>
    <row r="140" spans="1:17">
      <c r="A140" s="14">
        <v>136</v>
      </c>
      <c r="B140" s="15" t="s">
        <v>207</v>
      </c>
      <c r="C140" s="16">
        <f>'Медикаменты Октябрь'!L139</f>
        <v>0</v>
      </c>
      <c r="D140" s="17"/>
      <c r="E140" s="14"/>
      <c r="F140" s="18"/>
      <c r="G140" s="19"/>
      <c r="H140" s="20"/>
      <c r="I140" s="21"/>
      <c r="J140" s="14"/>
      <c r="K140" s="14">
        <f t="shared" si="4"/>
        <v>0</v>
      </c>
      <c r="L140" s="16">
        <f t="shared" si="5"/>
        <v>0</v>
      </c>
      <c r="M140" s="22"/>
      <c r="N140" s="44"/>
      <c r="O140" s="23" t="s">
        <v>16</v>
      </c>
      <c r="P140" s="24"/>
      <c r="Q140" s="45"/>
    </row>
    <row r="141" spans="1:17">
      <c r="A141" s="14">
        <v>137</v>
      </c>
      <c r="B141" s="15" t="s">
        <v>208</v>
      </c>
      <c r="C141" s="16">
        <f>'Медикаменты Октябрь'!L140</f>
        <v>0</v>
      </c>
      <c r="D141" s="17"/>
      <c r="E141" s="14"/>
      <c r="F141" s="18"/>
      <c r="G141" s="19"/>
      <c r="H141" s="20"/>
      <c r="I141" s="21"/>
      <c r="J141" s="14"/>
      <c r="K141" s="14">
        <f t="shared" si="4"/>
        <v>0</v>
      </c>
      <c r="L141" s="16">
        <f t="shared" si="5"/>
        <v>0</v>
      </c>
      <c r="M141" s="22">
        <v>44986</v>
      </c>
      <c r="N141" s="44" t="s">
        <v>551</v>
      </c>
      <c r="O141" s="23" t="s">
        <v>16</v>
      </c>
      <c r="P141" s="24" t="s">
        <v>17</v>
      </c>
      <c r="Q141" s="28" t="s">
        <v>209</v>
      </c>
    </row>
    <row r="142" spans="1:17">
      <c r="A142" s="14">
        <v>138</v>
      </c>
      <c r="B142" s="15" t="s">
        <v>210</v>
      </c>
      <c r="C142" s="16">
        <f>'Медикаменты Октябрь'!L141</f>
        <v>0</v>
      </c>
      <c r="D142" s="17"/>
      <c r="E142" s="14"/>
      <c r="F142" s="18"/>
      <c r="G142" s="19"/>
      <c r="H142" s="20"/>
      <c r="I142" s="21"/>
      <c r="J142" s="14"/>
      <c r="K142" s="14">
        <f t="shared" si="4"/>
        <v>0</v>
      </c>
      <c r="L142" s="16">
        <f t="shared" si="5"/>
        <v>0</v>
      </c>
      <c r="M142" s="22">
        <v>45413</v>
      </c>
      <c r="N142" s="44" t="s">
        <v>45</v>
      </c>
      <c r="O142" s="23" t="s">
        <v>16</v>
      </c>
      <c r="P142" s="24" t="s">
        <v>17</v>
      </c>
      <c r="Q142" s="28" t="s">
        <v>211</v>
      </c>
    </row>
    <row r="143" spans="1:17">
      <c r="A143" s="14">
        <v>139</v>
      </c>
      <c r="B143" s="15" t="s">
        <v>210</v>
      </c>
      <c r="C143" s="16">
        <f>'Медикаменты Октябрь'!L142</f>
        <v>0</v>
      </c>
      <c r="D143" s="17"/>
      <c r="E143" s="14"/>
      <c r="F143" s="18"/>
      <c r="G143" s="19"/>
      <c r="H143" s="20"/>
      <c r="I143" s="21"/>
      <c r="J143" s="14"/>
      <c r="K143" s="14">
        <f t="shared" si="4"/>
        <v>0</v>
      </c>
      <c r="L143" s="16">
        <f t="shared" si="5"/>
        <v>0</v>
      </c>
      <c r="M143" s="22">
        <v>45413</v>
      </c>
      <c r="N143" s="44" t="s">
        <v>45</v>
      </c>
      <c r="O143" s="23" t="s">
        <v>26</v>
      </c>
      <c r="P143" s="24" t="s">
        <v>17</v>
      </c>
      <c r="Q143" s="28" t="s">
        <v>211</v>
      </c>
    </row>
    <row r="144" spans="1:17">
      <c r="A144" s="14">
        <v>140</v>
      </c>
      <c r="B144" s="15" t="s">
        <v>212</v>
      </c>
      <c r="C144" s="16">
        <f>'Медикаменты Октябрь'!L143</f>
        <v>0</v>
      </c>
      <c r="D144" s="17"/>
      <c r="E144" s="14"/>
      <c r="F144" s="18"/>
      <c r="G144" s="19"/>
      <c r="H144" s="20"/>
      <c r="I144" s="21"/>
      <c r="J144" s="14"/>
      <c r="K144" s="14">
        <f t="shared" si="4"/>
        <v>0</v>
      </c>
      <c r="L144" s="16">
        <f t="shared" si="5"/>
        <v>0</v>
      </c>
      <c r="M144" s="22"/>
      <c r="N144" s="44"/>
      <c r="O144" s="23" t="s">
        <v>16</v>
      </c>
      <c r="P144" s="24"/>
      <c r="Q144" s="45"/>
    </row>
    <row r="145" spans="1:17" ht="26.25">
      <c r="A145" s="14">
        <v>141</v>
      </c>
      <c r="B145" s="15" t="s">
        <v>215</v>
      </c>
      <c r="C145" s="16">
        <f>'Медикаменты Октябрь'!L144</f>
        <v>23</v>
      </c>
      <c r="D145" s="17"/>
      <c r="E145" s="14"/>
      <c r="F145" s="18">
        <f>10</f>
        <v>10</v>
      </c>
      <c r="G145" s="19"/>
      <c r="H145" s="20">
        <f>5</f>
        <v>5</v>
      </c>
      <c r="I145" s="21"/>
      <c r="J145" s="14"/>
      <c r="K145" s="14">
        <f t="shared" si="4"/>
        <v>15</v>
      </c>
      <c r="L145" s="16">
        <f t="shared" si="5"/>
        <v>8</v>
      </c>
      <c r="M145" s="22">
        <v>44986</v>
      </c>
      <c r="N145" s="44" t="s">
        <v>551</v>
      </c>
      <c r="O145" s="23" t="s">
        <v>16</v>
      </c>
      <c r="P145" s="24" t="s">
        <v>17</v>
      </c>
      <c r="Q145" s="28" t="s">
        <v>214</v>
      </c>
    </row>
    <row r="146" spans="1:17" ht="26.25">
      <c r="A146" s="14">
        <v>142</v>
      </c>
      <c r="B146" s="15" t="s">
        <v>215</v>
      </c>
      <c r="C146" s="16">
        <f>'Медикаменты Октябрь'!L145</f>
        <v>0</v>
      </c>
      <c r="D146" s="17"/>
      <c r="E146" s="14"/>
      <c r="F146" s="18"/>
      <c r="G146" s="19"/>
      <c r="H146" s="20"/>
      <c r="I146" s="21"/>
      <c r="J146" s="14"/>
      <c r="K146" s="14">
        <f t="shared" si="4"/>
        <v>0</v>
      </c>
      <c r="L146" s="16">
        <f t="shared" si="5"/>
        <v>0</v>
      </c>
      <c r="M146" s="22">
        <v>44986</v>
      </c>
      <c r="N146" s="44" t="s">
        <v>551</v>
      </c>
      <c r="O146" s="23" t="s">
        <v>26</v>
      </c>
      <c r="P146" s="24" t="s">
        <v>17</v>
      </c>
      <c r="Q146" s="28" t="s">
        <v>214</v>
      </c>
    </row>
    <row r="147" spans="1:17" ht="26.25">
      <c r="A147" s="14">
        <v>143</v>
      </c>
      <c r="B147" s="15" t="s">
        <v>216</v>
      </c>
      <c r="C147" s="16">
        <f>'Медикаменты Октябрь'!L146</f>
        <v>0</v>
      </c>
      <c r="D147" s="17"/>
      <c r="E147" s="14"/>
      <c r="F147" s="18"/>
      <c r="G147" s="19"/>
      <c r="H147" s="20"/>
      <c r="I147" s="21"/>
      <c r="J147" s="14"/>
      <c r="K147" s="14">
        <f t="shared" si="4"/>
        <v>0</v>
      </c>
      <c r="L147" s="16">
        <f t="shared" si="5"/>
        <v>0</v>
      </c>
      <c r="M147" s="22">
        <v>44805</v>
      </c>
      <c r="N147" s="44" t="s">
        <v>45</v>
      </c>
      <c r="O147" s="23" t="s">
        <v>16</v>
      </c>
      <c r="P147" s="24" t="s">
        <v>17</v>
      </c>
      <c r="Q147" s="28" t="s">
        <v>217</v>
      </c>
    </row>
    <row r="148" spans="1:17" ht="26.25">
      <c r="A148" s="14">
        <v>144</v>
      </c>
      <c r="B148" s="15" t="s">
        <v>216</v>
      </c>
      <c r="C148" s="16">
        <f>'Медикаменты Октябрь'!L147</f>
        <v>5</v>
      </c>
      <c r="D148" s="17"/>
      <c r="E148" s="14"/>
      <c r="F148" s="18"/>
      <c r="G148" s="19"/>
      <c r="H148" s="20"/>
      <c r="I148" s="21"/>
      <c r="J148" s="14"/>
      <c r="K148" s="14">
        <f t="shared" si="4"/>
        <v>0</v>
      </c>
      <c r="L148" s="16">
        <f t="shared" si="5"/>
        <v>5</v>
      </c>
      <c r="M148" s="22">
        <v>45292</v>
      </c>
      <c r="N148" s="44" t="s">
        <v>551</v>
      </c>
      <c r="O148" s="23" t="s">
        <v>16</v>
      </c>
      <c r="P148" s="24" t="s">
        <v>17</v>
      </c>
      <c r="Q148" s="28" t="s">
        <v>217</v>
      </c>
    </row>
    <row r="149" spans="1:17">
      <c r="A149" s="14">
        <v>145</v>
      </c>
      <c r="B149" s="15" t="s">
        <v>218</v>
      </c>
      <c r="C149" s="16">
        <f>'Медикаменты Октябрь'!L148</f>
        <v>0</v>
      </c>
      <c r="D149" s="17"/>
      <c r="E149" s="14"/>
      <c r="F149" s="18"/>
      <c r="G149" s="19"/>
      <c r="H149" s="20"/>
      <c r="I149" s="21"/>
      <c r="J149" s="14"/>
      <c r="K149" s="14">
        <f t="shared" si="4"/>
        <v>0</v>
      </c>
      <c r="L149" s="16">
        <f t="shared" si="5"/>
        <v>0</v>
      </c>
      <c r="M149" s="22"/>
      <c r="N149" s="44"/>
      <c r="O149" s="23" t="s">
        <v>16</v>
      </c>
      <c r="P149" s="24"/>
      <c r="Q149" s="45"/>
    </row>
    <row r="150" spans="1:17">
      <c r="A150" s="14">
        <v>146</v>
      </c>
      <c r="B150" s="15" t="s">
        <v>219</v>
      </c>
      <c r="C150" s="16">
        <f>'Медикаменты Октябрь'!L149</f>
        <v>0</v>
      </c>
      <c r="D150" s="17"/>
      <c r="E150" s="14"/>
      <c r="F150" s="18"/>
      <c r="G150" s="19"/>
      <c r="H150" s="20"/>
      <c r="I150" s="21"/>
      <c r="J150" s="14"/>
      <c r="K150" s="14">
        <f t="shared" si="4"/>
        <v>0</v>
      </c>
      <c r="L150" s="16">
        <f t="shared" si="5"/>
        <v>0</v>
      </c>
      <c r="M150" s="22"/>
      <c r="N150" s="44"/>
      <c r="O150" s="23" t="s">
        <v>16</v>
      </c>
      <c r="P150" s="24"/>
      <c r="Q150" s="45"/>
    </row>
    <row r="151" spans="1:17">
      <c r="A151" s="14">
        <v>147</v>
      </c>
      <c r="B151" s="15" t="s">
        <v>220</v>
      </c>
      <c r="C151" s="16">
        <f>'Медикаменты Октябрь'!L150</f>
        <v>80</v>
      </c>
      <c r="D151" s="17"/>
      <c r="E151" s="14"/>
      <c r="F151" s="18">
        <f>10</f>
        <v>10</v>
      </c>
      <c r="G151" s="19"/>
      <c r="H151" s="20"/>
      <c r="I151" s="21"/>
      <c r="J151" s="14"/>
      <c r="K151" s="14">
        <f t="shared" si="4"/>
        <v>10</v>
      </c>
      <c r="L151" s="16">
        <f t="shared" si="5"/>
        <v>70</v>
      </c>
      <c r="M151" s="22">
        <v>44927</v>
      </c>
      <c r="N151" s="44" t="s">
        <v>551</v>
      </c>
      <c r="O151" s="23" t="s">
        <v>16</v>
      </c>
      <c r="P151" s="24" t="s">
        <v>17</v>
      </c>
      <c r="Q151" s="28" t="s">
        <v>221</v>
      </c>
    </row>
    <row r="152" spans="1:17">
      <c r="A152" s="14">
        <v>148</v>
      </c>
      <c r="B152" s="15" t="s">
        <v>222</v>
      </c>
      <c r="C152" s="16">
        <f>'Медикаменты Октябрь'!L151</f>
        <v>30</v>
      </c>
      <c r="D152" s="17"/>
      <c r="E152" s="14"/>
      <c r="F152" s="18"/>
      <c r="G152" s="19"/>
      <c r="H152" s="20"/>
      <c r="I152" s="21"/>
      <c r="J152" s="14"/>
      <c r="K152" s="14">
        <f t="shared" si="4"/>
        <v>0</v>
      </c>
      <c r="L152" s="16">
        <f t="shared" si="5"/>
        <v>30</v>
      </c>
      <c r="M152" s="22">
        <v>44866</v>
      </c>
      <c r="N152" s="44" t="s">
        <v>551</v>
      </c>
      <c r="O152" s="23" t="s">
        <v>16</v>
      </c>
      <c r="P152" s="24" t="s">
        <v>17</v>
      </c>
      <c r="Q152" s="28" t="s">
        <v>223</v>
      </c>
    </row>
    <row r="153" spans="1:17">
      <c r="A153" s="14">
        <v>149</v>
      </c>
      <c r="B153" s="15" t="s">
        <v>224</v>
      </c>
      <c r="C153" s="16">
        <f>'Медикаменты Октябрь'!L152</f>
        <v>40</v>
      </c>
      <c r="D153" s="17"/>
      <c r="E153" s="14"/>
      <c r="F153" s="18">
        <f>10</f>
        <v>10</v>
      </c>
      <c r="G153" s="19"/>
      <c r="H153" s="20"/>
      <c r="I153" s="21"/>
      <c r="J153" s="14"/>
      <c r="K153" s="14">
        <f t="shared" si="4"/>
        <v>10</v>
      </c>
      <c r="L153" s="16">
        <f t="shared" si="5"/>
        <v>30</v>
      </c>
      <c r="M153" s="22">
        <v>46023</v>
      </c>
      <c r="N153" s="44" t="s">
        <v>551</v>
      </c>
      <c r="O153" s="23" t="s">
        <v>16</v>
      </c>
      <c r="P153" s="24" t="s">
        <v>17</v>
      </c>
      <c r="Q153" s="28" t="s">
        <v>225</v>
      </c>
    </row>
    <row r="154" spans="1:17">
      <c r="A154" s="14">
        <v>150</v>
      </c>
      <c r="B154" s="15" t="s">
        <v>226</v>
      </c>
      <c r="C154" s="16">
        <f>'Медикаменты Октябрь'!L153</f>
        <v>0</v>
      </c>
      <c r="D154" s="17"/>
      <c r="E154" s="14"/>
      <c r="F154" s="18"/>
      <c r="G154" s="19"/>
      <c r="H154" s="20"/>
      <c r="I154" s="21"/>
      <c r="J154" s="14"/>
      <c r="K154" s="14">
        <f t="shared" si="4"/>
        <v>0</v>
      </c>
      <c r="L154" s="16">
        <f t="shared" si="5"/>
        <v>0</v>
      </c>
      <c r="M154" s="22"/>
      <c r="N154" s="44"/>
      <c r="O154" s="23" t="s">
        <v>16</v>
      </c>
      <c r="P154" s="24"/>
      <c r="Q154" s="45"/>
    </row>
    <row r="155" spans="1:17">
      <c r="A155" s="14">
        <v>151</v>
      </c>
      <c r="B155" s="15" t="s">
        <v>227</v>
      </c>
      <c r="C155" s="16">
        <f>'Медикаменты Октябрь'!L154</f>
        <v>0</v>
      </c>
      <c r="D155" s="17"/>
      <c r="E155" s="14"/>
      <c r="F155" s="18"/>
      <c r="G155" s="19"/>
      <c r="H155" s="20"/>
      <c r="I155" s="21"/>
      <c r="J155" s="14"/>
      <c r="K155" s="14">
        <f t="shared" si="4"/>
        <v>0</v>
      </c>
      <c r="L155" s="16">
        <f t="shared" si="5"/>
        <v>0</v>
      </c>
      <c r="M155" s="22">
        <v>44562</v>
      </c>
      <c r="N155" s="44"/>
      <c r="O155" s="23" t="s">
        <v>16</v>
      </c>
      <c r="P155" s="24"/>
      <c r="Q155" s="28" t="s">
        <v>228</v>
      </c>
    </row>
    <row r="156" spans="1:17">
      <c r="A156" s="14">
        <v>152</v>
      </c>
      <c r="B156" s="15" t="s">
        <v>229</v>
      </c>
      <c r="C156" s="16">
        <f>'Медикаменты Октябрь'!L155</f>
        <v>10</v>
      </c>
      <c r="D156" s="17"/>
      <c r="E156" s="14"/>
      <c r="F156" s="18"/>
      <c r="G156" s="19"/>
      <c r="H156" s="20"/>
      <c r="I156" s="21"/>
      <c r="J156" s="14"/>
      <c r="K156" s="14">
        <f t="shared" si="4"/>
        <v>0</v>
      </c>
      <c r="L156" s="16">
        <f t="shared" si="5"/>
        <v>10</v>
      </c>
      <c r="M156" s="22">
        <v>44986</v>
      </c>
      <c r="N156" s="44" t="s">
        <v>45</v>
      </c>
      <c r="O156" s="23" t="s">
        <v>16</v>
      </c>
      <c r="P156" s="24" t="s">
        <v>17</v>
      </c>
      <c r="Q156" s="28" t="s">
        <v>230</v>
      </c>
    </row>
    <row r="157" spans="1:17">
      <c r="A157" s="14">
        <v>153</v>
      </c>
      <c r="B157" s="15" t="s">
        <v>231</v>
      </c>
      <c r="C157" s="16">
        <f>'Медикаменты Октябрь'!L156</f>
        <v>0</v>
      </c>
      <c r="D157" s="17"/>
      <c r="E157" s="14"/>
      <c r="F157" s="18"/>
      <c r="G157" s="19"/>
      <c r="H157" s="20"/>
      <c r="I157" s="21"/>
      <c r="J157" s="14"/>
      <c r="K157" s="14">
        <f t="shared" si="4"/>
        <v>0</v>
      </c>
      <c r="L157" s="16">
        <f t="shared" si="5"/>
        <v>0</v>
      </c>
      <c r="M157" s="22"/>
      <c r="N157" s="44"/>
      <c r="O157" s="23" t="s">
        <v>16</v>
      </c>
      <c r="P157" s="24"/>
      <c r="Q157" s="45"/>
    </row>
    <row r="158" spans="1:17">
      <c r="A158" s="14">
        <v>154</v>
      </c>
      <c r="B158" s="15" t="s">
        <v>232</v>
      </c>
      <c r="C158" s="16">
        <f>'Медикаменты Октябрь'!L157</f>
        <v>0</v>
      </c>
      <c r="D158" s="17"/>
      <c r="E158" s="14"/>
      <c r="F158" s="18"/>
      <c r="G158" s="19"/>
      <c r="H158" s="20"/>
      <c r="I158" s="21"/>
      <c r="J158" s="14"/>
      <c r="K158" s="14">
        <f t="shared" si="4"/>
        <v>0</v>
      </c>
      <c r="L158" s="16">
        <f t="shared" si="5"/>
        <v>0</v>
      </c>
      <c r="M158" s="22"/>
      <c r="N158" s="44"/>
      <c r="O158" s="23" t="s">
        <v>16</v>
      </c>
      <c r="P158" s="24"/>
      <c r="Q158" s="45"/>
    </row>
    <row r="159" spans="1:17">
      <c r="A159" s="14">
        <v>155</v>
      </c>
      <c r="B159" s="15" t="s">
        <v>233</v>
      </c>
      <c r="C159" s="16">
        <f>'Медикаменты Октябрь'!L158</f>
        <v>0</v>
      </c>
      <c r="D159" s="17"/>
      <c r="E159" s="14"/>
      <c r="F159" s="18"/>
      <c r="G159" s="19"/>
      <c r="H159" s="20"/>
      <c r="I159" s="21"/>
      <c r="J159" s="14"/>
      <c r="K159" s="14">
        <f t="shared" si="4"/>
        <v>0</v>
      </c>
      <c r="L159" s="16">
        <f t="shared" si="5"/>
        <v>0</v>
      </c>
      <c r="M159" s="22">
        <v>44287</v>
      </c>
      <c r="N159" s="44"/>
      <c r="O159" s="23" t="s">
        <v>16</v>
      </c>
      <c r="P159" s="24" t="s">
        <v>45</v>
      </c>
      <c r="Q159" s="28" t="s">
        <v>234</v>
      </c>
    </row>
    <row r="160" spans="1:17">
      <c r="A160" s="14">
        <v>156</v>
      </c>
      <c r="B160" s="15" t="s">
        <v>235</v>
      </c>
      <c r="C160" s="16">
        <f>'Медикаменты Октябрь'!L159</f>
        <v>0</v>
      </c>
      <c r="D160" s="17"/>
      <c r="E160" s="14"/>
      <c r="F160" s="18"/>
      <c r="G160" s="19"/>
      <c r="H160" s="20"/>
      <c r="I160" s="21"/>
      <c r="J160" s="14"/>
      <c r="K160" s="14">
        <f t="shared" si="4"/>
        <v>0</v>
      </c>
      <c r="L160" s="16">
        <f t="shared" si="5"/>
        <v>0</v>
      </c>
      <c r="M160" s="22"/>
      <c r="N160" s="44"/>
      <c r="O160" s="23" t="s">
        <v>16</v>
      </c>
      <c r="P160" s="24"/>
      <c r="Q160" s="45"/>
    </row>
    <row r="161" spans="1:17">
      <c r="A161" s="14">
        <v>157</v>
      </c>
      <c r="B161" s="15" t="s">
        <v>236</v>
      </c>
      <c r="C161" s="16">
        <f>'Медикаменты Октябрь'!L160</f>
        <v>67</v>
      </c>
      <c r="D161" s="17"/>
      <c r="E161" s="14"/>
      <c r="F161" s="18">
        <f>5</f>
        <v>5</v>
      </c>
      <c r="G161" s="19"/>
      <c r="H161" s="20"/>
      <c r="I161" s="21"/>
      <c r="J161" s="14"/>
      <c r="K161" s="14">
        <f t="shared" si="4"/>
        <v>5</v>
      </c>
      <c r="L161" s="16">
        <f t="shared" si="5"/>
        <v>62</v>
      </c>
      <c r="M161" s="22">
        <v>44593</v>
      </c>
      <c r="N161" s="44" t="s">
        <v>45</v>
      </c>
      <c r="O161" s="23" t="s">
        <v>16</v>
      </c>
      <c r="P161" s="24" t="s">
        <v>45</v>
      </c>
      <c r="Q161" s="28" t="s">
        <v>237</v>
      </c>
    </row>
    <row r="162" spans="1:17">
      <c r="A162" s="14">
        <v>158</v>
      </c>
      <c r="B162" s="15" t="s">
        <v>238</v>
      </c>
      <c r="C162" s="16">
        <f>'Медикаменты Октябрь'!L161</f>
        <v>0</v>
      </c>
      <c r="D162" s="17"/>
      <c r="E162" s="14"/>
      <c r="F162" s="18"/>
      <c r="G162" s="19"/>
      <c r="H162" s="20"/>
      <c r="I162" s="21"/>
      <c r="J162" s="14"/>
      <c r="K162" s="14">
        <f t="shared" si="4"/>
        <v>0</v>
      </c>
      <c r="L162" s="16">
        <f t="shared" si="5"/>
        <v>0</v>
      </c>
      <c r="M162" s="22"/>
      <c r="N162" s="44"/>
      <c r="O162" s="23" t="s">
        <v>16</v>
      </c>
      <c r="P162" s="24"/>
      <c r="Q162" s="45"/>
    </row>
    <row r="163" spans="1:17">
      <c r="A163" s="14">
        <v>159</v>
      </c>
      <c r="B163" s="15" t="s">
        <v>239</v>
      </c>
      <c r="C163" s="16">
        <f>'Медикаменты Октябрь'!L162</f>
        <v>5</v>
      </c>
      <c r="D163" s="17"/>
      <c r="E163" s="14"/>
      <c r="F163" s="18"/>
      <c r="G163" s="19"/>
      <c r="H163" s="20"/>
      <c r="I163" s="21"/>
      <c r="J163" s="14"/>
      <c r="K163" s="14">
        <f t="shared" si="4"/>
        <v>0</v>
      </c>
      <c r="L163" s="16">
        <f t="shared" si="5"/>
        <v>5</v>
      </c>
      <c r="M163" s="22">
        <v>45413</v>
      </c>
      <c r="N163" s="44" t="s">
        <v>551</v>
      </c>
      <c r="O163" s="23" t="s">
        <v>16</v>
      </c>
      <c r="P163" s="24" t="s">
        <v>17</v>
      </c>
      <c r="Q163" s="28" t="s">
        <v>629</v>
      </c>
    </row>
    <row r="164" spans="1:17">
      <c r="A164" s="14">
        <v>160</v>
      </c>
      <c r="B164" s="15" t="s">
        <v>239</v>
      </c>
      <c r="C164" s="16">
        <f>'Медикаменты Октябрь'!L163</f>
        <v>0</v>
      </c>
      <c r="D164" s="17"/>
      <c r="E164" s="14"/>
      <c r="F164" s="18"/>
      <c r="G164" s="19"/>
      <c r="H164" s="20"/>
      <c r="I164" s="21"/>
      <c r="J164" s="14"/>
      <c r="K164" s="14">
        <f t="shared" si="4"/>
        <v>0</v>
      </c>
      <c r="L164" s="16">
        <f t="shared" si="5"/>
        <v>0</v>
      </c>
      <c r="M164" s="22">
        <v>45413</v>
      </c>
      <c r="N164" s="44" t="s">
        <v>551</v>
      </c>
      <c r="O164" s="23" t="s">
        <v>26</v>
      </c>
      <c r="P164" s="24" t="s">
        <v>17</v>
      </c>
      <c r="Q164" s="28" t="s">
        <v>629</v>
      </c>
    </row>
    <row r="165" spans="1:17">
      <c r="A165" s="14">
        <v>161</v>
      </c>
      <c r="B165" s="15" t="s">
        <v>240</v>
      </c>
      <c r="C165" s="16">
        <f>'Медикаменты Октябрь'!L164</f>
        <v>60</v>
      </c>
      <c r="D165" s="17"/>
      <c r="E165" s="14"/>
      <c r="F165" s="18">
        <f>10</f>
        <v>10</v>
      </c>
      <c r="G165" s="19"/>
      <c r="H165" s="20"/>
      <c r="I165" s="21"/>
      <c r="J165" s="14"/>
      <c r="K165" s="14">
        <f t="shared" si="4"/>
        <v>10</v>
      </c>
      <c r="L165" s="16">
        <f t="shared" si="5"/>
        <v>50</v>
      </c>
      <c r="M165" s="22">
        <v>44652</v>
      </c>
      <c r="N165" s="44" t="s">
        <v>45</v>
      </c>
      <c r="O165" s="23" t="s">
        <v>16</v>
      </c>
      <c r="P165" s="24" t="s">
        <v>17</v>
      </c>
      <c r="Q165" s="28" t="s">
        <v>241</v>
      </c>
    </row>
    <row r="166" spans="1:17">
      <c r="A166" s="14">
        <v>162</v>
      </c>
      <c r="B166" s="15" t="s">
        <v>240</v>
      </c>
      <c r="C166" s="16">
        <f>'Медикаменты Октябрь'!L165</f>
        <v>150</v>
      </c>
      <c r="D166" s="17"/>
      <c r="E166" s="14"/>
      <c r="F166" s="18"/>
      <c r="G166" s="19"/>
      <c r="H166" s="20"/>
      <c r="I166" s="21"/>
      <c r="J166" s="14"/>
      <c r="K166" s="14">
        <f t="shared" si="4"/>
        <v>0</v>
      </c>
      <c r="L166" s="16">
        <f t="shared" si="5"/>
        <v>150</v>
      </c>
      <c r="M166" s="22">
        <v>44866</v>
      </c>
      <c r="N166" s="44" t="s">
        <v>551</v>
      </c>
      <c r="O166" s="23" t="s">
        <v>16</v>
      </c>
      <c r="P166" s="24" t="s">
        <v>17</v>
      </c>
      <c r="Q166" s="28" t="s">
        <v>241</v>
      </c>
    </row>
    <row r="167" spans="1:17">
      <c r="A167" s="14">
        <v>163</v>
      </c>
      <c r="B167" s="15" t="s">
        <v>242</v>
      </c>
      <c r="C167" s="16">
        <f>'Медикаменты Октябрь'!L166</f>
        <v>0</v>
      </c>
      <c r="D167" s="17"/>
      <c r="E167" s="14"/>
      <c r="F167" s="18"/>
      <c r="G167" s="19"/>
      <c r="H167" s="20"/>
      <c r="I167" s="21"/>
      <c r="J167" s="14"/>
      <c r="K167" s="14">
        <f t="shared" si="4"/>
        <v>0</v>
      </c>
      <c r="L167" s="16">
        <f t="shared" si="5"/>
        <v>0</v>
      </c>
      <c r="M167" s="22"/>
      <c r="N167" s="44"/>
      <c r="O167" s="23" t="s">
        <v>16</v>
      </c>
      <c r="P167" s="24"/>
      <c r="Q167" s="45"/>
    </row>
    <row r="168" spans="1:17" ht="26.25">
      <c r="A168" s="14">
        <v>164</v>
      </c>
      <c r="B168" s="15" t="s">
        <v>243</v>
      </c>
      <c r="C168" s="16">
        <f>'Медикаменты Октябрь'!L167</f>
        <v>121</v>
      </c>
      <c r="D168" s="17"/>
      <c r="E168" s="14"/>
      <c r="F168" s="18"/>
      <c r="G168" s="19"/>
      <c r="H168" s="20"/>
      <c r="I168" s="21"/>
      <c r="J168" s="14"/>
      <c r="K168" s="14">
        <f t="shared" si="4"/>
        <v>0</v>
      </c>
      <c r="L168" s="16">
        <f t="shared" si="5"/>
        <v>121</v>
      </c>
      <c r="M168" s="22">
        <v>44621</v>
      </c>
      <c r="N168" s="44" t="s">
        <v>45</v>
      </c>
      <c r="O168" s="23" t="s">
        <v>16</v>
      </c>
      <c r="P168" s="24" t="s">
        <v>17</v>
      </c>
      <c r="Q168" s="28" t="s">
        <v>244</v>
      </c>
    </row>
    <row r="169" spans="1:17">
      <c r="A169" s="14">
        <v>165</v>
      </c>
      <c r="B169" s="15" t="s">
        <v>245</v>
      </c>
      <c r="C169" s="16">
        <f>'Медикаменты Октябрь'!L168</f>
        <v>0</v>
      </c>
      <c r="D169" s="17"/>
      <c r="E169" s="14"/>
      <c r="F169" s="18"/>
      <c r="G169" s="19"/>
      <c r="H169" s="20"/>
      <c r="I169" s="21"/>
      <c r="J169" s="14"/>
      <c r="K169" s="14">
        <f t="shared" si="4"/>
        <v>0</v>
      </c>
      <c r="L169" s="16">
        <f t="shared" si="5"/>
        <v>0</v>
      </c>
      <c r="M169" s="22"/>
      <c r="N169" s="44"/>
      <c r="O169" s="23" t="s">
        <v>16</v>
      </c>
      <c r="P169" s="24"/>
      <c r="Q169" s="45"/>
    </row>
    <row r="170" spans="1:17">
      <c r="A170" s="14">
        <v>166</v>
      </c>
      <c r="B170" s="15" t="s">
        <v>246</v>
      </c>
      <c r="C170" s="16">
        <f>'Медикаменты Октябрь'!L169</f>
        <v>0</v>
      </c>
      <c r="D170" s="17"/>
      <c r="E170" s="14"/>
      <c r="F170" s="18"/>
      <c r="G170" s="19"/>
      <c r="H170" s="20"/>
      <c r="I170" s="21"/>
      <c r="J170" s="14"/>
      <c r="K170" s="14">
        <f t="shared" si="4"/>
        <v>0</v>
      </c>
      <c r="L170" s="16">
        <f t="shared" si="5"/>
        <v>0</v>
      </c>
      <c r="M170" s="22"/>
      <c r="N170" s="44"/>
      <c r="O170" s="23" t="s">
        <v>16</v>
      </c>
      <c r="P170" s="24"/>
      <c r="Q170" s="45"/>
    </row>
    <row r="171" spans="1:17">
      <c r="A171" s="14">
        <v>167</v>
      </c>
      <c r="B171" s="15" t="s">
        <v>247</v>
      </c>
      <c r="C171" s="16">
        <f>'Медикаменты Октябрь'!L170</f>
        <v>0</v>
      </c>
      <c r="D171" s="17"/>
      <c r="E171" s="14"/>
      <c r="F171" s="18"/>
      <c r="G171" s="19"/>
      <c r="H171" s="20"/>
      <c r="I171" s="21"/>
      <c r="J171" s="14"/>
      <c r="K171" s="14">
        <f t="shared" si="4"/>
        <v>0</v>
      </c>
      <c r="L171" s="16">
        <f t="shared" si="5"/>
        <v>0</v>
      </c>
      <c r="M171" s="22"/>
      <c r="N171" s="44"/>
      <c r="O171" s="23" t="s">
        <v>16</v>
      </c>
      <c r="P171" s="24"/>
      <c r="Q171" s="45"/>
    </row>
    <row r="172" spans="1:17">
      <c r="A172" s="14">
        <v>168</v>
      </c>
      <c r="B172" s="15" t="s">
        <v>248</v>
      </c>
      <c r="C172" s="16">
        <f>'Медикаменты Октябрь'!L171</f>
        <v>0</v>
      </c>
      <c r="D172" s="17"/>
      <c r="E172" s="14"/>
      <c r="F172" s="18"/>
      <c r="G172" s="19"/>
      <c r="H172" s="20"/>
      <c r="I172" s="21"/>
      <c r="J172" s="14"/>
      <c r="K172" s="14">
        <f t="shared" si="4"/>
        <v>0</v>
      </c>
      <c r="L172" s="16">
        <f t="shared" si="5"/>
        <v>0</v>
      </c>
      <c r="M172" s="22"/>
      <c r="N172" s="44"/>
      <c r="O172" s="23" t="s">
        <v>16</v>
      </c>
      <c r="P172" s="24"/>
      <c r="Q172" s="45"/>
    </row>
    <row r="173" spans="1:17">
      <c r="A173" s="14">
        <v>169</v>
      </c>
      <c r="B173" s="15" t="s">
        <v>249</v>
      </c>
      <c r="C173" s="16">
        <f>'Медикаменты Октябрь'!L172</f>
        <v>0</v>
      </c>
      <c r="D173" s="17"/>
      <c r="E173" s="14"/>
      <c r="F173" s="18"/>
      <c r="G173" s="19"/>
      <c r="H173" s="20"/>
      <c r="I173" s="21"/>
      <c r="J173" s="14"/>
      <c r="K173" s="14">
        <f t="shared" si="4"/>
        <v>0</v>
      </c>
      <c r="L173" s="16">
        <f t="shared" si="5"/>
        <v>0</v>
      </c>
      <c r="M173" s="22"/>
      <c r="N173" s="44"/>
      <c r="O173" s="23" t="s">
        <v>16</v>
      </c>
      <c r="P173" s="24"/>
      <c r="Q173" s="45"/>
    </row>
    <row r="174" spans="1:17">
      <c r="A174" s="14">
        <v>170</v>
      </c>
      <c r="B174" s="15" t="s">
        <v>250</v>
      </c>
      <c r="C174" s="16">
        <f>'Медикаменты Октябрь'!L173</f>
        <v>0</v>
      </c>
      <c r="D174" s="17"/>
      <c r="E174" s="14"/>
      <c r="F174" s="18"/>
      <c r="G174" s="19"/>
      <c r="H174" s="20"/>
      <c r="I174" s="21"/>
      <c r="J174" s="14"/>
      <c r="K174" s="14">
        <f t="shared" si="4"/>
        <v>0</v>
      </c>
      <c r="L174" s="16">
        <f t="shared" si="5"/>
        <v>0</v>
      </c>
      <c r="M174" s="22"/>
      <c r="N174" s="44"/>
      <c r="O174" s="23" t="s">
        <v>16</v>
      </c>
      <c r="P174" s="24"/>
      <c r="Q174" s="45"/>
    </row>
    <row r="175" spans="1:17">
      <c r="A175" s="14">
        <v>171</v>
      </c>
      <c r="B175" s="15" t="s">
        <v>251</v>
      </c>
      <c r="C175" s="16">
        <f>'Медикаменты Октябрь'!L174</f>
        <v>0</v>
      </c>
      <c r="D175" s="17"/>
      <c r="E175" s="14"/>
      <c r="F175" s="18"/>
      <c r="G175" s="19"/>
      <c r="H175" s="20"/>
      <c r="I175" s="21"/>
      <c r="J175" s="14"/>
      <c r="K175" s="14">
        <f t="shared" si="4"/>
        <v>0</v>
      </c>
      <c r="L175" s="16">
        <f t="shared" si="5"/>
        <v>0</v>
      </c>
      <c r="M175" s="22">
        <v>44682</v>
      </c>
      <c r="N175" s="44" t="s">
        <v>45</v>
      </c>
      <c r="O175" s="23" t="s">
        <v>16</v>
      </c>
      <c r="P175" s="24" t="s">
        <v>45</v>
      </c>
      <c r="Q175" s="28" t="s">
        <v>252</v>
      </c>
    </row>
    <row r="176" spans="1:17">
      <c r="A176" s="14">
        <v>172</v>
      </c>
      <c r="B176" s="15" t="s">
        <v>253</v>
      </c>
      <c r="C176" s="16">
        <f>'Медикаменты Октябрь'!L175</f>
        <v>100</v>
      </c>
      <c r="D176" s="17"/>
      <c r="E176" s="14"/>
      <c r="F176" s="18"/>
      <c r="G176" s="19"/>
      <c r="H176" s="20"/>
      <c r="I176" s="21"/>
      <c r="J176" s="14"/>
      <c r="K176" s="14">
        <f t="shared" si="4"/>
        <v>0</v>
      </c>
      <c r="L176" s="16">
        <f t="shared" si="5"/>
        <v>100</v>
      </c>
      <c r="M176" s="22">
        <v>45047</v>
      </c>
      <c r="N176" s="44" t="s">
        <v>45</v>
      </c>
      <c r="O176" s="23" t="s">
        <v>16</v>
      </c>
      <c r="P176" s="24" t="s">
        <v>17</v>
      </c>
      <c r="Q176" s="28" t="s">
        <v>254</v>
      </c>
    </row>
    <row r="177" spans="1:17">
      <c r="A177" s="14">
        <v>173</v>
      </c>
      <c r="B177" s="15" t="s">
        <v>255</v>
      </c>
      <c r="C177" s="16">
        <f>'Медикаменты Октябрь'!L176</f>
        <v>0</v>
      </c>
      <c r="D177" s="17"/>
      <c r="E177" s="14"/>
      <c r="F177" s="18"/>
      <c r="G177" s="19"/>
      <c r="H177" s="20"/>
      <c r="I177" s="21"/>
      <c r="J177" s="14"/>
      <c r="K177" s="14">
        <f t="shared" si="4"/>
        <v>0</v>
      </c>
      <c r="L177" s="16">
        <f t="shared" si="5"/>
        <v>0</v>
      </c>
      <c r="M177" s="22">
        <v>44562</v>
      </c>
      <c r="N177" s="44"/>
      <c r="O177" s="23" t="s">
        <v>26</v>
      </c>
      <c r="P177" s="24"/>
      <c r="Q177" s="28"/>
    </row>
    <row r="178" spans="1:17">
      <c r="A178" s="14">
        <v>174</v>
      </c>
      <c r="B178" s="15" t="s">
        <v>256</v>
      </c>
      <c r="C178" s="16">
        <f>'Медикаменты Октябрь'!L177</f>
        <v>0</v>
      </c>
      <c r="D178" s="17"/>
      <c r="E178" s="14"/>
      <c r="F178" s="18"/>
      <c r="G178" s="19"/>
      <c r="H178" s="20"/>
      <c r="I178" s="21"/>
      <c r="J178" s="14"/>
      <c r="K178" s="14">
        <f t="shared" si="4"/>
        <v>0</v>
      </c>
      <c r="L178" s="16">
        <f t="shared" si="5"/>
        <v>0</v>
      </c>
      <c r="M178" s="22">
        <v>44044</v>
      </c>
      <c r="N178" s="44"/>
      <c r="O178" s="23" t="s">
        <v>16</v>
      </c>
      <c r="P178" s="24"/>
      <c r="Q178" s="45"/>
    </row>
    <row r="179" spans="1:17">
      <c r="A179" s="14">
        <v>175</v>
      </c>
      <c r="B179" s="15" t="s">
        <v>257</v>
      </c>
      <c r="C179" s="16">
        <f>'Медикаменты Октябрь'!L178</f>
        <v>15</v>
      </c>
      <c r="D179" s="17"/>
      <c r="E179" s="14"/>
      <c r="F179" s="18"/>
      <c r="G179" s="19"/>
      <c r="H179" s="20"/>
      <c r="I179" s="21"/>
      <c r="J179" s="14"/>
      <c r="K179" s="14">
        <f t="shared" si="4"/>
        <v>0</v>
      </c>
      <c r="L179" s="16">
        <f t="shared" si="5"/>
        <v>15</v>
      </c>
      <c r="M179" s="22">
        <v>45108</v>
      </c>
      <c r="N179" s="44" t="s">
        <v>551</v>
      </c>
      <c r="O179" s="23" t="s">
        <v>16</v>
      </c>
      <c r="P179" s="24" t="s">
        <v>17</v>
      </c>
      <c r="Q179" s="28" t="s">
        <v>258</v>
      </c>
    </row>
    <row r="180" spans="1:17">
      <c r="A180" s="14">
        <v>176</v>
      </c>
      <c r="B180" s="15" t="s">
        <v>259</v>
      </c>
      <c r="C180" s="16">
        <f>'Медикаменты Октябрь'!L179</f>
        <v>0</v>
      </c>
      <c r="D180" s="17"/>
      <c r="E180" s="14"/>
      <c r="F180" s="18"/>
      <c r="G180" s="19"/>
      <c r="H180" s="20"/>
      <c r="I180" s="21"/>
      <c r="J180" s="14"/>
      <c r="K180" s="14">
        <f t="shared" si="4"/>
        <v>0</v>
      </c>
      <c r="L180" s="16">
        <f t="shared" si="5"/>
        <v>0</v>
      </c>
      <c r="M180" s="22">
        <v>44531</v>
      </c>
      <c r="N180" s="44" t="s">
        <v>45</v>
      </c>
      <c r="O180" s="23" t="s">
        <v>16</v>
      </c>
      <c r="P180" s="24" t="s">
        <v>17</v>
      </c>
      <c r="Q180" s="28" t="s">
        <v>260</v>
      </c>
    </row>
    <row r="181" spans="1:17">
      <c r="A181" s="14">
        <v>177</v>
      </c>
      <c r="B181" s="15" t="s">
        <v>261</v>
      </c>
      <c r="C181" s="16">
        <f>'Медикаменты Октябрь'!L180</f>
        <v>85</v>
      </c>
      <c r="D181" s="17"/>
      <c r="E181" s="14"/>
      <c r="F181" s="18">
        <f>5+25</f>
        <v>30</v>
      </c>
      <c r="G181" s="19"/>
      <c r="H181" s="20"/>
      <c r="I181" s="21"/>
      <c r="J181" s="14"/>
      <c r="K181" s="14">
        <f t="shared" si="4"/>
        <v>30</v>
      </c>
      <c r="L181" s="16">
        <f t="shared" si="5"/>
        <v>55</v>
      </c>
      <c r="M181" s="22">
        <v>45078</v>
      </c>
      <c r="N181" s="44" t="s">
        <v>551</v>
      </c>
      <c r="O181" s="23" t="s">
        <v>16</v>
      </c>
      <c r="P181" s="24" t="s">
        <v>17</v>
      </c>
      <c r="Q181" s="28" t="s">
        <v>262</v>
      </c>
    </row>
    <row r="182" spans="1:17">
      <c r="A182" s="14">
        <v>178</v>
      </c>
      <c r="B182" s="15" t="s">
        <v>261</v>
      </c>
      <c r="C182" s="16">
        <f>'Медикаменты Октябрь'!L181</f>
        <v>0</v>
      </c>
      <c r="D182" s="17"/>
      <c r="E182" s="14"/>
      <c r="F182" s="18"/>
      <c r="G182" s="19"/>
      <c r="H182" s="20"/>
      <c r="I182" s="21"/>
      <c r="J182" s="14"/>
      <c r="K182" s="14">
        <f t="shared" si="4"/>
        <v>0</v>
      </c>
      <c r="L182" s="16">
        <f t="shared" si="5"/>
        <v>0</v>
      </c>
      <c r="M182" s="22">
        <v>45078</v>
      </c>
      <c r="N182" s="44" t="s">
        <v>551</v>
      </c>
      <c r="O182" s="23" t="s">
        <v>26</v>
      </c>
      <c r="P182" s="24" t="s">
        <v>17</v>
      </c>
      <c r="Q182" s="28" t="s">
        <v>262</v>
      </c>
    </row>
    <row r="183" spans="1:17">
      <c r="A183" s="14">
        <v>179</v>
      </c>
      <c r="B183" s="15" t="s">
        <v>263</v>
      </c>
      <c r="C183" s="16">
        <f>'Медикаменты Октябрь'!L182</f>
        <v>0</v>
      </c>
      <c r="D183" s="17"/>
      <c r="E183" s="14"/>
      <c r="F183" s="18"/>
      <c r="G183" s="19"/>
      <c r="H183" s="20"/>
      <c r="I183" s="21"/>
      <c r="J183" s="14"/>
      <c r="K183" s="14">
        <f t="shared" si="4"/>
        <v>0</v>
      </c>
      <c r="L183" s="16">
        <f t="shared" si="5"/>
        <v>0</v>
      </c>
      <c r="M183" s="22"/>
      <c r="N183" s="44"/>
      <c r="O183" s="23" t="s">
        <v>16</v>
      </c>
      <c r="P183" s="24"/>
      <c r="Q183" s="45"/>
    </row>
    <row r="184" spans="1:17">
      <c r="A184" s="14">
        <v>180</v>
      </c>
      <c r="B184" s="15" t="s">
        <v>264</v>
      </c>
      <c r="C184" s="16">
        <f>'Медикаменты Октябрь'!L183</f>
        <v>0</v>
      </c>
      <c r="D184" s="17"/>
      <c r="E184" s="14"/>
      <c r="F184" s="18"/>
      <c r="G184" s="19"/>
      <c r="H184" s="20"/>
      <c r="I184" s="21"/>
      <c r="J184" s="14"/>
      <c r="K184" s="14">
        <f t="shared" si="4"/>
        <v>0</v>
      </c>
      <c r="L184" s="16">
        <f t="shared" si="5"/>
        <v>0</v>
      </c>
      <c r="M184" s="22"/>
      <c r="N184" s="44"/>
      <c r="O184" s="23" t="s">
        <v>16</v>
      </c>
      <c r="P184" s="24"/>
      <c r="Q184" s="45"/>
    </row>
    <row r="185" spans="1:17">
      <c r="A185" s="14">
        <v>181</v>
      </c>
      <c r="B185" s="15" t="s">
        <v>265</v>
      </c>
      <c r="C185" s="16">
        <f>'Медикаменты Октябрь'!L184</f>
        <v>0</v>
      </c>
      <c r="D185" s="17"/>
      <c r="E185" s="14"/>
      <c r="F185" s="18"/>
      <c r="G185" s="19"/>
      <c r="H185" s="20"/>
      <c r="I185" s="21"/>
      <c r="J185" s="14"/>
      <c r="K185" s="14">
        <f t="shared" si="4"/>
        <v>0</v>
      </c>
      <c r="L185" s="16">
        <f t="shared" si="5"/>
        <v>0</v>
      </c>
      <c r="M185" s="22"/>
      <c r="N185" s="44"/>
      <c r="O185" s="23" t="s">
        <v>16</v>
      </c>
      <c r="P185" s="24"/>
      <c r="Q185" s="45"/>
    </row>
    <row r="186" spans="1:17">
      <c r="A186" s="14">
        <v>182</v>
      </c>
      <c r="B186" s="15" t="s">
        <v>266</v>
      </c>
      <c r="C186" s="16">
        <f>'Медикаменты Октябрь'!L185</f>
        <v>0</v>
      </c>
      <c r="D186" s="17"/>
      <c r="E186" s="14"/>
      <c r="F186" s="18"/>
      <c r="G186" s="19"/>
      <c r="H186" s="20"/>
      <c r="I186" s="21"/>
      <c r="J186" s="14"/>
      <c r="K186" s="14">
        <f t="shared" si="4"/>
        <v>0</v>
      </c>
      <c r="L186" s="16">
        <f t="shared" si="5"/>
        <v>0</v>
      </c>
      <c r="M186" s="22"/>
      <c r="N186" s="44"/>
      <c r="O186" s="23" t="s">
        <v>16</v>
      </c>
      <c r="P186" s="24"/>
      <c r="Q186" s="45"/>
    </row>
    <row r="187" spans="1:17">
      <c r="A187" s="14">
        <v>183</v>
      </c>
      <c r="B187" s="15" t="s">
        <v>267</v>
      </c>
      <c r="C187" s="16">
        <f>'Медикаменты Октябрь'!L186</f>
        <v>0</v>
      </c>
      <c r="D187" s="17"/>
      <c r="E187" s="14"/>
      <c r="F187" s="18"/>
      <c r="G187" s="19"/>
      <c r="H187" s="20"/>
      <c r="I187" s="21"/>
      <c r="J187" s="14"/>
      <c r="K187" s="14">
        <f t="shared" si="4"/>
        <v>0</v>
      </c>
      <c r="L187" s="16">
        <f t="shared" si="5"/>
        <v>0</v>
      </c>
      <c r="M187" s="22"/>
      <c r="N187" s="44"/>
      <c r="O187" s="23" t="s">
        <v>16</v>
      </c>
      <c r="P187" s="24"/>
      <c r="Q187" s="45"/>
    </row>
    <row r="188" spans="1:17">
      <c r="A188" s="14">
        <v>184</v>
      </c>
      <c r="B188" s="15" t="s">
        <v>268</v>
      </c>
      <c r="C188" s="16">
        <f>'Медикаменты Октябрь'!L187</f>
        <v>20</v>
      </c>
      <c r="D188" s="17"/>
      <c r="E188" s="14"/>
      <c r="F188" s="18">
        <f>5</f>
        <v>5</v>
      </c>
      <c r="G188" s="19"/>
      <c r="H188" s="20"/>
      <c r="I188" s="21"/>
      <c r="J188" s="14"/>
      <c r="K188" s="14">
        <f t="shared" si="4"/>
        <v>5</v>
      </c>
      <c r="L188" s="16">
        <f t="shared" si="5"/>
        <v>15</v>
      </c>
      <c r="M188" s="22">
        <v>45748</v>
      </c>
      <c r="N188" s="44" t="s">
        <v>551</v>
      </c>
      <c r="O188" s="23" t="s">
        <v>16</v>
      </c>
      <c r="P188" s="24" t="s">
        <v>17</v>
      </c>
      <c r="Q188" s="28" t="s">
        <v>269</v>
      </c>
    </row>
    <row r="189" spans="1:17">
      <c r="A189" s="14">
        <v>185</v>
      </c>
      <c r="B189" s="15" t="s">
        <v>268</v>
      </c>
      <c r="C189" s="16">
        <f>'Медикаменты Октябрь'!L188</f>
        <v>0</v>
      </c>
      <c r="D189" s="17"/>
      <c r="E189" s="14"/>
      <c r="F189" s="18"/>
      <c r="G189" s="19"/>
      <c r="H189" s="20"/>
      <c r="I189" s="21"/>
      <c r="J189" s="14"/>
      <c r="K189" s="14">
        <f t="shared" si="4"/>
        <v>0</v>
      </c>
      <c r="L189" s="16">
        <f t="shared" si="5"/>
        <v>0</v>
      </c>
      <c r="M189" s="22">
        <v>45748</v>
      </c>
      <c r="N189" s="44" t="s">
        <v>551</v>
      </c>
      <c r="O189" s="23" t="s">
        <v>26</v>
      </c>
      <c r="P189" s="24" t="s">
        <v>17</v>
      </c>
      <c r="Q189" s="28" t="s">
        <v>269</v>
      </c>
    </row>
    <row r="190" spans="1:17">
      <c r="A190" s="14">
        <v>186</v>
      </c>
      <c r="B190" s="15" t="s">
        <v>601</v>
      </c>
      <c r="C190" s="16">
        <f>'Медикаменты Октябрь'!L189</f>
        <v>58</v>
      </c>
      <c r="D190" s="17"/>
      <c r="E190" s="14"/>
      <c r="F190" s="18">
        <f>5</f>
        <v>5</v>
      </c>
      <c r="G190" s="19"/>
      <c r="H190" s="20"/>
      <c r="I190" s="21"/>
      <c r="J190" s="14"/>
      <c r="K190" s="14">
        <f t="shared" si="4"/>
        <v>5</v>
      </c>
      <c r="L190" s="16">
        <f t="shared" si="5"/>
        <v>53</v>
      </c>
      <c r="M190" s="22">
        <v>45383</v>
      </c>
      <c r="N190" s="44" t="s">
        <v>551</v>
      </c>
      <c r="O190" s="23" t="s">
        <v>16</v>
      </c>
      <c r="P190" s="24" t="s">
        <v>17</v>
      </c>
      <c r="Q190" s="28" t="s">
        <v>602</v>
      </c>
    </row>
    <row r="191" spans="1:17">
      <c r="A191" s="14">
        <v>187</v>
      </c>
      <c r="B191" s="15" t="s">
        <v>270</v>
      </c>
      <c r="C191" s="16">
        <f>'Медикаменты Октябрь'!L190</f>
        <v>0</v>
      </c>
      <c r="D191" s="17"/>
      <c r="E191" s="14"/>
      <c r="F191" s="18"/>
      <c r="G191" s="19"/>
      <c r="H191" s="20"/>
      <c r="I191" s="21"/>
      <c r="J191" s="14"/>
      <c r="K191" s="14">
        <f t="shared" si="4"/>
        <v>0</v>
      </c>
      <c r="L191" s="16">
        <f t="shared" si="5"/>
        <v>0</v>
      </c>
      <c r="M191" s="22">
        <v>44075</v>
      </c>
      <c r="N191" s="44"/>
      <c r="O191" s="23" t="s">
        <v>16</v>
      </c>
      <c r="P191" s="24"/>
      <c r="Q191" s="28" t="s">
        <v>271</v>
      </c>
    </row>
    <row r="192" spans="1:17">
      <c r="A192" s="14">
        <v>188</v>
      </c>
      <c r="B192" s="15" t="s">
        <v>630</v>
      </c>
      <c r="C192" s="16">
        <f>'Медикаменты Октябрь'!L191</f>
        <v>0</v>
      </c>
      <c r="D192" s="17"/>
      <c r="E192" s="14"/>
      <c r="F192" s="18"/>
      <c r="G192" s="19"/>
      <c r="H192" s="20"/>
      <c r="I192" s="21"/>
      <c r="J192" s="14"/>
      <c r="K192" s="14">
        <f t="shared" si="4"/>
        <v>0</v>
      </c>
      <c r="L192" s="16">
        <f t="shared" si="5"/>
        <v>0</v>
      </c>
      <c r="M192" s="22">
        <v>45352</v>
      </c>
      <c r="N192" s="44" t="s">
        <v>551</v>
      </c>
      <c r="O192" s="23" t="s">
        <v>16</v>
      </c>
      <c r="P192" s="24" t="s">
        <v>17</v>
      </c>
      <c r="Q192" s="28" t="s">
        <v>273</v>
      </c>
    </row>
    <row r="193" spans="1:17">
      <c r="A193" s="14">
        <v>189</v>
      </c>
      <c r="B193" s="15" t="s">
        <v>647</v>
      </c>
      <c r="C193" s="16">
        <f>'Медикаменты Октябрь'!L192</f>
        <v>147</v>
      </c>
      <c r="D193" s="17"/>
      <c r="E193" s="14"/>
      <c r="F193" s="18">
        <f>1</f>
        <v>1</v>
      </c>
      <c r="G193" s="19"/>
      <c r="H193" s="20"/>
      <c r="I193" s="21"/>
      <c r="J193" s="14"/>
      <c r="K193" s="14">
        <f t="shared" si="4"/>
        <v>1</v>
      </c>
      <c r="L193" s="16">
        <f t="shared" si="5"/>
        <v>146</v>
      </c>
      <c r="M193" s="22">
        <v>45323</v>
      </c>
      <c r="N193" s="44" t="s">
        <v>551</v>
      </c>
      <c r="O193" s="23" t="s">
        <v>16</v>
      </c>
      <c r="P193" s="24" t="s">
        <v>17</v>
      </c>
      <c r="Q193" s="28" t="s">
        <v>648</v>
      </c>
    </row>
    <row r="194" spans="1:17">
      <c r="A194" s="14">
        <v>190</v>
      </c>
      <c r="B194" s="15" t="s">
        <v>274</v>
      </c>
      <c r="C194" s="16">
        <f>'Медикаменты Октябрь'!L193</f>
        <v>570</v>
      </c>
      <c r="D194" s="17"/>
      <c r="E194" s="14"/>
      <c r="F194" s="18"/>
      <c r="G194" s="19"/>
      <c r="H194" s="20"/>
      <c r="I194" s="21"/>
      <c r="J194" s="14"/>
      <c r="K194" s="14">
        <f t="shared" si="4"/>
        <v>0</v>
      </c>
      <c r="L194" s="16">
        <f t="shared" si="5"/>
        <v>570</v>
      </c>
      <c r="M194" s="22">
        <v>45931</v>
      </c>
      <c r="N194" s="44" t="s">
        <v>551</v>
      </c>
      <c r="O194" s="23" t="s">
        <v>16</v>
      </c>
      <c r="P194" s="24" t="s">
        <v>17</v>
      </c>
      <c r="Q194" s="28" t="s">
        <v>275</v>
      </c>
    </row>
    <row r="195" spans="1:17">
      <c r="A195" s="14">
        <v>191</v>
      </c>
      <c r="B195" s="15" t="s">
        <v>276</v>
      </c>
      <c r="C195" s="16">
        <f>'Медикаменты Октябрь'!L194</f>
        <v>0</v>
      </c>
      <c r="D195" s="17"/>
      <c r="E195" s="14"/>
      <c r="F195" s="18"/>
      <c r="G195" s="19"/>
      <c r="H195" s="20"/>
      <c r="I195" s="21"/>
      <c r="J195" s="14"/>
      <c r="K195" s="14">
        <f t="shared" si="4"/>
        <v>0</v>
      </c>
      <c r="L195" s="16">
        <f t="shared" si="5"/>
        <v>0</v>
      </c>
      <c r="M195" s="22"/>
      <c r="N195" s="44"/>
      <c r="O195" s="23" t="s">
        <v>16</v>
      </c>
      <c r="P195" s="24"/>
      <c r="Q195" s="45"/>
    </row>
    <row r="196" spans="1:17">
      <c r="A196" s="14">
        <v>192</v>
      </c>
      <c r="B196" s="15" t="s">
        <v>277</v>
      </c>
      <c r="C196" s="16">
        <f>'Медикаменты Октябрь'!L195</f>
        <v>7</v>
      </c>
      <c r="D196" s="17"/>
      <c r="E196" s="14"/>
      <c r="F196" s="18"/>
      <c r="G196" s="19"/>
      <c r="H196" s="20"/>
      <c r="I196" s="21"/>
      <c r="J196" s="14"/>
      <c r="K196" s="14">
        <f t="shared" si="4"/>
        <v>0</v>
      </c>
      <c r="L196" s="16">
        <f t="shared" si="5"/>
        <v>7</v>
      </c>
      <c r="M196" s="22">
        <v>44621</v>
      </c>
      <c r="N196" s="44" t="s">
        <v>45</v>
      </c>
      <c r="O196" s="23" t="s">
        <v>16</v>
      </c>
      <c r="P196" s="24" t="s">
        <v>17</v>
      </c>
      <c r="Q196" s="28" t="s">
        <v>278</v>
      </c>
    </row>
    <row r="197" spans="1:17">
      <c r="A197" s="14">
        <v>193</v>
      </c>
      <c r="B197" s="15" t="s">
        <v>279</v>
      </c>
      <c r="C197" s="16">
        <f>'Медикаменты Октябрь'!L196</f>
        <v>0</v>
      </c>
      <c r="D197" s="17"/>
      <c r="E197" s="14"/>
      <c r="F197" s="18"/>
      <c r="G197" s="19"/>
      <c r="H197" s="20"/>
      <c r="I197" s="21"/>
      <c r="J197" s="14"/>
      <c r="K197" s="14">
        <f t="shared" ref="K197:K260" si="6">SUM(F197:J197)</f>
        <v>0</v>
      </c>
      <c r="L197" s="16">
        <f t="shared" ref="L197:L260" si="7">(C197+E197)-K197</f>
        <v>0</v>
      </c>
      <c r="M197" s="22">
        <v>44378</v>
      </c>
      <c r="N197" s="44" t="s">
        <v>45</v>
      </c>
      <c r="O197" s="23" t="s">
        <v>16</v>
      </c>
      <c r="P197" s="24" t="s">
        <v>17</v>
      </c>
      <c r="Q197" s="28" t="s">
        <v>280</v>
      </c>
    </row>
    <row r="198" spans="1:17">
      <c r="A198" s="14">
        <v>194</v>
      </c>
      <c r="B198" s="15" t="s">
        <v>281</v>
      </c>
      <c r="C198" s="16">
        <f>'Медикаменты Октябрь'!L197</f>
        <v>67</v>
      </c>
      <c r="D198" s="17"/>
      <c r="E198" s="14"/>
      <c r="F198" s="18">
        <f>2</f>
        <v>2</v>
      </c>
      <c r="G198" s="19"/>
      <c r="H198" s="20"/>
      <c r="I198" s="21"/>
      <c r="J198" s="14"/>
      <c r="K198" s="14">
        <f t="shared" si="6"/>
        <v>2</v>
      </c>
      <c r="L198" s="16">
        <f t="shared" si="7"/>
        <v>65</v>
      </c>
      <c r="M198" s="22">
        <v>45200</v>
      </c>
      <c r="N198" s="44" t="s">
        <v>551</v>
      </c>
      <c r="O198" s="23" t="s">
        <v>16</v>
      </c>
      <c r="P198" s="24" t="s">
        <v>17</v>
      </c>
      <c r="Q198" s="28" t="s">
        <v>282</v>
      </c>
    </row>
    <row r="199" spans="1:17">
      <c r="A199" s="14">
        <v>195</v>
      </c>
      <c r="B199" s="15" t="s">
        <v>553</v>
      </c>
      <c r="C199" s="16">
        <f>'Медикаменты Октябрь'!L198</f>
        <v>0</v>
      </c>
      <c r="D199" s="17"/>
      <c r="E199" s="14"/>
      <c r="F199" s="18"/>
      <c r="G199" s="19"/>
      <c r="H199" s="20"/>
      <c r="I199" s="21"/>
      <c r="J199" s="14"/>
      <c r="K199" s="14">
        <f t="shared" si="6"/>
        <v>0</v>
      </c>
      <c r="L199" s="16">
        <f t="shared" si="7"/>
        <v>0</v>
      </c>
      <c r="M199" s="22">
        <v>44835</v>
      </c>
      <c r="N199" s="44" t="s">
        <v>45</v>
      </c>
      <c r="O199" s="23" t="s">
        <v>16</v>
      </c>
      <c r="P199" s="24" t="s">
        <v>17</v>
      </c>
      <c r="Q199" s="28" t="s">
        <v>554</v>
      </c>
    </row>
    <row r="200" spans="1:17">
      <c r="A200" s="14">
        <v>196</v>
      </c>
      <c r="B200" s="15" t="s">
        <v>283</v>
      </c>
      <c r="C200" s="16">
        <f>'Медикаменты Октябрь'!L199</f>
        <v>50</v>
      </c>
      <c r="D200" s="17"/>
      <c r="E200" s="14"/>
      <c r="F200" s="18"/>
      <c r="G200" s="19"/>
      <c r="H200" s="20"/>
      <c r="I200" s="21"/>
      <c r="J200" s="14"/>
      <c r="K200" s="14">
        <f t="shared" si="6"/>
        <v>0</v>
      </c>
      <c r="L200" s="16">
        <f t="shared" si="7"/>
        <v>50</v>
      </c>
      <c r="M200" s="22">
        <v>44773</v>
      </c>
      <c r="N200" s="44" t="s">
        <v>551</v>
      </c>
      <c r="O200" s="23" t="s">
        <v>16</v>
      </c>
      <c r="P200" s="24" t="s">
        <v>17</v>
      </c>
      <c r="Q200" s="28" t="s">
        <v>284</v>
      </c>
    </row>
    <row r="201" spans="1:17">
      <c r="A201" s="14">
        <v>197</v>
      </c>
      <c r="B201" s="15" t="s">
        <v>631</v>
      </c>
      <c r="C201" s="16">
        <f>'Медикаменты Октябрь'!L200</f>
        <v>2</v>
      </c>
      <c r="D201" s="17"/>
      <c r="E201" s="14"/>
      <c r="F201" s="18"/>
      <c r="G201" s="19"/>
      <c r="H201" s="20"/>
      <c r="I201" s="21"/>
      <c r="J201" s="14"/>
      <c r="K201" s="14">
        <f t="shared" si="6"/>
        <v>0</v>
      </c>
      <c r="L201" s="16">
        <f t="shared" si="7"/>
        <v>2</v>
      </c>
      <c r="M201" s="22">
        <v>45170</v>
      </c>
      <c r="N201" s="44" t="s">
        <v>45</v>
      </c>
      <c r="O201" s="23" t="s">
        <v>16</v>
      </c>
      <c r="P201" s="24" t="s">
        <v>17</v>
      </c>
      <c r="Q201" s="28" t="s">
        <v>632</v>
      </c>
    </row>
    <row r="202" spans="1:17">
      <c r="A202" s="14">
        <v>198</v>
      </c>
      <c r="B202" s="15" t="s">
        <v>649</v>
      </c>
      <c r="C202" s="16">
        <f>'Медикаменты Октябрь'!L201</f>
        <v>22</v>
      </c>
      <c r="D202" s="17"/>
      <c r="E202" s="14"/>
      <c r="F202" s="18"/>
      <c r="G202" s="19"/>
      <c r="H202" s="20"/>
      <c r="I202" s="21"/>
      <c r="J202" s="14"/>
      <c r="K202" s="14">
        <f t="shared" si="6"/>
        <v>0</v>
      </c>
      <c r="L202" s="16">
        <f t="shared" si="7"/>
        <v>22</v>
      </c>
      <c r="M202" s="22">
        <v>44896</v>
      </c>
      <c r="N202" s="44" t="s">
        <v>551</v>
      </c>
      <c r="O202" s="23" t="s">
        <v>16</v>
      </c>
      <c r="P202" s="24" t="s">
        <v>17</v>
      </c>
      <c r="Q202" s="28" t="s">
        <v>650</v>
      </c>
    </row>
    <row r="203" spans="1:17">
      <c r="A203" s="14">
        <v>199</v>
      </c>
      <c r="B203" s="15" t="s">
        <v>651</v>
      </c>
      <c r="C203" s="16">
        <f>'Медикаменты Октябрь'!L202</f>
        <v>22</v>
      </c>
      <c r="D203" s="17"/>
      <c r="E203" s="14"/>
      <c r="F203" s="18"/>
      <c r="G203" s="19"/>
      <c r="H203" s="20"/>
      <c r="I203" s="21"/>
      <c r="J203" s="14"/>
      <c r="K203" s="14">
        <f t="shared" si="6"/>
        <v>0</v>
      </c>
      <c r="L203" s="16">
        <f t="shared" si="7"/>
        <v>22</v>
      </c>
      <c r="M203" s="22">
        <v>45627</v>
      </c>
      <c r="N203" s="44" t="s">
        <v>551</v>
      </c>
      <c r="O203" s="23" t="s">
        <v>16</v>
      </c>
      <c r="P203" s="24" t="s">
        <v>17</v>
      </c>
      <c r="Q203" s="28" t="s">
        <v>650</v>
      </c>
    </row>
    <row r="204" spans="1:17">
      <c r="A204" s="14">
        <v>200</v>
      </c>
      <c r="B204" s="15" t="s">
        <v>603</v>
      </c>
      <c r="C204" s="16">
        <f>'Медикаменты Октябрь'!L203</f>
        <v>50</v>
      </c>
      <c r="D204" s="17"/>
      <c r="E204" s="14"/>
      <c r="F204" s="18">
        <f>6</f>
        <v>6</v>
      </c>
      <c r="G204" s="19"/>
      <c r="H204" s="20"/>
      <c r="I204" s="21"/>
      <c r="J204" s="14"/>
      <c r="K204" s="14">
        <f t="shared" si="6"/>
        <v>6</v>
      </c>
      <c r="L204" s="16">
        <f t="shared" si="7"/>
        <v>44</v>
      </c>
      <c r="M204" s="22">
        <v>44896</v>
      </c>
      <c r="N204" s="44" t="s">
        <v>551</v>
      </c>
      <c r="O204" s="23" t="s">
        <v>16</v>
      </c>
      <c r="P204" s="24" t="s">
        <v>17</v>
      </c>
      <c r="Q204" s="28" t="s">
        <v>604</v>
      </c>
    </row>
    <row r="205" spans="1:17">
      <c r="A205" s="14">
        <v>201</v>
      </c>
      <c r="B205" s="15" t="s">
        <v>288</v>
      </c>
      <c r="C205" s="16">
        <f>'Медикаменты Октябрь'!L204</f>
        <v>0</v>
      </c>
      <c r="D205" s="17"/>
      <c r="E205" s="14"/>
      <c r="F205" s="18"/>
      <c r="G205" s="19"/>
      <c r="H205" s="20"/>
      <c r="I205" s="21"/>
      <c r="J205" s="14"/>
      <c r="K205" s="14">
        <f t="shared" si="6"/>
        <v>0</v>
      </c>
      <c r="L205" s="16">
        <f t="shared" si="7"/>
        <v>0</v>
      </c>
      <c r="M205" s="22">
        <v>44105</v>
      </c>
      <c r="N205" s="44"/>
      <c r="O205" s="23" t="s">
        <v>16</v>
      </c>
      <c r="P205" s="24"/>
      <c r="Q205" s="28" t="s">
        <v>289</v>
      </c>
    </row>
    <row r="206" spans="1:17">
      <c r="A206" s="14">
        <v>202</v>
      </c>
      <c r="B206" s="15" t="s">
        <v>290</v>
      </c>
      <c r="C206" s="16">
        <f>'Медикаменты Октябрь'!L205</f>
        <v>0</v>
      </c>
      <c r="D206" s="17"/>
      <c r="E206" s="14"/>
      <c r="F206" s="18"/>
      <c r="G206" s="19"/>
      <c r="H206" s="20"/>
      <c r="I206" s="21"/>
      <c r="J206" s="14"/>
      <c r="K206" s="14">
        <f t="shared" si="6"/>
        <v>0</v>
      </c>
      <c r="L206" s="16">
        <f t="shared" si="7"/>
        <v>0</v>
      </c>
      <c r="M206" s="22">
        <v>44317</v>
      </c>
      <c r="N206" s="44" t="s">
        <v>45</v>
      </c>
      <c r="O206" s="23" t="s">
        <v>16</v>
      </c>
      <c r="P206" s="24" t="s">
        <v>17</v>
      </c>
      <c r="Q206" s="28" t="s">
        <v>291</v>
      </c>
    </row>
    <row r="207" spans="1:17">
      <c r="A207" s="14">
        <v>203</v>
      </c>
      <c r="B207" s="15" t="s">
        <v>292</v>
      </c>
      <c r="C207" s="16">
        <f>'Медикаменты Октябрь'!L206</f>
        <v>0</v>
      </c>
      <c r="D207" s="17"/>
      <c r="E207" s="14"/>
      <c r="F207" s="18"/>
      <c r="G207" s="19"/>
      <c r="H207" s="20"/>
      <c r="I207" s="21"/>
      <c r="J207" s="14"/>
      <c r="K207" s="14">
        <f t="shared" si="6"/>
        <v>0</v>
      </c>
      <c r="L207" s="16">
        <f t="shared" si="7"/>
        <v>0</v>
      </c>
      <c r="M207" s="22">
        <v>44197</v>
      </c>
      <c r="N207" s="44"/>
      <c r="O207" s="23" t="s">
        <v>16</v>
      </c>
      <c r="P207" s="24"/>
      <c r="Q207" s="28" t="s">
        <v>293</v>
      </c>
    </row>
    <row r="208" spans="1:17">
      <c r="A208" s="14">
        <v>204</v>
      </c>
      <c r="B208" s="15" t="s">
        <v>292</v>
      </c>
      <c r="C208" s="16">
        <f>'Медикаменты Октябрь'!L207</f>
        <v>6</v>
      </c>
      <c r="D208" s="17"/>
      <c r="E208" s="14"/>
      <c r="F208" s="18"/>
      <c r="G208" s="19"/>
      <c r="H208" s="20"/>
      <c r="I208" s="21"/>
      <c r="J208" s="14"/>
      <c r="K208" s="14">
        <f t="shared" si="6"/>
        <v>0</v>
      </c>
      <c r="L208" s="16">
        <f t="shared" si="7"/>
        <v>6</v>
      </c>
      <c r="M208" s="22">
        <v>44713</v>
      </c>
      <c r="N208" s="44" t="s">
        <v>45</v>
      </c>
      <c r="O208" s="23" t="s">
        <v>16</v>
      </c>
      <c r="P208" s="24" t="s">
        <v>45</v>
      </c>
      <c r="Q208" s="28" t="s">
        <v>293</v>
      </c>
    </row>
    <row r="209" spans="1:17">
      <c r="A209" s="14">
        <v>205</v>
      </c>
      <c r="B209" s="15" t="s">
        <v>294</v>
      </c>
      <c r="C209" s="16">
        <f>'Медикаменты Октябрь'!L208</f>
        <v>0</v>
      </c>
      <c r="D209" s="17"/>
      <c r="E209" s="14"/>
      <c r="F209" s="18"/>
      <c r="G209" s="19"/>
      <c r="H209" s="20"/>
      <c r="I209" s="21"/>
      <c r="J209" s="14"/>
      <c r="K209" s="14">
        <f t="shared" si="6"/>
        <v>0</v>
      </c>
      <c r="L209" s="16">
        <f t="shared" si="7"/>
        <v>0</v>
      </c>
      <c r="M209" s="22">
        <v>44409</v>
      </c>
      <c r="N209" s="44" t="s">
        <v>45</v>
      </c>
      <c r="O209" s="23" t="s">
        <v>16</v>
      </c>
      <c r="P209" s="24" t="s">
        <v>45</v>
      </c>
      <c r="Q209" s="28" t="s">
        <v>295</v>
      </c>
    </row>
    <row r="210" spans="1:17">
      <c r="A210" s="14">
        <v>206</v>
      </c>
      <c r="B210" s="15" t="s">
        <v>296</v>
      </c>
      <c r="C210" s="16">
        <f>'Медикаменты Октябрь'!L209</f>
        <v>0</v>
      </c>
      <c r="D210" s="17"/>
      <c r="E210" s="14"/>
      <c r="F210" s="18"/>
      <c r="G210" s="19"/>
      <c r="H210" s="20"/>
      <c r="I210" s="21"/>
      <c r="J210" s="14"/>
      <c r="K210" s="14">
        <f t="shared" si="6"/>
        <v>0</v>
      </c>
      <c r="L210" s="16">
        <f t="shared" si="7"/>
        <v>0</v>
      </c>
      <c r="M210" s="22"/>
      <c r="N210" s="44"/>
      <c r="O210" s="23" t="s">
        <v>16</v>
      </c>
      <c r="P210" s="24"/>
      <c r="Q210" s="45"/>
    </row>
    <row r="211" spans="1:17">
      <c r="A211" s="14">
        <v>207</v>
      </c>
      <c r="B211" s="15" t="s">
        <v>297</v>
      </c>
      <c r="C211" s="16">
        <f>'Медикаменты Октябрь'!L210</f>
        <v>0</v>
      </c>
      <c r="D211" s="17"/>
      <c r="E211" s="14"/>
      <c r="F211" s="18"/>
      <c r="G211" s="19"/>
      <c r="H211" s="20"/>
      <c r="I211" s="21"/>
      <c r="J211" s="14"/>
      <c r="K211" s="14">
        <f t="shared" si="6"/>
        <v>0</v>
      </c>
      <c r="L211" s="16">
        <f t="shared" si="7"/>
        <v>0</v>
      </c>
      <c r="M211" s="22"/>
      <c r="N211" s="44"/>
      <c r="O211" s="23" t="s">
        <v>16</v>
      </c>
      <c r="P211" s="24"/>
      <c r="Q211" s="45"/>
    </row>
    <row r="212" spans="1:17" ht="25.5">
      <c r="A212" s="14">
        <v>208</v>
      </c>
      <c r="B212" s="15" t="s">
        <v>298</v>
      </c>
      <c r="C212" s="16">
        <f>'Медикаменты Октябрь'!L211</f>
        <v>0</v>
      </c>
      <c r="D212" s="17"/>
      <c r="E212" s="14"/>
      <c r="F212" s="18"/>
      <c r="G212" s="19"/>
      <c r="H212" s="20"/>
      <c r="I212" s="21"/>
      <c r="J212" s="14"/>
      <c r="K212" s="14">
        <f t="shared" si="6"/>
        <v>0</v>
      </c>
      <c r="L212" s="16">
        <f t="shared" si="7"/>
        <v>0</v>
      </c>
      <c r="M212" s="22">
        <v>44593</v>
      </c>
      <c r="N212" s="44"/>
      <c r="O212" s="23" t="s">
        <v>26</v>
      </c>
      <c r="P212" s="24"/>
      <c r="Q212" s="28"/>
    </row>
    <row r="213" spans="1:17">
      <c r="A213" s="14">
        <v>209</v>
      </c>
      <c r="B213" s="15" t="s">
        <v>299</v>
      </c>
      <c r="C213" s="16">
        <f>'Медикаменты Октябрь'!L212</f>
        <v>0</v>
      </c>
      <c r="D213" s="17"/>
      <c r="E213" s="14"/>
      <c r="F213" s="18"/>
      <c r="G213" s="19"/>
      <c r="H213" s="20"/>
      <c r="I213" s="21"/>
      <c r="J213" s="14"/>
      <c r="K213" s="14">
        <f t="shared" si="6"/>
        <v>0</v>
      </c>
      <c r="L213" s="16">
        <f t="shared" si="7"/>
        <v>0</v>
      </c>
      <c r="M213" s="22">
        <v>44256</v>
      </c>
      <c r="N213" s="44"/>
      <c r="O213" s="23" t="s">
        <v>16</v>
      </c>
      <c r="P213" s="24"/>
      <c r="Q213" s="28" t="s">
        <v>300</v>
      </c>
    </row>
    <row r="214" spans="1:17">
      <c r="A214" s="14">
        <v>210</v>
      </c>
      <c r="B214" s="15" t="s">
        <v>301</v>
      </c>
      <c r="C214" s="16">
        <f>'Медикаменты Октябрь'!L213</f>
        <v>0</v>
      </c>
      <c r="D214" s="17"/>
      <c r="E214" s="14"/>
      <c r="F214" s="18"/>
      <c r="G214" s="19"/>
      <c r="H214" s="20"/>
      <c r="I214" s="21"/>
      <c r="J214" s="14"/>
      <c r="K214" s="14">
        <f t="shared" si="6"/>
        <v>0</v>
      </c>
      <c r="L214" s="16">
        <f t="shared" si="7"/>
        <v>0</v>
      </c>
      <c r="M214" s="22"/>
      <c r="N214" s="44"/>
      <c r="O214" s="23" t="s">
        <v>16</v>
      </c>
      <c r="P214" s="24"/>
      <c r="Q214" s="45"/>
    </row>
    <row r="215" spans="1:17">
      <c r="A215" s="14">
        <v>211</v>
      </c>
      <c r="B215" s="15" t="s">
        <v>559</v>
      </c>
      <c r="C215" s="16">
        <f>'Медикаменты Октябрь'!L214</f>
        <v>50</v>
      </c>
      <c r="D215" s="17"/>
      <c r="E215" s="14"/>
      <c r="F215" s="18"/>
      <c r="G215" s="19"/>
      <c r="H215" s="20"/>
      <c r="I215" s="21"/>
      <c r="J215" s="14"/>
      <c r="K215" s="14">
        <f t="shared" si="6"/>
        <v>0</v>
      </c>
      <c r="L215" s="16">
        <f t="shared" si="7"/>
        <v>50</v>
      </c>
      <c r="M215" s="22">
        <v>45323</v>
      </c>
      <c r="N215" s="44" t="s">
        <v>551</v>
      </c>
      <c r="O215" s="23" t="s">
        <v>16</v>
      </c>
      <c r="P215" s="24" t="s">
        <v>17</v>
      </c>
      <c r="Q215" s="28" t="s">
        <v>560</v>
      </c>
    </row>
    <row r="216" spans="1:17">
      <c r="A216" s="14">
        <v>212</v>
      </c>
      <c r="B216" s="15" t="s">
        <v>303</v>
      </c>
      <c r="C216" s="16">
        <f>'Медикаменты Октябрь'!L215</f>
        <v>0</v>
      </c>
      <c r="D216" s="17"/>
      <c r="E216" s="14"/>
      <c r="F216" s="18"/>
      <c r="G216" s="19"/>
      <c r="H216" s="20"/>
      <c r="I216" s="21"/>
      <c r="J216" s="14"/>
      <c r="K216" s="14">
        <f t="shared" si="6"/>
        <v>0</v>
      </c>
      <c r="L216" s="16">
        <f t="shared" si="7"/>
        <v>0</v>
      </c>
      <c r="M216" s="22"/>
      <c r="N216" s="44"/>
      <c r="O216" s="23" t="s">
        <v>16</v>
      </c>
      <c r="P216" s="24"/>
      <c r="Q216" s="45"/>
    </row>
    <row r="217" spans="1:17">
      <c r="A217" s="14">
        <v>213</v>
      </c>
      <c r="B217" s="15" t="s">
        <v>304</v>
      </c>
      <c r="C217" s="16">
        <f>'Медикаменты Октябрь'!L216</f>
        <v>0</v>
      </c>
      <c r="D217" s="17"/>
      <c r="E217" s="14"/>
      <c r="F217" s="18"/>
      <c r="G217" s="19"/>
      <c r="H217" s="20"/>
      <c r="I217" s="21"/>
      <c r="J217" s="14"/>
      <c r="K217" s="14">
        <f t="shared" si="6"/>
        <v>0</v>
      </c>
      <c r="L217" s="16">
        <f t="shared" si="7"/>
        <v>0</v>
      </c>
      <c r="M217" s="22">
        <v>45261</v>
      </c>
      <c r="N217" s="44"/>
      <c r="O217" s="23" t="s">
        <v>16</v>
      </c>
      <c r="P217" s="24"/>
      <c r="Q217" s="28" t="s">
        <v>305</v>
      </c>
    </row>
    <row r="218" spans="1:17">
      <c r="A218" s="14">
        <v>214</v>
      </c>
      <c r="B218" s="15" t="s">
        <v>304</v>
      </c>
      <c r="C218" s="16">
        <f>'Медикаменты Октябрь'!L217</f>
        <v>0</v>
      </c>
      <c r="D218" s="17"/>
      <c r="E218" s="14"/>
      <c r="F218" s="18"/>
      <c r="G218" s="19"/>
      <c r="H218" s="20"/>
      <c r="I218" s="21"/>
      <c r="J218" s="14"/>
      <c r="K218" s="14">
        <f t="shared" si="6"/>
        <v>0</v>
      </c>
      <c r="L218" s="16">
        <f t="shared" si="7"/>
        <v>0</v>
      </c>
      <c r="M218" s="22">
        <v>45413</v>
      </c>
      <c r="N218" s="44" t="s">
        <v>45</v>
      </c>
      <c r="O218" s="23" t="s">
        <v>26</v>
      </c>
      <c r="P218" s="24" t="s">
        <v>17</v>
      </c>
      <c r="Q218" s="28" t="s">
        <v>305</v>
      </c>
    </row>
    <row r="219" spans="1:17">
      <c r="A219" s="14">
        <v>215</v>
      </c>
      <c r="B219" s="15" t="s">
        <v>561</v>
      </c>
      <c r="C219" s="16">
        <f>'Медикаменты Октябрь'!L218</f>
        <v>82</v>
      </c>
      <c r="D219" s="17"/>
      <c r="E219" s="14"/>
      <c r="F219" s="18"/>
      <c r="G219" s="19"/>
      <c r="H219" s="20">
        <f>2</f>
        <v>2</v>
      </c>
      <c r="I219" s="21"/>
      <c r="J219" s="14"/>
      <c r="K219" s="14">
        <f t="shared" si="6"/>
        <v>2</v>
      </c>
      <c r="L219" s="16">
        <f t="shared" si="7"/>
        <v>80</v>
      </c>
      <c r="M219" s="22">
        <v>45870</v>
      </c>
      <c r="N219" s="44" t="s">
        <v>551</v>
      </c>
      <c r="O219" s="23" t="s">
        <v>16</v>
      </c>
      <c r="P219" s="24" t="s">
        <v>17</v>
      </c>
      <c r="Q219" s="28" t="s">
        <v>562</v>
      </c>
    </row>
    <row r="220" spans="1:17">
      <c r="A220" s="14">
        <v>216</v>
      </c>
      <c r="B220" s="15" t="s">
        <v>563</v>
      </c>
      <c r="C220" s="16">
        <f>'Медикаменты Октябрь'!L219</f>
        <v>24</v>
      </c>
      <c r="D220" s="17"/>
      <c r="E220" s="14"/>
      <c r="F220" s="18">
        <f>2+22</f>
        <v>24</v>
      </c>
      <c r="G220" s="19"/>
      <c r="H220" s="20"/>
      <c r="I220" s="21"/>
      <c r="J220" s="14"/>
      <c r="K220" s="14">
        <f t="shared" si="6"/>
        <v>24</v>
      </c>
      <c r="L220" s="16">
        <f t="shared" si="7"/>
        <v>0</v>
      </c>
      <c r="M220" s="22">
        <v>46023</v>
      </c>
      <c r="N220" s="44" t="s">
        <v>551</v>
      </c>
      <c r="O220" s="23" t="s">
        <v>16</v>
      </c>
      <c r="P220" s="24" t="s">
        <v>17</v>
      </c>
      <c r="Q220" s="28" t="s">
        <v>564</v>
      </c>
    </row>
    <row r="221" spans="1:17">
      <c r="A221" s="14">
        <v>217</v>
      </c>
      <c r="B221" s="15" t="s">
        <v>306</v>
      </c>
      <c r="C221" s="16">
        <f>'Медикаменты Октябрь'!L220</f>
        <v>0</v>
      </c>
      <c r="D221" s="17"/>
      <c r="E221" s="14"/>
      <c r="F221" s="18"/>
      <c r="G221" s="19"/>
      <c r="H221" s="20"/>
      <c r="I221" s="21"/>
      <c r="J221" s="14"/>
      <c r="K221" s="14">
        <f t="shared" si="6"/>
        <v>0</v>
      </c>
      <c r="L221" s="16">
        <f t="shared" si="7"/>
        <v>0</v>
      </c>
      <c r="M221" s="22"/>
      <c r="N221" s="44"/>
      <c r="O221" s="23" t="s">
        <v>16</v>
      </c>
      <c r="P221" s="24"/>
      <c r="Q221" s="45"/>
    </row>
    <row r="222" spans="1:17">
      <c r="A222" s="14">
        <v>218</v>
      </c>
      <c r="B222" s="15" t="s">
        <v>307</v>
      </c>
      <c r="C222" s="16">
        <f>'Медикаменты Октябрь'!L221</f>
        <v>0</v>
      </c>
      <c r="D222" s="17"/>
      <c r="E222" s="14"/>
      <c r="F222" s="18"/>
      <c r="G222" s="19"/>
      <c r="H222" s="20"/>
      <c r="I222" s="21"/>
      <c r="J222" s="14"/>
      <c r="K222" s="14">
        <f t="shared" si="6"/>
        <v>0</v>
      </c>
      <c r="L222" s="16">
        <f t="shared" si="7"/>
        <v>0</v>
      </c>
      <c r="M222" s="22"/>
      <c r="N222" s="44"/>
      <c r="O222" s="23" t="s">
        <v>16</v>
      </c>
      <c r="P222" s="24"/>
      <c r="Q222" s="45"/>
    </row>
    <row r="223" spans="1:17">
      <c r="A223" s="14">
        <v>219</v>
      </c>
      <c r="B223" s="15" t="s">
        <v>308</v>
      </c>
      <c r="C223" s="16">
        <f>'Медикаменты Октябрь'!L222</f>
        <v>37</v>
      </c>
      <c r="D223" s="17"/>
      <c r="E223" s="14"/>
      <c r="F223" s="18">
        <f>5</f>
        <v>5</v>
      </c>
      <c r="G223" s="19"/>
      <c r="H223" s="20"/>
      <c r="I223" s="21"/>
      <c r="J223" s="14"/>
      <c r="K223" s="14">
        <f t="shared" si="6"/>
        <v>5</v>
      </c>
      <c r="L223" s="16">
        <f t="shared" si="7"/>
        <v>32</v>
      </c>
      <c r="M223" s="22">
        <v>45200</v>
      </c>
      <c r="N223" s="44" t="s">
        <v>551</v>
      </c>
      <c r="O223" s="23" t="s">
        <v>16</v>
      </c>
      <c r="P223" s="24" t="s">
        <v>17</v>
      </c>
      <c r="Q223" s="28" t="s">
        <v>309</v>
      </c>
    </row>
    <row r="224" spans="1:17">
      <c r="A224" s="14">
        <v>220</v>
      </c>
      <c r="B224" s="15" t="s">
        <v>308</v>
      </c>
      <c r="C224" s="16">
        <f>'Медикаменты Октябрь'!L223</f>
        <v>0</v>
      </c>
      <c r="D224" s="17"/>
      <c r="E224" s="14"/>
      <c r="F224" s="18"/>
      <c r="G224" s="19"/>
      <c r="H224" s="20"/>
      <c r="I224" s="21"/>
      <c r="J224" s="14"/>
      <c r="K224" s="14">
        <f t="shared" si="6"/>
        <v>0</v>
      </c>
      <c r="L224" s="16">
        <f t="shared" si="7"/>
        <v>0</v>
      </c>
      <c r="M224" s="22">
        <v>45200</v>
      </c>
      <c r="N224" s="44" t="s">
        <v>551</v>
      </c>
      <c r="O224" s="23" t="s">
        <v>26</v>
      </c>
      <c r="P224" s="24" t="s">
        <v>17</v>
      </c>
      <c r="Q224" s="28" t="s">
        <v>309</v>
      </c>
    </row>
    <row r="225" spans="1:17">
      <c r="A225" s="14">
        <v>221</v>
      </c>
      <c r="B225" s="15" t="s">
        <v>310</v>
      </c>
      <c r="C225" s="16">
        <f>'Медикаменты Октябрь'!L224</f>
        <v>9</v>
      </c>
      <c r="D225" s="17"/>
      <c r="E225" s="14"/>
      <c r="F225" s="18"/>
      <c r="G225" s="19"/>
      <c r="H225" s="20"/>
      <c r="I225" s="21"/>
      <c r="J225" s="14"/>
      <c r="K225" s="14">
        <f t="shared" si="6"/>
        <v>0</v>
      </c>
      <c r="L225" s="16">
        <f t="shared" si="7"/>
        <v>9</v>
      </c>
      <c r="M225" s="22">
        <v>44652</v>
      </c>
      <c r="N225" s="44" t="s">
        <v>45</v>
      </c>
      <c r="O225" s="23" t="s">
        <v>16</v>
      </c>
      <c r="P225" s="24" t="s">
        <v>17</v>
      </c>
      <c r="Q225" s="28" t="s">
        <v>311</v>
      </c>
    </row>
    <row r="226" spans="1:17">
      <c r="A226" s="14">
        <v>222</v>
      </c>
      <c r="B226" s="15" t="s">
        <v>310</v>
      </c>
      <c r="C226" s="16">
        <f>'Медикаменты Октябрь'!L225</f>
        <v>0</v>
      </c>
      <c r="D226" s="17"/>
      <c r="E226" s="14"/>
      <c r="F226" s="18"/>
      <c r="G226" s="19"/>
      <c r="H226" s="20"/>
      <c r="I226" s="21"/>
      <c r="J226" s="14"/>
      <c r="K226" s="14">
        <f t="shared" si="6"/>
        <v>0</v>
      </c>
      <c r="L226" s="16">
        <f t="shared" si="7"/>
        <v>0</v>
      </c>
      <c r="M226" s="22">
        <v>44652</v>
      </c>
      <c r="N226" s="44"/>
      <c r="O226" s="23" t="s">
        <v>26</v>
      </c>
      <c r="P226" s="24"/>
      <c r="Q226" s="28" t="s">
        <v>311</v>
      </c>
    </row>
    <row r="227" spans="1:17">
      <c r="A227" s="14">
        <v>223</v>
      </c>
      <c r="B227" s="15" t="s">
        <v>312</v>
      </c>
      <c r="C227" s="16">
        <f>'Медикаменты Октябрь'!L226</f>
        <v>0</v>
      </c>
      <c r="D227" s="17"/>
      <c r="E227" s="14"/>
      <c r="F227" s="18"/>
      <c r="G227" s="19"/>
      <c r="H227" s="20"/>
      <c r="I227" s="21"/>
      <c r="J227" s="14"/>
      <c r="K227" s="14">
        <f t="shared" si="6"/>
        <v>0</v>
      </c>
      <c r="L227" s="16">
        <f t="shared" si="7"/>
        <v>0</v>
      </c>
      <c r="M227" s="22">
        <v>45658</v>
      </c>
      <c r="N227" s="44"/>
      <c r="O227" s="23" t="s">
        <v>16</v>
      </c>
      <c r="P227" s="24"/>
      <c r="Q227" s="28" t="s">
        <v>313</v>
      </c>
    </row>
    <row r="228" spans="1:17">
      <c r="A228" s="14">
        <v>224</v>
      </c>
      <c r="B228" s="15" t="s">
        <v>312</v>
      </c>
      <c r="C228" s="16">
        <f>'Медикаменты Октябрь'!L227</f>
        <v>0</v>
      </c>
      <c r="D228" s="17"/>
      <c r="E228" s="14"/>
      <c r="F228" s="18"/>
      <c r="G228" s="19"/>
      <c r="H228" s="20"/>
      <c r="I228" s="21"/>
      <c r="J228" s="14"/>
      <c r="K228" s="14">
        <f t="shared" si="6"/>
        <v>0</v>
      </c>
      <c r="L228" s="16">
        <f t="shared" si="7"/>
        <v>0</v>
      </c>
      <c r="M228" s="22">
        <v>45658</v>
      </c>
      <c r="N228" s="44"/>
      <c r="O228" s="23" t="s">
        <v>26</v>
      </c>
      <c r="P228" s="24"/>
      <c r="Q228" s="28" t="s">
        <v>313</v>
      </c>
    </row>
    <row r="229" spans="1:17">
      <c r="A229" s="14">
        <v>225</v>
      </c>
      <c r="B229" s="15" t="s">
        <v>314</v>
      </c>
      <c r="C229" s="16">
        <f>'Медикаменты Октябрь'!L228</f>
        <v>0</v>
      </c>
      <c r="D229" s="17"/>
      <c r="E229" s="14"/>
      <c r="F229" s="18"/>
      <c r="G229" s="19"/>
      <c r="H229" s="20"/>
      <c r="I229" s="21"/>
      <c r="J229" s="14"/>
      <c r="K229" s="14">
        <f t="shared" si="6"/>
        <v>0</v>
      </c>
      <c r="L229" s="16">
        <f t="shared" si="7"/>
        <v>0</v>
      </c>
      <c r="M229" s="22">
        <v>44562</v>
      </c>
      <c r="N229" s="44"/>
      <c r="O229" s="23" t="s">
        <v>16</v>
      </c>
      <c r="P229" s="24"/>
      <c r="Q229" s="28" t="s">
        <v>315</v>
      </c>
    </row>
    <row r="230" spans="1:17">
      <c r="A230" s="14">
        <v>226</v>
      </c>
      <c r="B230" s="15" t="s">
        <v>316</v>
      </c>
      <c r="C230" s="16">
        <f>'Медикаменты Октябрь'!L229</f>
        <v>0</v>
      </c>
      <c r="D230" s="17"/>
      <c r="E230" s="14"/>
      <c r="F230" s="18"/>
      <c r="G230" s="19"/>
      <c r="H230" s="20"/>
      <c r="I230" s="21"/>
      <c r="J230" s="14"/>
      <c r="K230" s="14">
        <f t="shared" si="6"/>
        <v>0</v>
      </c>
      <c r="L230" s="16">
        <f t="shared" si="7"/>
        <v>0</v>
      </c>
      <c r="M230" s="22"/>
      <c r="N230" s="44"/>
      <c r="O230" s="23" t="s">
        <v>16</v>
      </c>
      <c r="P230" s="24"/>
      <c r="Q230" s="45"/>
    </row>
    <row r="231" spans="1:17">
      <c r="A231" s="14">
        <v>227</v>
      </c>
      <c r="B231" s="29" t="s">
        <v>317</v>
      </c>
      <c r="C231" s="16">
        <f>'Медикаменты Октябрь'!L230</f>
        <v>0</v>
      </c>
      <c r="D231" s="17"/>
      <c r="E231" s="14"/>
      <c r="F231" s="18"/>
      <c r="G231" s="19"/>
      <c r="H231" s="20"/>
      <c r="I231" s="21"/>
      <c r="J231" s="14"/>
      <c r="K231" s="14">
        <f t="shared" si="6"/>
        <v>0</v>
      </c>
      <c r="L231" s="16">
        <f t="shared" si="7"/>
        <v>0</v>
      </c>
      <c r="M231" s="22"/>
      <c r="N231" s="44"/>
      <c r="O231" s="23" t="s">
        <v>16</v>
      </c>
      <c r="P231" s="24"/>
      <c r="Q231" s="45"/>
    </row>
    <row r="232" spans="1:17">
      <c r="A232" s="14">
        <v>228</v>
      </c>
      <c r="B232" s="29" t="s">
        <v>605</v>
      </c>
      <c r="C232" s="16">
        <f>'Медикаменты Октябрь'!L231</f>
        <v>11</v>
      </c>
      <c r="D232" s="17"/>
      <c r="E232" s="14"/>
      <c r="F232" s="18"/>
      <c r="G232" s="19"/>
      <c r="H232" s="20"/>
      <c r="I232" s="21"/>
      <c r="J232" s="14"/>
      <c r="K232" s="14">
        <f t="shared" si="6"/>
        <v>0</v>
      </c>
      <c r="L232" s="16">
        <f t="shared" si="7"/>
        <v>11</v>
      </c>
      <c r="M232" s="22">
        <v>44896</v>
      </c>
      <c r="N232" s="44" t="s">
        <v>551</v>
      </c>
      <c r="O232" s="23" t="s">
        <v>16</v>
      </c>
      <c r="P232" s="24" t="s">
        <v>17</v>
      </c>
      <c r="Q232" s="28" t="s">
        <v>606</v>
      </c>
    </row>
    <row r="233" spans="1:17">
      <c r="A233" s="14">
        <v>229</v>
      </c>
      <c r="B233" s="29" t="s">
        <v>319</v>
      </c>
      <c r="C233" s="16">
        <f>'Медикаменты Октябрь'!L232</f>
        <v>0</v>
      </c>
      <c r="D233" s="17"/>
      <c r="E233" s="14"/>
      <c r="F233" s="18"/>
      <c r="G233" s="19"/>
      <c r="H233" s="20"/>
      <c r="I233" s="21"/>
      <c r="J233" s="14"/>
      <c r="K233" s="14">
        <f t="shared" si="6"/>
        <v>0</v>
      </c>
      <c r="L233" s="16">
        <f t="shared" si="7"/>
        <v>0</v>
      </c>
      <c r="M233" s="22"/>
      <c r="N233" s="44"/>
      <c r="O233" s="23" t="s">
        <v>16</v>
      </c>
      <c r="P233" s="24"/>
      <c r="Q233" s="45"/>
    </row>
    <row r="234" spans="1:17">
      <c r="A234" s="14">
        <v>230</v>
      </c>
      <c r="B234" s="29" t="s">
        <v>320</v>
      </c>
      <c r="C234" s="16">
        <f>'Медикаменты Октябрь'!L233</f>
        <v>37</v>
      </c>
      <c r="D234" s="17"/>
      <c r="E234" s="14"/>
      <c r="F234" s="18">
        <f>3</f>
        <v>3</v>
      </c>
      <c r="G234" s="19"/>
      <c r="H234" s="20"/>
      <c r="I234" s="21"/>
      <c r="J234" s="14"/>
      <c r="K234" s="14">
        <f t="shared" si="6"/>
        <v>3</v>
      </c>
      <c r="L234" s="16">
        <f t="shared" si="7"/>
        <v>34</v>
      </c>
      <c r="M234" s="22">
        <v>44958</v>
      </c>
      <c r="N234" s="44" t="s">
        <v>551</v>
      </c>
      <c r="O234" s="23" t="s">
        <v>16</v>
      </c>
      <c r="P234" s="24" t="s">
        <v>17</v>
      </c>
      <c r="Q234" s="28" t="s">
        <v>321</v>
      </c>
    </row>
    <row r="235" spans="1:17">
      <c r="A235" s="14">
        <v>231</v>
      </c>
      <c r="B235" s="29" t="s">
        <v>320</v>
      </c>
      <c r="C235" s="16">
        <f>'Медикаменты Октябрь'!L234</f>
        <v>0</v>
      </c>
      <c r="D235" s="17"/>
      <c r="E235" s="14"/>
      <c r="F235" s="18"/>
      <c r="G235" s="19"/>
      <c r="H235" s="20"/>
      <c r="I235" s="21"/>
      <c r="J235" s="14"/>
      <c r="K235" s="14">
        <f t="shared" si="6"/>
        <v>0</v>
      </c>
      <c r="L235" s="16">
        <f t="shared" si="7"/>
        <v>0</v>
      </c>
      <c r="M235" s="22">
        <v>44958</v>
      </c>
      <c r="N235" s="44" t="s">
        <v>551</v>
      </c>
      <c r="O235" s="23" t="s">
        <v>26</v>
      </c>
      <c r="P235" s="24" t="s">
        <v>17</v>
      </c>
      <c r="Q235" s="28" t="s">
        <v>321</v>
      </c>
    </row>
    <row r="236" spans="1:17">
      <c r="A236" s="14">
        <v>232</v>
      </c>
      <c r="B236" s="29" t="s">
        <v>322</v>
      </c>
      <c r="C236" s="16">
        <f>'Медикаменты Октябрь'!L235</f>
        <v>0</v>
      </c>
      <c r="D236" s="17"/>
      <c r="E236" s="14"/>
      <c r="F236" s="18"/>
      <c r="G236" s="19"/>
      <c r="H236" s="20"/>
      <c r="I236" s="21"/>
      <c r="J236" s="14"/>
      <c r="K236" s="14">
        <f t="shared" si="6"/>
        <v>0</v>
      </c>
      <c r="L236" s="16">
        <f t="shared" si="7"/>
        <v>0</v>
      </c>
      <c r="M236" s="22"/>
      <c r="N236" s="44"/>
      <c r="O236" s="23" t="s">
        <v>16</v>
      </c>
      <c r="P236" s="24"/>
      <c r="Q236" s="45"/>
    </row>
    <row r="237" spans="1:17">
      <c r="A237" s="14">
        <v>233</v>
      </c>
      <c r="B237" s="29" t="s">
        <v>323</v>
      </c>
      <c r="C237" s="16">
        <f>'Медикаменты Октябрь'!L236</f>
        <v>0</v>
      </c>
      <c r="D237" s="17"/>
      <c r="E237" s="14"/>
      <c r="F237" s="18"/>
      <c r="G237" s="19"/>
      <c r="H237" s="20"/>
      <c r="I237" s="21"/>
      <c r="J237" s="14"/>
      <c r="K237" s="14">
        <f t="shared" si="6"/>
        <v>0</v>
      </c>
      <c r="L237" s="16">
        <f t="shared" si="7"/>
        <v>0</v>
      </c>
      <c r="M237" s="22"/>
      <c r="N237" s="44"/>
      <c r="O237" s="23" t="s">
        <v>16</v>
      </c>
      <c r="P237" s="24"/>
      <c r="Q237" s="45"/>
    </row>
    <row r="238" spans="1:17" ht="25.5">
      <c r="A238" s="14">
        <v>234</v>
      </c>
      <c r="B238" s="29" t="s">
        <v>607</v>
      </c>
      <c r="C238" s="16">
        <f>'Медикаменты Октябрь'!L237</f>
        <v>13</v>
      </c>
      <c r="D238" s="17"/>
      <c r="E238" s="14"/>
      <c r="F238" s="18"/>
      <c r="G238" s="19"/>
      <c r="H238" s="20"/>
      <c r="I238" s="21"/>
      <c r="J238" s="14"/>
      <c r="K238" s="14">
        <f t="shared" si="6"/>
        <v>0</v>
      </c>
      <c r="L238" s="16">
        <f t="shared" si="7"/>
        <v>13</v>
      </c>
      <c r="M238" s="22">
        <v>44896</v>
      </c>
      <c r="N238" s="44" t="s">
        <v>551</v>
      </c>
      <c r="O238" s="23" t="s">
        <v>16</v>
      </c>
      <c r="P238" s="24" t="s">
        <v>17</v>
      </c>
      <c r="Q238" s="28" t="s">
        <v>608</v>
      </c>
    </row>
    <row r="239" spans="1:17">
      <c r="A239" s="14">
        <v>235</v>
      </c>
      <c r="B239" s="29" t="s">
        <v>555</v>
      </c>
      <c r="C239" s="16">
        <f>'Медикаменты Октябрь'!L238</f>
        <v>155</v>
      </c>
      <c r="D239" s="17"/>
      <c r="E239" s="14"/>
      <c r="F239" s="18">
        <f>2+8+5</f>
        <v>15</v>
      </c>
      <c r="G239" s="19"/>
      <c r="H239" s="20"/>
      <c r="I239" s="21"/>
      <c r="J239" s="14"/>
      <c r="K239" s="14">
        <f t="shared" si="6"/>
        <v>15</v>
      </c>
      <c r="L239" s="16">
        <f t="shared" si="7"/>
        <v>140</v>
      </c>
      <c r="M239" s="22">
        <v>45383</v>
      </c>
      <c r="N239" s="44" t="s">
        <v>551</v>
      </c>
      <c r="O239" s="23" t="s">
        <v>16</v>
      </c>
      <c r="P239" s="24" t="s">
        <v>17</v>
      </c>
      <c r="Q239" s="28" t="s">
        <v>325</v>
      </c>
    </row>
    <row r="240" spans="1:17">
      <c r="A240" s="14">
        <v>236</v>
      </c>
      <c r="B240" s="29" t="s">
        <v>326</v>
      </c>
      <c r="C240" s="16">
        <f>'Медикаменты Октябрь'!L239</f>
        <v>0</v>
      </c>
      <c r="D240" s="17"/>
      <c r="E240" s="14"/>
      <c r="F240" s="18"/>
      <c r="G240" s="19"/>
      <c r="H240" s="20"/>
      <c r="I240" s="21"/>
      <c r="J240" s="14"/>
      <c r="K240" s="14">
        <f t="shared" si="6"/>
        <v>0</v>
      </c>
      <c r="L240" s="16">
        <f t="shared" si="7"/>
        <v>0</v>
      </c>
      <c r="M240" s="22"/>
      <c r="N240" s="44"/>
      <c r="O240" s="23" t="s">
        <v>16</v>
      </c>
      <c r="P240" s="24"/>
      <c r="Q240" s="45"/>
    </row>
    <row r="241" spans="1:17">
      <c r="A241" s="14">
        <v>237</v>
      </c>
      <c r="B241" s="29" t="s">
        <v>327</v>
      </c>
      <c r="C241" s="16">
        <f>'Медикаменты Октябрь'!L240</f>
        <v>290</v>
      </c>
      <c r="D241" s="17"/>
      <c r="E241" s="14"/>
      <c r="F241" s="18">
        <f>5+15</f>
        <v>20</v>
      </c>
      <c r="G241" s="19"/>
      <c r="H241" s="20">
        <f>20</f>
        <v>20</v>
      </c>
      <c r="I241" s="21"/>
      <c r="J241" s="14"/>
      <c r="K241" s="14">
        <f t="shared" si="6"/>
        <v>40</v>
      </c>
      <c r="L241" s="16">
        <f t="shared" si="7"/>
        <v>250</v>
      </c>
      <c r="M241" s="22">
        <v>45231</v>
      </c>
      <c r="N241" s="44" t="s">
        <v>551</v>
      </c>
      <c r="O241" s="23" t="s">
        <v>16</v>
      </c>
      <c r="P241" s="24" t="s">
        <v>17</v>
      </c>
      <c r="Q241" s="28" t="s">
        <v>328</v>
      </c>
    </row>
    <row r="242" spans="1:17">
      <c r="A242" s="14">
        <v>238</v>
      </c>
      <c r="B242" s="29" t="s">
        <v>327</v>
      </c>
      <c r="C242" s="16">
        <f>'Медикаменты Октябрь'!L241</f>
        <v>0</v>
      </c>
      <c r="D242" s="17"/>
      <c r="E242" s="14"/>
      <c r="F242" s="18"/>
      <c r="G242" s="19"/>
      <c r="H242" s="20"/>
      <c r="I242" s="21"/>
      <c r="J242" s="14"/>
      <c r="K242" s="14">
        <f t="shared" si="6"/>
        <v>0</v>
      </c>
      <c r="L242" s="16">
        <f t="shared" si="7"/>
        <v>0</v>
      </c>
      <c r="M242" s="22">
        <v>44743</v>
      </c>
      <c r="N242" s="44"/>
      <c r="O242" s="23" t="s">
        <v>16</v>
      </c>
      <c r="P242" s="24" t="s">
        <v>17</v>
      </c>
      <c r="Q242" s="28" t="s">
        <v>328</v>
      </c>
    </row>
    <row r="243" spans="1:17">
      <c r="A243" s="14">
        <v>239</v>
      </c>
      <c r="B243" s="29" t="s">
        <v>327</v>
      </c>
      <c r="C243" s="16">
        <f>'Медикаменты Октябрь'!L242</f>
        <v>0</v>
      </c>
      <c r="D243" s="17"/>
      <c r="E243" s="14"/>
      <c r="F243" s="18"/>
      <c r="G243" s="19"/>
      <c r="H243" s="20"/>
      <c r="I243" s="21"/>
      <c r="J243" s="14"/>
      <c r="K243" s="14">
        <f t="shared" si="6"/>
        <v>0</v>
      </c>
      <c r="L243" s="16">
        <f t="shared" si="7"/>
        <v>0</v>
      </c>
      <c r="M243" s="22">
        <v>44774</v>
      </c>
      <c r="N243" s="44" t="s">
        <v>45</v>
      </c>
      <c r="O243" s="23" t="s">
        <v>26</v>
      </c>
      <c r="P243" s="24" t="s">
        <v>17</v>
      </c>
      <c r="Q243" s="28" t="s">
        <v>328</v>
      </c>
    </row>
    <row r="244" spans="1:17">
      <c r="A244" s="14">
        <v>240</v>
      </c>
      <c r="B244" s="29" t="s">
        <v>329</v>
      </c>
      <c r="C244" s="16">
        <f>'Медикаменты Октябрь'!L243</f>
        <v>0</v>
      </c>
      <c r="D244" s="17"/>
      <c r="E244" s="14"/>
      <c r="F244" s="18"/>
      <c r="G244" s="19"/>
      <c r="H244" s="20"/>
      <c r="I244" s="21"/>
      <c r="J244" s="14"/>
      <c r="K244" s="14">
        <f t="shared" si="6"/>
        <v>0</v>
      </c>
      <c r="L244" s="16">
        <f t="shared" si="7"/>
        <v>0</v>
      </c>
      <c r="M244" s="22">
        <v>44713</v>
      </c>
      <c r="N244" s="44"/>
      <c r="O244" s="23" t="s">
        <v>16</v>
      </c>
      <c r="P244" s="24"/>
      <c r="Q244" s="28" t="s">
        <v>330</v>
      </c>
    </row>
    <row r="245" spans="1:17">
      <c r="A245" s="14">
        <v>241</v>
      </c>
      <c r="B245" s="29" t="s">
        <v>331</v>
      </c>
      <c r="C245" s="16">
        <f>'Медикаменты Октябрь'!L244</f>
        <v>0</v>
      </c>
      <c r="D245" s="17"/>
      <c r="E245" s="14"/>
      <c r="F245" s="18"/>
      <c r="G245" s="19"/>
      <c r="H245" s="20"/>
      <c r="I245" s="21"/>
      <c r="J245" s="14"/>
      <c r="K245" s="14">
        <f t="shared" si="6"/>
        <v>0</v>
      </c>
      <c r="L245" s="16">
        <f t="shared" si="7"/>
        <v>0</v>
      </c>
      <c r="M245" s="22">
        <v>44317</v>
      </c>
      <c r="N245" s="44"/>
      <c r="O245" s="23" t="s">
        <v>16</v>
      </c>
      <c r="P245" s="24" t="s">
        <v>45</v>
      </c>
      <c r="Q245" s="28" t="s">
        <v>332</v>
      </c>
    </row>
    <row r="246" spans="1:17">
      <c r="A246" s="14">
        <v>242</v>
      </c>
      <c r="B246" s="29" t="s">
        <v>333</v>
      </c>
      <c r="C246" s="16">
        <f>'Медикаменты Октябрь'!L245</f>
        <v>0</v>
      </c>
      <c r="D246" s="17"/>
      <c r="E246" s="14"/>
      <c r="F246" s="18"/>
      <c r="G246" s="19"/>
      <c r="H246" s="20"/>
      <c r="I246" s="21"/>
      <c r="J246" s="14"/>
      <c r="K246" s="14">
        <f t="shared" si="6"/>
        <v>0</v>
      </c>
      <c r="L246" s="16">
        <f t="shared" si="7"/>
        <v>0</v>
      </c>
      <c r="M246" s="22">
        <v>44348</v>
      </c>
      <c r="N246" s="44"/>
      <c r="O246" s="23" t="s">
        <v>16</v>
      </c>
      <c r="P246" s="24"/>
      <c r="Q246" s="28" t="s">
        <v>334</v>
      </c>
    </row>
    <row r="247" spans="1:17">
      <c r="A247" s="14">
        <v>243</v>
      </c>
      <c r="B247" s="29" t="s">
        <v>335</v>
      </c>
      <c r="C247" s="16">
        <f>'Медикаменты Октябрь'!L246</f>
        <v>0</v>
      </c>
      <c r="D247" s="17"/>
      <c r="E247" s="14"/>
      <c r="F247" s="18"/>
      <c r="G247" s="19"/>
      <c r="H247" s="20"/>
      <c r="I247" s="21"/>
      <c r="J247" s="14"/>
      <c r="K247" s="14">
        <f t="shared" si="6"/>
        <v>0</v>
      </c>
      <c r="L247" s="16">
        <f t="shared" si="7"/>
        <v>0</v>
      </c>
      <c r="M247" s="22">
        <v>44348</v>
      </c>
      <c r="N247" s="44"/>
      <c r="O247" s="23" t="s">
        <v>16</v>
      </c>
      <c r="P247" s="24"/>
      <c r="Q247" s="45"/>
    </row>
    <row r="248" spans="1:17">
      <c r="A248" s="14">
        <v>244</v>
      </c>
      <c r="B248" s="29" t="s">
        <v>336</v>
      </c>
      <c r="C248" s="16">
        <f>'Медикаменты Октябрь'!L247</f>
        <v>35</v>
      </c>
      <c r="D248" s="17"/>
      <c r="E248" s="14"/>
      <c r="F248" s="18">
        <f>10</f>
        <v>10</v>
      </c>
      <c r="G248" s="19"/>
      <c r="H248" s="20"/>
      <c r="I248" s="21"/>
      <c r="J248" s="14"/>
      <c r="K248" s="14">
        <f t="shared" si="6"/>
        <v>10</v>
      </c>
      <c r="L248" s="16">
        <f t="shared" si="7"/>
        <v>25</v>
      </c>
      <c r="M248" s="22">
        <v>45413</v>
      </c>
      <c r="N248" s="44" t="s">
        <v>45</v>
      </c>
      <c r="O248" s="23" t="s">
        <v>16</v>
      </c>
      <c r="P248" s="24" t="s">
        <v>17</v>
      </c>
      <c r="Q248" s="28" t="s">
        <v>337</v>
      </c>
    </row>
    <row r="249" spans="1:17">
      <c r="A249" s="14">
        <v>245</v>
      </c>
      <c r="B249" s="29" t="s">
        <v>336</v>
      </c>
      <c r="C249" s="16">
        <f>'Медикаменты Октябрь'!L248</f>
        <v>100</v>
      </c>
      <c r="D249" s="17"/>
      <c r="E249" s="14"/>
      <c r="F249" s="18"/>
      <c r="G249" s="19"/>
      <c r="H249" s="20"/>
      <c r="I249" s="21"/>
      <c r="J249" s="14"/>
      <c r="K249" s="14">
        <f t="shared" si="6"/>
        <v>0</v>
      </c>
      <c r="L249" s="16">
        <f t="shared" si="7"/>
        <v>100</v>
      </c>
      <c r="M249" s="22">
        <v>46235</v>
      </c>
      <c r="N249" s="44" t="s">
        <v>551</v>
      </c>
      <c r="O249" s="23" t="s">
        <v>16</v>
      </c>
      <c r="P249" s="24" t="s">
        <v>17</v>
      </c>
      <c r="Q249" s="28" t="s">
        <v>337</v>
      </c>
    </row>
    <row r="250" spans="1:17">
      <c r="A250" s="14">
        <v>246</v>
      </c>
      <c r="B250" s="29" t="s">
        <v>338</v>
      </c>
      <c r="C250" s="16">
        <f>'Медикаменты Октябрь'!L249</f>
        <v>78</v>
      </c>
      <c r="D250" s="17"/>
      <c r="E250" s="14"/>
      <c r="F250" s="18"/>
      <c r="G250" s="19"/>
      <c r="H250" s="20"/>
      <c r="I250" s="21"/>
      <c r="J250" s="14"/>
      <c r="K250" s="14">
        <f t="shared" si="6"/>
        <v>0</v>
      </c>
      <c r="L250" s="16">
        <f t="shared" si="7"/>
        <v>78</v>
      </c>
      <c r="M250" s="22">
        <v>45352</v>
      </c>
      <c r="N250" s="44" t="s">
        <v>551</v>
      </c>
      <c r="O250" s="23" t="s">
        <v>16</v>
      </c>
      <c r="P250" s="24" t="s">
        <v>17</v>
      </c>
      <c r="Q250" s="28" t="s">
        <v>339</v>
      </c>
    </row>
    <row r="251" spans="1:17">
      <c r="A251" s="14">
        <v>247</v>
      </c>
      <c r="B251" s="29" t="s">
        <v>338</v>
      </c>
      <c r="C251" s="16">
        <f>'Медикаменты Октябрь'!L250</f>
        <v>50</v>
      </c>
      <c r="D251" s="17"/>
      <c r="E251" s="14"/>
      <c r="F251" s="18"/>
      <c r="G251" s="19"/>
      <c r="H251" s="20"/>
      <c r="I251" s="21">
        <f>50</f>
        <v>50</v>
      </c>
      <c r="J251" s="14"/>
      <c r="K251" s="14">
        <f t="shared" si="6"/>
        <v>50</v>
      </c>
      <c r="L251" s="16">
        <f t="shared" si="7"/>
        <v>0</v>
      </c>
      <c r="M251" s="22">
        <v>45352</v>
      </c>
      <c r="N251" s="44" t="s">
        <v>551</v>
      </c>
      <c r="O251" s="23" t="s">
        <v>26</v>
      </c>
      <c r="P251" s="24" t="s">
        <v>17</v>
      </c>
      <c r="Q251" s="28" t="s">
        <v>339</v>
      </c>
    </row>
    <row r="252" spans="1:17">
      <c r="A252" s="14">
        <v>248</v>
      </c>
      <c r="B252" s="29" t="s">
        <v>662</v>
      </c>
      <c r="C252" s="16">
        <f>'Медикаменты Октябрь'!L251</f>
        <v>20</v>
      </c>
      <c r="D252" s="17"/>
      <c r="E252" s="14"/>
      <c r="F252" s="18"/>
      <c r="G252" s="19"/>
      <c r="H252" s="20"/>
      <c r="I252" s="21"/>
      <c r="J252" s="14"/>
      <c r="K252" s="14">
        <f t="shared" si="6"/>
        <v>0</v>
      </c>
      <c r="L252" s="16">
        <f t="shared" si="7"/>
        <v>20</v>
      </c>
      <c r="M252" s="22">
        <v>45108</v>
      </c>
      <c r="N252" s="44" t="s">
        <v>551</v>
      </c>
      <c r="O252" s="23" t="s">
        <v>16</v>
      </c>
      <c r="P252" s="24" t="s">
        <v>17</v>
      </c>
      <c r="Q252" s="28" t="s">
        <v>663</v>
      </c>
    </row>
    <row r="253" spans="1:17">
      <c r="A253" s="14">
        <v>249</v>
      </c>
      <c r="B253" s="29" t="s">
        <v>340</v>
      </c>
      <c r="C253" s="16">
        <f>'Медикаменты Октябрь'!L252</f>
        <v>0</v>
      </c>
      <c r="D253" s="17"/>
      <c r="E253" s="14"/>
      <c r="F253" s="18"/>
      <c r="G253" s="19"/>
      <c r="H253" s="20"/>
      <c r="I253" s="21"/>
      <c r="J253" s="14"/>
      <c r="K253" s="14">
        <f t="shared" si="6"/>
        <v>0</v>
      </c>
      <c r="L253" s="16">
        <f t="shared" si="7"/>
        <v>0</v>
      </c>
      <c r="M253" s="22"/>
      <c r="N253" s="44"/>
      <c r="O253" s="23" t="s">
        <v>16</v>
      </c>
      <c r="P253" s="24"/>
      <c r="Q253" s="45"/>
    </row>
    <row r="254" spans="1:17">
      <c r="A254" s="14">
        <v>250</v>
      </c>
      <c r="B254" s="29" t="s">
        <v>341</v>
      </c>
      <c r="C254" s="16">
        <f>'Медикаменты Октябрь'!L253</f>
        <v>19</v>
      </c>
      <c r="D254" s="17"/>
      <c r="E254" s="14"/>
      <c r="F254" s="18"/>
      <c r="G254" s="19"/>
      <c r="H254" s="20"/>
      <c r="I254" s="21"/>
      <c r="J254" s="14"/>
      <c r="K254" s="14">
        <f t="shared" si="6"/>
        <v>0</v>
      </c>
      <c r="L254" s="16">
        <f t="shared" si="7"/>
        <v>19</v>
      </c>
      <c r="M254" s="22">
        <v>45108</v>
      </c>
      <c r="N254" s="44" t="s">
        <v>45</v>
      </c>
      <c r="O254" s="23" t="s">
        <v>16</v>
      </c>
      <c r="P254" s="24" t="s">
        <v>17</v>
      </c>
      <c r="Q254" s="28" t="s">
        <v>342</v>
      </c>
    </row>
    <row r="255" spans="1:17">
      <c r="A255" s="14">
        <v>251</v>
      </c>
      <c r="B255" s="29" t="s">
        <v>341</v>
      </c>
      <c r="C255" s="16">
        <f>'Медикаменты Октябрь'!L254</f>
        <v>100</v>
      </c>
      <c r="D255" s="17"/>
      <c r="E255" s="14"/>
      <c r="F255" s="18"/>
      <c r="G255" s="19"/>
      <c r="H255" s="20"/>
      <c r="I255" s="21"/>
      <c r="J255" s="14"/>
      <c r="K255" s="14">
        <f t="shared" si="6"/>
        <v>0</v>
      </c>
      <c r="L255" s="16">
        <f t="shared" si="7"/>
        <v>100</v>
      </c>
      <c r="M255" s="22">
        <v>45809</v>
      </c>
      <c r="N255" s="44" t="s">
        <v>551</v>
      </c>
      <c r="O255" s="23" t="s">
        <v>16</v>
      </c>
      <c r="P255" s="24" t="s">
        <v>17</v>
      </c>
      <c r="Q255" s="28" t="s">
        <v>342</v>
      </c>
    </row>
    <row r="256" spans="1:17">
      <c r="A256" s="14">
        <v>252</v>
      </c>
      <c r="B256" s="29" t="s">
        <v>343</v>
      </c>
      <c r="C256" s="16">
        <f>'Медикаменты Октябрь'!L255</f>
        <v>135</v>
      </c>
      <c r="D256" s="17"/>
      <c r="E256" s="14"/>
      <c r="F256" s="18">
        <f>15</f>
        <v>15</v>
      </c>
      <c r="G256" s="19"/>
      <c r="H256" s="20"/>
      <c r="I256" s="21"/>
      <c r="J256" s="14"/>
      <c r="K256" s="14">
        <f t="shared" si="6"/>
        <v>15</v>
      </c>
      <c r="L256" s="16">
        <f t="shared" si="7"/>
        <v>120</v>
      </c>
      <c r="M256" s="22">
        <v>45047</v>
      </c>
      <c r="N256" s="44" t="s">
        <v>551</v>
      </c>
      <c r="O256" s="23" t="s">
        <v>16</v>
      </c>
      <c r="P256" s="24" t="s">
        <v>17</v>
      </c>
      <c r="Q256" s="28" t="s">
        <v>344</v>
      </c>
    </row>
    <row r="257" spans="1:17">
      <c r="A257" s="14">
        <v>253</v>
      </c>
      <c r="B257" s="29" t="s">
        <v>343</v>
      </c>
      <c r="C257" s="16">
        <f>'Медикаменты Октябрь'!L256</f>
        <v>0</v>
      </c>
      <c r="D257" s="17"/>
      <c r="E257" s="14"/>
      <c r="F257" s="18"/>
      <c r="G257" s="19"/>
      <c r="H257" s="20"/>
      <c r="I257" s="21"/>
      <c r="J257" s="14"/>
      <c r="K257" s="14">
        <f t="shared" si="6"/>
        <v>0</v>
      </c>
      <c r="L257" s="16">
        <f t="shared" si="7"/>
        <v>0</v>
      </c>
      <c r="M257" s="22">
        <v>44835</v>
      </c>
      <c r="N257" s="44"/>
      <c r="O257" s="23" t="s">
        <v>26</v>
      </c>
      <c r="P257" s="24"/>
      <c r="Q257" s="28" t="s">
        <v>344</v>
      </c>
    </row>
    <row r="258" spans="1:17">
      <c r="A258" s="14">
        <v>254</v>
      </c>
      <c r="B258" s="29" t="s">
        <v>345</v>
      </c>
      <c r="C258" s="16">
        <f>'Медикаменты Октябрь'!L257</f>
        <v>0</v>
      </c>
      <c r="D258" s="17"/>
      <c r="E258" s="14"/>
      <c r="F258" s="18"/>
      <c r="G258" s="19"/>
      <c r="H258" s="20"/>
      <c r="I258" s="21"/>
      <c r="J258" s="14"/>
      <c r="K258" s="14">
        <f t="shared" si="6"/>
        <v>0</v>
      </c>
      <c r="L258" s="16">
        <f t="shared" si="7"/>
        <v>0</v>
      </c>
      <c r="M258" s="22">
        <v>45017</v>
      </c>
      <c r="N258" s="44" t="s">
        <v>45</v>
      </c>
      <c r="O258" s="23" t="s">
        <v>16</v>
      </c>
      <c r="P258" s="24" t="s">
        <v>45</v>
      </c>
      <c r="Q258" s="28" t="s">
        <v>346</v>
      </c>
    </row>
    <row r="259" spans="1:17">
      <c r="A259" s="14">
        <v>255</v>
      </c>
      <c r="B259" s="29" t="s">
        <v>347</v>
      </c>
      <c r="C259" s="16">
        <f>'Медикаменты Октябрь'!L258</f>
        <v>0</v>
      </c>
      <c r="D259" s="17"/>
      <c r="E259" s="14"/>
      <c r="F259" s="18"/>
      <c r="G259" s="19"/>
      <c r="H259" s="20"/>
      <c r="I259" s="21"/>
      <c r="J259" s="14"/>
      <c r="K259" s="14">
        <f t="shared" si="6"/>
        <v>0</v>
      </c>
      <c r="L259" s="16">
        <f t="shared" si="7"/>
        <v>0</v>
      </c>
      <c r="M259" s="22">
        <v>45323</v>
      </c>
      <c r="N259" s="44" t="s">
        <v>551</v>
      </c>
      <c r="O259" s="23" t="s">
        <v>16</v>
      </c>
      <c r="P259" s="24" t="s">
        <v>45</v>
      </c>
      <c r="Q259" s="28" t="s">
        <v>348</v>
      </c>
    </row>
    <row r="260" spans="1:17">
      <c r="A260" s="14">
        <v>256</v>
      </c>
      <c r="B260" s="29" t="s">
        <v>349</v>
      </c>
      <c r="C260" s="16">
        <f>'Медикаменты Октябрь'!L259</f>
        <v>0</v>
      </c>
      <c r="D260" s="17"/>
      <c r="E260" s="14"/>
      <c r="F260" s="18"/>
      <c r="G260" s="19"/>
      <c r="H260" s="20"/>
      <c r="I260" s="21"/>
      <c r="J260" s="14"/>
      <c r="K260" s="14">
        <f t="shared" si="6"/>
        <v>0</v>
      </c>
      <c r="L260" s="16">
        <f t="shared" si="7"/>
        <v>0</v>
      </c>
      <c r="M260" s="22"/>
      <c r="N260" s="44"/>
      <c r="O260" s="23" t="s">
        <v>16</v>
      </c>
      <c r="P260" s="24"/>
      <c r="Q260" s="45"/>
    </row>
    <row r="261" spans="1:17">
      <c r="A261" s="14">
        <v>257</v>
      </c>
      <c r="B261" s="29" t="s">
        <v>350</v>
      </c>
      <c r="C261" s="16">
        <f>'Медикаменты Октябрь'!L260</f>
        <v>0</v>
      </c>
      <c r="D261" s="17"/>
      <c r="E261" s="14"/>
      <c r="F261" s="18"/>
      <c r="G261" s="19"/>
      <c r="H261" s="20"/>
      <c r="I261" s="21"/>
      <c r="J261" s="14"/>
      <c r="K261" s="14">
        <f t="shared" ref="K261:K324" si="8">SUM(F261:J261)</f>
        <v>0</v>
      </c>
      <c r="L261" s="16">
        <f t="shared" ref="L261:L324" si="9">(C261+E261)-K261</f>
        <v>0</v>
      </c>
      <c r="M261" s="22"/>
      <c r="N261" s="44"/>
      <c r="O261" s="23" t="s">
        <v>16</v>
      </c>
      <c r="P261" s="24"/>
      <c r="Q261" s="45"/>
    </row>
    <row r="262" spans="1:17">
      <c r="A262" s="14">
        <v>258</v>
      </c>
      <c r="B262" s="29" t="s">
        <v>609</v>
      </c>
      <c r="C262" s="16">
        <f>'Медикаменты Октябрь'!L261</f>
        <v>25</v>
      </c>
      <c r="D262" s="17"/>
      <c r="E262" s="14"/>
      <c r="F262" s="18">
        <f>10+5</f>
        <v>15</v>
      </c>
      <c r="G262" s="19"/>
      <c r="H262" s="20"/>
      <c r="I262" s="21"/>
      <c r="J262" s="14"/>
      <c r="K262" s="14">
        <f t="shared" si="8"/>
        <v>15</v>
      </c>
      <c r="L262" s="16">
        <f t="shared" si="9"/>
        <v>10</v>
      </c>
      <c r="M262" s="22">
        <v>45474</v>
      </c>
      <c r="N262" s="44" t="s">
        <v>551</v>
      </c>
      <c r="O262" s="23" t="s">
        <v>16</v>
      </c>
      <c r="P262" s="24" t="s">
        <v>17</v>
      </c>
      <c r="Q262" s="28" t="s">
        <v>352</v>
      </c>
    </row>
    <row r="263" spans="1:17">
      <c r="A263" s="14">
        <v>259</v>
      </c>
      <c r="B263" s="29" t="s">
        <v>353</v>
      </c>
      <c r="C263" s="16">
        <f>'Медикаменты Октябрь'!L262</f>
        <v>183</v>
      </c>
      <c r="D263" s="17"/>
      <c r="E263" s="14"/>
      <c r="F263" s="18">
        <f>5+15</f>
        <v>20</v>
      </c>
      <c r="G263" s="19"/>
      <c r="H263" s="20"/>
      <c r="I263" s="21"/>
      <c r="J263" s="14"/>
      <c r="K263" s="14">
        <f t="shared" si="8"/>
        <v>20</v>
      </c>
      <c r="L263" s="16">
        <f t="shared" si="9"/>
        <v>163</v>
      </c>
      <c r="M263" s="22">
        <v>44652</v>
      </c>
      <c r="N263" s="44" t="s">
        <v>45</v>
      </c>
      <c r="O263" s="23" t="s">
        <v>16</v>
      </c>
      <c r="P263" s="24" t="s">
        <v>17</v>
      </c>
      <c r="Q263" s="28" t="s">
        <v>354</v>
      </c>
    </row>
    <row r="264" spans="1:17">
      <c r="A264" s="14">
        <v>260</v>
      </c>
      <c r="B264" s="29" t="s">
        <v>355</v>
      </c>
      <c r="C264" s="16">
        <f>'Медикаменты Октябрь'!L263</f>
        <v>8</v>
      </c>
      <c r="D264" s="17"/>
      <c r="E264" s="14"/>
      <c r="F264" s="18"/>
      <c r="G264" s="19"/>
      <c r="H264" s="20"/>
      <c r="I264" s="21"/>
      <c r="J264" s="14"/>
      <c r="K264" s="14">
        <f t="shared" si="8"/>
        <v>0</v>
      </c>
      <c r="L264" s="16">
        <f t="shared" si="9"/>
        <v>8</v>
      </c>
      <c r="M264" s="22">
        <v>44713</v>
      </c>
      <c r="N264" s="44" t="s">
        <v>45</v>
      </c>
      <c r="O264" s="23" t="s">
        <v>16</v>
      </c>
      <c r="P264" s="24" t="s">
        <v>17</v>
      </c>
      <c r="Q264" s="28" t="s">
        <v>356</v>
      </c>
    </row>
    <row r="265" spans="1:17">
      <c r="A265" s="14">
        <v>261</v>
      </c>
      <c r="B265" s="29" t="s">
        <v>357</v>
      </c>
      <c r="C265" s="16">
        <f>'Медикаменты Октябрь'!L264</f>
        <v>0</v>
      </c>
      <c r="D265" s="17"/>
      <c r="E265" s="14"/>
      <c r="F265" s="18"/>
      <c r="G265" s="19"/>
      <c r="H265" s="20"/>
      <c r="I265" s="21"/>
      <c r="J265" s="14"/>
      <c r="K265" s="14">
        <f t="shared" si="8"/>
        <v>0</v>
      </c>
      <c r="L265" s="16">
        <f t="shared" si="9"/>
        <v>0</v>
      </c>
      <c r="M265" s="22"/>
      <c r="N265" s="44"/>
      <c r="O265" s="23" t="s">
        <v>16</v>
      </c>
      <c r="P265" s="24"/>
      <c r="Q265" s="45"/>
    </row>
    <row r="266" spans="1:17">
      <c r="A266" s="14">
        <v>262</v>
      </c>
      <c r="B266" s="29" t="s">
        <v>633</v>
      </c>
      <c r="C266" s="16">
        <f>'Медикаменты Октябрь'!L265</f>
        <v>3</v>
      </c>
      <c r="D266" s="17"/>
      <c r="E266" s="14"/>
      <c r="F266" s="18">
        <f>3</f>
        <v>3</v>
      </c>
      <c r="G266" s="19"/>
      <c r="H266" s="20"/>
      <c r="I266" s="21"/>
      <c r="J266" s="14"/>
      <c r="K266" s="14">
        <f t="shared" si="8"/>
        <v>3</v>
      </c>
      <c r="L266" s="16">
        <f t="shared" si="9"/>
        <v>0</v>
      </c>
      <c r="M266" s="22">
        <v>45352</v>
      </c>
      <c r="N266" s="44" t="s">
        <v>551</v>
      </c>
      <c r="O266" s="23" t="s">
        <v>16</v>
      </c>
      <c r="P266" s="24" t="s">
        <v>17</v>
      </c>
      <c r="Q266" s="28" t="s">
        <v>634</v>
      </c>
    </row>
    <row r="267" spans="1:17">
      <c r="A267" s="14">
        <v>263</v>
      </c>
      <c r="B267" s="29" t="s">
        <v>360</v>
      </c>
      <c r="C267" s="16">
        <f>'Медикаменты Октябрь'!L266</f>
        <v>42</v>
      </c>
      <c r="D267" s="17"/>
      <c r="E267" s="14"/>
      <c r="F267" s="18">
        <f>3+7</f>
        <v>10</v>
      </c>
      <c r="G267" s="19"/>
      <c r="H267" s="20"/>
      <c r="I267" s="21"/>
      <c r="J267" s="14"/>
      <c r="K267" s="14">
        <f t="shared" si="8"/>
        <v>10</v>
      </c>
      <c r="L267" s="16">
        <f t="shared" si="9"/>
        <v>32</v>
      </c>
      <c r="M267" s="22">
        <v>45352</v>
      </c>
      <c r="N267" s="44" t="s">
        <v>551</v>
      </c>
      <c r="O267" s="23" t="s">
        <v>16</v>
      </c>
      <c r="P267" s="24" t="s">
        <v>17</v>
      </c>
      <c r="Q267" s="28" t="s">
        <v>652</v>
      </c>
    </row>
    <row r="268" spans="1:17">
      <c r="A268" s="14">
        <v>264</v>
      </c>
      <c r="B268" s="29" t="s">
        <v>361</v>
      </c>
      <c r="C268" s="16">
        <f>'Медикаменты Октябрь'!L267</f>
        <v>0</v>
      </c>
      <c r="D268" s="17"/>
      <c r="E268" s="14"/>
      <c r="F268" s="18"/>
      <c r="G268" s="19"/>
      <c r="H268" s="20"/>
      <c r="I268" s="21"/>
      <c r="J268" s="14"/>
      <c r="K268" s="14">
        <f t="shared" si="8"/>
        <v>0</v>
      </c>
      <c r="L268" s="16">
        <f t="shared" si="9"/>
        <v>0</v>
      </c>
      <c r="M268" s="22"/>
      <c r="N268" s="44"/>
      <c r="O268" s="23" t="s">
        <v>16</v>
      </c>
      <c r="P268" s="24"/>
      <c r="Q268" s="45"/>
    </row>
    <row r="269" spans="1:17">
      <c r="A269" s="14">
        <v>265</v>
      </c>
      <c r="B269" s="29" t="s">
        <v>362</v>
      </c>
      <c r="C269" s="16">
        <f>'Медикаменты Октябрь'!L268</f>
        <v>0</v>
      </c>
      <c r="D269" s="17"/>
      <c r="E269" s="14"/>
      <c r="F269" s="18"/>
      <c r="G269" s="19"/>
      <c r="H269" s="20"/>
      <c r="I269" s="21"/>
      <c r="J269" s="14"/>
      <c r="K269" s="14">
        <f t="shared" si="8"/>
        <v>0</v>
      </c>
      <c r="L269" s="16">
        <f t="shared" si="9"/>
        <v>0</v>
      </c>
      <c r="M269" s="22">
        <v>45200</v>
      </c>
      <c r="N269" s="44"/>
      <c r="O269" s="23" t="s">
        <v>16</v>
      </c>
      <c r="P269" s="24"/>
      <c r="Q269" s="28" t="s">
        <v>363</v>
      </c>
    </row>
    <row r="270" spans="1:17">
      <c r="A270" s="14">
        <v>266</v>
      </c>
      <c r="B270" s="29" t="s">
        <v>364</v>
      </c>
      <c r="C270" s="16">
        <f>'Медикаменты Октябрь'!L269</f>
        <v>0</v>
      </c>
      <c r="D270" s="17"/>
      <c r="E270" s="14"/>
      <c r="F270" s="18"/>
      <c r="G270" s="19"/>
      <c r="H270" s="20"/>
      <c r="I270" s="21"/>
      <c r="J270" s="14"/>
      <c r="K270" s="14">
        <f t="shared" si="8"/>
        <v>0</v>
      </c>
      <c r="L270" s="16">
        <f t="shared" si="9"/>
        <v>0</v>
      </c>
      <c r="M270" s="22">
        <v>44378</v>
      </c>
      <c r="N270" s="44"/>
      <c r="O270" s="23" t="s">
        <v>26</v>
      </c>
      <c r="P270" s="24"/>
      <c r="Q270" s="45"/>
    </row>
    <row r="271" spans="1:17">
      <c r="A271" s="14">
        <v>267</v>
      </c>
      <c r="B271" s="29" t="s">
        <v>365</v>
      </c>
      <c r="C271" s="16">
        <f>'Медикаменты Октябрь'!L270</f>
        <v>0</v>
      </c>
      <c r="D271" s="17"/>
      <c r="E271" s="14"/>
      <c r="F271" s="18"/>
      <c r="G271" s="19"/>
      <c r="H271" s="20"/>
      <c r="I271" s="21"/>
      <c r="J271" s="14"/>
      <c r="K271" s="14">
        <f t="shared" si="8"/>
        <v>0</v>
      </c>
      <c r="L271" s="16">
        <f t="shared" si="9"/>
        <v>0</v>
      </c>
      <c r="M271" s="22"/>
      <c r="N271" s="44"/>
      <c r="O271" s="23" t="s">
        <v>16</v>
      </c>
      <c r="P271" s="24"/>
      <c r="Q271" s="45"/>
    </row>
    <row r="272" spans="1:17">
      <c r="A272" s="14">
        <v>268</v>
      </c>
      <c r="B272" s="29" t="s">
        <v>556</v>
      </c>
      <c r="C272" s="16">
        <f>'Медикаменты Октябрь'!L271</f>
        <v>4</v>
      </c>
      <c r="D272" s="17"/>
      <c r="E272" s="14"/>
      <c r="F272" s="18"/>
      <c r="G272" s="19"/>
      <c r="H272" s="20"/>
      <c r="I272" s="21"/>
      <c r="J272" s="14"/>
      <c r="K272" s="14">
        <f t="shared" si="8"/>
        <v>0</v>
      </c>
      <c r="L272" s="16">
        <f t="shared" si="9"/>
        <v>4</v>
      </c>
      <c r="M272" s="22">
        <v>45231</v>
      </c>
      <c r="N272" s="44" t="s">
        <v>551</v>
      </c>
      <c r="O272" s="23" t="s">
        <v>16</v>
      </c>
      <c r="P272" s="24" t="s">
        <v>17</v>
      </c>
      <c r="Q272" s="28" t="s">
        <v>557</v>
      </c>
    </row>
    <row r="273" spans="1:17">
      <c r="A273" s="14">
        <v>269</v>
      </c>
      <c r="B273" s="29" t="s">
        <v>556</v>
      </c>
      <c r="C273" s="16">
        <f>'Медикаменты Октябрь'!L272</f>
        <v>0</v>
      </c>
      <c r="D273" s="17"/>
      <c r="E273" s="14"/>
      <c r="F273" s="18"/>
      <c r="G273" s="19"/>
      <c r="H273" s="20"/>
      <c r="I273" s="21"/>
      <c r="J273" s="14"/>
      <c r="K273" s="14">
        <f t="shared" si="8"/>
        <v>0</v>
      </c>
      <c r="L273" s="16">
        <f t="shared" si="9"/>
        <v>0</v>
      </c>
      <c r="M273" s="22">
        <v>45231</v>
      </c>
      <c r="N273" s="44" t="s">
        <v>551</v>
      </c>
      <c r="O273" s="23" t="s">
        <v>26</v>
      </c>
      <c r="P273" s="24" t="s">
        <v>17</v>
      </c>
      <c r="Q273" s="28" t="s">
        <v>557</v>
      </c>
    </row>
    <row r="274" spans="1:17">
      <c r="A274" s="14">
        <v>270</v>
      </c>
      <c r="B274" s="29" t="s">
        <v>367</v>
      </c>
      <c r="C274" s="16">
        <f>'Медикаменты Октябрь'!L273</f>
        <v>0</v>
      </c>
      <c r="D274" s="17"/>
      <c r="E274" s="14"/>
      <c r="F274" s="18"/>
      <c r="G274" s="19"/>
      <c r="H274" s="20"/>
      <c r="I274" s="21"/>
      <c r="J274" s="14"/>
      <c r="K274" s="14">
        <f t="shared" si="8"/>
        <v>0</v>
      </c>
      <c r="L274" s="16">
        <f t="shared" si="9"/>
        <v>0</v>
      </c>
      <c r="M274" s="22">
        <v>45261</v>
      </c>
      <c r="N274" s="44" t="s">
        <v>45</v>
      </c>
      <c r="O274" s="23" t="s">
        <v>16</v>
      </c>
      <c r="P274" s="24" t="s">
        <v>17</v>
      </c>
      <c r="Q274" s="28" t="s">
        <v>368</v>
      </c>
    </row>
    <row r="275" spans="1:17">
      <c r="A275" s="14">
        <v>271</v>
      </c>
      <c r="B275" s="29" t="s">
        <v>369</v>
      </c>
      <c r="C275" s="16">
        <f>'Медикаменты Октябрь'!L274</f>
        <v>0</v>
      </c>
      <c r="D275" s="17"/>
      <c r="E275" s="14"/>
      <c r="F275" s="18"/>
      <c r="G275" s="19"/>
      <c r="H275" s="20"/>
      <c r="I275" s="21"/>
      <c r="J275" s="14"/>
      <c r="K275" s="14">
        <f t="shared" si="8"/>
        <v>0</v>
      </c>
      <c r="L275" s="16">
        <f t="shared" si="9"/>
        <v>0</v>
      </c>
      <c r="M275" s="22">
        <v>44927</v>
      </c>
      <c r="N275" s="44" t="s">
        <v>45</v>
      </c>
      <c r="O275" s="23" t="s">
        <v>16</v>
      </c>
      <c r="P275" s="24" t="s">
        <v>45</v>
      </c>
      <c r="Q275" s="28" t="s">
        <v>370</v>
      </c>
    </row>
    <row r="276" spans="1:17">
      <c r="A276" s="14">
        <v>272</v>
      </c>
      <c r="B276" s="29" t="s">
        <v>371</v>
      </c>
      <c r="C276" s="16">
        <f>'Медикаменты Октябрь'!L275</f>
        <v>0</v>
      </c>
      <c r="D276" s="17"/>
      <c r="E276" s="14"/>
      <c r="F276" s="18"/>
      <c r="G276" s="19"/>
      <c r="H276" s="20"/>
      <c r="I276" s="21"/>
      <c r="J276" s="14"/>
      <c r="K276" s="14">
        <f t="shared" si="8"/>
        <v>0</v>
      </c>
      <c r="L276" s="16">
        <f t="shared" si="9"/>
        <v>0</v>
      </c>
      <c r="M276" s="22">
        <v>45413</v>
      </c>
      <c r="N276" s="44"/>
      <c r="O276" s="23" t="s">
        <v>16</v>
      </c>
      <c r="P276" s="24" t="s">
        <v>17</v>
      </c>
      <c r="Q276" s="28" t="s">
        <v>372</v>
      </c>
    </row>
    <row r="277" spans="1:17">
      <c r="A277" s="14">
        <v>273</v>
      </c>
      <c r="B277" s="29" t="s">
        <v>371</v>
      </c>
      <c r="C277" s="16">
        <f>'Медикаменты Октябрь'!L276</f>
        <v>0</v>
      </c>
      <c r="D277" s="17"/>
      <c r="E277" s="14"/>
      <c r="F277" s="18"/>
      <c r="G277" s="19"/>
      <c r="H277" s="20"/>
      <c r="I277" s="21"/>
      <c r="J277" s="14"/>
      <c r="K277" s="14">
        <f t="shared" si="8"/>
        <v>0</v>
      </c>
      <c r="L277" s="16">
        <f t="shared" si="9"/>
        <v>0</v>
      </c>
      <c r="M277" s="22">
        <v>45413</v>
      </c>
      <c r="N277" s="44"/>
      <c r="O277" s="23" t="s">
        <v>26</v>
      </c>
      <c r="P277" s="24"/>
      <c r="Q277" s="28" t="s">
        <v>372</v>
      </c>
    </row>
    <row r="278" spans="1:17">
      <c r="A278" s="14">
        <v>274</v>
      </c>
      <c r="B278" s="29" t="s">
        <v>373</v>
      </c>
      <c r="C278" s="16">
        <f>'Медикаменты Октябрь'!L277</f>
        <v>0</v>
      </c>
      <c r="D278" s="17"/>
      <c r="E278" s="14"/>
      <c r="F278" s="18"/>
      <c r="G278" s="19"/>
      <c r="H278" s="20"/>
      <c r="I278" s="21"/>
      <c r="J278" s="14"/>
      <c r="K278" s="14">
        <f t="shared" si="8"/>
        <v>0</v>
      </c>
      <c r="L278" s="16">
        <f t="shared" si="9"/>
        <v>0</v>
      </c>
      <c r="M278" s="22">
        <v>45108</v>
      </c>
      <c r="N278" s="44"/>
      <c r="O278" s="23" t="s">
        <v>16</v>
      </c>
      <c r="P278" s="24"/>
      <c r="Q278" s="28" t="s">
        <v>374</v>
      </c>
    </row>
    <row r="279" spans="1:17">
      <c r="A279" s="14">
        <v>275</v>
      </c>
      <c r="B279" s="29" t="s">
        <v>373</v>
      </c>
      <c r="C279" s="16">
        <f>'Медикаменты Октябрь'!L278</f>
        <v>0</v>
      </c>
      <c r="D279" s="17"/>
      <c r="E279" s="14"/>
      <c r="F279" s="18"/>
      <c r="G279" s="19"/>
      <c r="H279" s="20"/>
      <c r="I279" s="21"/>
      <c r="J279" s="14"/>
      <c r="K279" s="14">
        <f t="shared" si="8"/>
        <v>0</v>
      </c>
      <c r="L279" s="16">
        <f t="shared" si="9"/>
        <v>0</v>
      </c>
      <c r="M279" s="22">
        <v>45108</v>
      </c>
      <c r="N279" s="44"/>
      <c r="O279" s="23" t="s">
        <v>26</v>
      </c>
      <c r="P279" s="24"/>
      <c r="Q279" s="28" t="s">
        <v>374</v>
      </c>
    </row>
    <row r="280" spans="1:17">
      <c r="A280" s="14">
        <v>276</v>
      </c>
      <c r="B280" s="29" t="s">
        <v>653</v>
      </c>
      <c r="C280" s="16">
        <f>'Медикаменты Октябрь'!L279</f>
        <v>80</v>
      </c>
      <c r="D280" s="17"/>
      <c r="E280" s="14"/>
      <c r="F280" s="18"/>
      <c r="G280" s="19"/>
      <c r="H280" s="20"/>
      <c r="I280" s="21"/>
      <c r="J280" s="14"/>
      <c r="K280" s="14">
        <f t="shared" si="8"/>
        <v>0</v>
      </c>
      <c r="L280" s="16">
        <f t="shared" si="9"/>
        <v>80</v>
      </c>
      <c r="M280" s="22">
        <v>45444</v>
      </c>
      <c r="N280" s="44" t="s">
        <v>551</v>
      </c>
      <c r="O280" s="23" t="s">
        <v>16</v>
      </c>
      <c r="P280" s="24" t="s">
        <v>17</v>
      </c>
      <c r="Q280" s="28" t="s">
        <v>654</v>
      </c>
    </row>
    <row r="281" spans="1:17">
      <c r="A281" s="14">
        <v>277</v>
      </c>
      <c r="B281" s="29" t="s">
        <v>375</v>
      </c>
      <c r="C281" s="16">
        <f>'Медикаменты Октябрь'!L280</f>
        <v>0</v>
      </c>
      <c r="D281" s="17"/>
      <c r="E281" s="14"/>
      <c r="F281" s="18"/>
      <c r="G281" s="19"/>
      <c r="H281" s="20"/>
      <c r="I281" s="21"/>
      <c r="J281" s="14"/>
      <c r="K281" s="14">
        <f t="shared" si="8"/>
        <v>0</v>
      </c>
      <c r="L281" s="16">
        <f t="shared" si="9"/>
        <v>0</v>
      </c>
      <c r="M281" s="22">
        <v>44958</v>
      </c>
      <c r="N281" s="44"/>
      <c r="O281" s="23" t="s">
        <v>26</v>
      </c>
      <c r="P281" s="24"/>
      <c r="Q281" s="28" t="s">
        <v>376</v>
      </c>
    </row>
    <row r="282" spans="1:17">
      <c r="A282" s="14">
        <v>278</v>
      </c>
      <c r="B282" s="29" t="s">
        <v>377</v>
      </c>
      <c r="C282" s="16">
        <f>'Медикаменты Октябрь'!L281</f>
        <v>502</v>
      </c>
      <c r="D282" s="17"/>
      <c r="E282" s="14"/>
      <c r="F282" s="18">
        <f>40</f>
        <v>40</v>
      </c>
      <c r="G282" s="19"/>
      <c r="H282" s="20">
        <f>20</f>
        <v>20</v>
      </c>
      <c r="I282" s="21"/>
      <c r="J282" s="14"/>
      <c r="K282" s="14">
        <f t="shared" si="8"/>
        <v>60</v>
      </c>
      <c r="L282" s="16">
        <f t="shared" si="9"/>
        <v>442</v>
      </c>
      <c r="M282" s="22">
        <v>45230</v>
      </c>
      <c r="N282" s="44" t="s">
        <v>551</v>
      </c>
      <c r="O282" s="23" t="s">
        <v>16</v>
      </c>
      <c r="P282" s="24" t="s">
        <v>17</v>
      </c>
      <c r="Q282" s="28" t="s">
        <v>378</v>
      </c>
    </row>
    <row r="283" spans="1:17">
      <c r="A283" s="14">
        <v>279</v>
      </c>
      <c r="B283" s="29" t="s">
        <v>377</v>
      </c>
      <c r="C283" s="16">
        <f>'Медикаменты Октябрь'!L282</f>
        <v>0</v>
      </c>
      <c r="D283" s="17"/>
      <c r="E283" s="14"/>
      <c r="F283" s="18"/>
      <c r="G283" s="19"/>
      <c r="H283" s="20"/>
      <c r="I283" s="21"/>
      <c r="J283" s="14"/>
      <c r="K283" s="14">
        <f t="shared" si="8"/>
        <v>0</v>
      </c>
      <c r="L283" s="16">
        <f t="shared" si="9"/>
        <v>0</v>
      </c>
      <c r="M283" s="22">
        <v>45170</v>
      </c>
      <c r="N283" s="44"/>
      <c r="O283" s="23" t="s">
        <v>26</v>
      </c>
      <c r="P283" s="24" t="s">
        <v>17</v>
      </c>
      <c r="Q283" s="28" t="s">
        <v>378</v>
      </c>
    </row>
    <row r="284" spans="1:17">
      <c r="A284" s="14">
        <v>280</v>
      </c>
      <c r="B284" s="29" t="s">
        <v>379</v>
      </c>
      <c r="C284" s="16">
        <f>'Медикаменты Октябрь'!L283</f>
        <v>175</v>
      </c>
      <c r="D284" s="17"/>
      <c r="E284" s="14"/>
      <c r="F284" s="18">
        <f>10</f>
        <v>10</v>
      </c>
      <c r="G284" s="19"/>
      <c r="H284" s="20"/>
      <c r="I284" s="21"/>
      <c r="J284" s="14"/>
      <c r="K284" s="14">
        <f t="shared" si="8"/>
        <v>10</v>
      </c>
      <c r="L284" s="16">
        <f t="shared" si="9"/>
        <v>165</v>
      </c>
      <c r="M284" s="22">
        <v>45292</v>
      </c>
      <c r="N284" s="44" t="s">
        <v>551</v>
      </c>
      <c r="O284" s="23" t="s">
        <v>16</v>
      </c>
      <c r="P284" s="24" t="s">
        <v>17</v>
      </c>
      <c r="Q284" s="28"/>
    </row>
    <row r="285" spans="1:17">
      <c r="A285" s="14">
        <v>281</v>
      </c>
      <c r="B285" s="29" t="s">
        <v>380</v>
      </c>
      <c r="C285" s="16">
        <f>'Медикаменты Октябрь'!L284</f>
        <v>0</v>
      </c>
      <c r="D285" s="17"/>
      <c r="E285" s="14"/>
      <c r="F285" s="18"/>
      <c r="G285" s="19"/>
      <c r="H285" s="20"/>
      <c r="I285" s="21"/>
      <c r="J285" s="14"/>
      <c r="K285" s="14">
        <f t="shared" si="8"/>
        <v>0</v>
      </c>
      <c r="L285" s="16">
        <f t="shared" si="9"/>
        <v>0</v>
      </c>
      <c r="M285" s="22">
        <v>44682</v>
      </c>
      <c r="N285" s="44"/>
      <c r="O285" s="23" t="s">
        <v>16</v>
      </c>
      <c r="P285" s="24" t="s">
        <v>45</v>
      </c>
      <c r="Q285" s="28" t="s">
        <v>381</v>
      </c>
    </row>
    <row r="286" spans="1:17">
      <c r="A286" s="14">
        <v>282</v>
      </c>
      <c r="B286" s="29" t="s">
        <v>382</v>
      </c>
      <c r="C286" s="16">
        <f>'Медикаменты Октябрь'!L285</f>
        <v>0</v>
      </c>
      <c r="D286" s="17"/>
      <c r="E286" s="14"/>
      <c r="F286" s="18"/>
      <c r="G286" s="19"/>
      <c r="H286" s="20"/>
      <c r="I286" s="21"/>
      <c r="J286" s="14"/>
      <c r="K286" s="14">
        <f t="shared" si="8"/>
        <v>0</v>
      </c>
      <c r="L286" s="16">
        <f t="shared" si="9"/>
        <v>0</v>
      </c>
      <c r="M286" s="22">
        <v>44743</v>
      </c>
      <c r="N286" s="44"/>
      <c r="O286" s="23" t="s">
        <v>16</v>
      </c>
      <c r="P286" s="24"/>
      <c r="Q286" s="28" t="s">
        <v>383</v>
      </c>
    </row>
    <row r="287" spans="1:17">
      <c r="A287" s="14">
        <v>283</v>
      </c>
      <c r="B287" s="29" t="s">
        <v>384</v>
      </c>
      <c r="C287" s="16">
        <f>'Медикаменты Октябрь'!L286</f>
        <v>0</v>
      </c>
      <c r="D287" s="17"/>
      <c r="E287" s="14"/>
      <c r="F287" s="18"/>
      <c r="G287" s="19"/>
      <c r="H287" s="20"/>
      <c r="I287" s="21"/>
      <c r="J287" s="14"/>
      <c r="K287" s="14">
        <f t="shared" si="8"/>
        <v>0</v>
      </c>
      <c r="L287" s="16">
        <f t="shared" si="9"/>
        <v>0</v>
      </c>
      <c r="M287" s="22"/>
      <c r="N287" s="44"/>
      <c r="O287" s="23" t="s">
        <v>16</v>
      </c>
      <c r="P287" s="24"/>
      <c r="Q287" s="45"/>
    </row>
    <row r="288" spans="1:17">
      <c r="A288" s="14">
        <v>284</v>
      </c>
      <c r="B288" s="29" t="s">
        <v>385</v>
      </c>
      <c r="C288" s="16">
        <f>'Медикаменты Октябрь'!L287</f>
        <v>0</v>
      </c>
      <c r="D288" s="17"/>
      <c r="E288" s="14"/>
      <c r="F288" s="18"/>
      <c r="G288" s="19"/>
      <c r="H288" s="20"/>
      <c r="I288" s="21"/>
      <c r="J288" s="14"/>
      <c r="K288" s="14">
        <f t="shared" si="8"/>
        <v>0</v>
      </c>
      <c r="L288" s="16">
        <f t="shared" si="9"/>
        <v>0</v>
      </c>
      <c r="M288" s="22"/>
      <c r="N288" s="44"/>
      <c r="O288" s="23" t="s">
        <v>16</v>
      </c>
      <c r="P288" s="24"/>
      <c r="Q288" s="45"/>
    </row>
    <row r="289" spans="1:17">
      <c r="A289" s="14">
        <v>285</v>
      </c>
      <c r="B289" s="29" t="s">
        <v>610</v>
      </c>
      <c r="C289" s="16">
        <f>'Медикаменты Октябрь'!L288</f>
        <v>75</v>
      </c>
      <c r="D289" s="17"/>
      <c r="E289" s="14"/>
      <c r="F289" s="18">
        <f>10+5</f>
        <v>15</v>
      </c>
      <c r="G289" s="19"/>
      <c r="H289" s="20"/>
      <c r="I289" s="21"/>
      <c r="J289" s="14"/>
      <c r="K289" s="14">
        <f t="shared" si="8"/>
        <v>15</v>
      </c>
      <c r="L289" s="16">
        <f t="shared" si="9"/>
        <v>60</v>
      </c>
      <c r="M289" s="22">
        <v>45444</v>
      </c>
      <c r="N289" s="44" t="s">
        <v>551</v>
      </c>
      <c r="O289" s="23" t="s">
        <v>16</v>
      </c>
      <c r="P289" s="24" t="s">
        <v>45</v>
      </c>
      <c r="Q289" s="28" t="s">
        <v>611</v>
      </c>
    </row>
    <row r="290" spans="1:17">
      <c r="A290" s="14">
        <v>286</v>
      </c>
      <c r="B290" s="29" t="s">
        <v>635</v>
      </c>
      <c r="C290" s="16">
        <f>'Медикаменты Октябрь'!L289</f>
        <v>85</v>
      </c>
      <c r="D290" s="17"/>
      <c r="E290" s="14"/>
      <c r="F290" s="18">
        <f>5</f>
        <v>5</v>
      </c>
      <c r="G290" s="19"/>
      <c r="H290" s="20"/>
      <c r="I290" s="21"/>
      <c r="J290" s="14"/>
      <c r="K290" s="14">
        <f t="shared" si="8"/>
        <v>5</v>
      </c>
      <c r="L290" s="16">
        <f t="shared" si="9"/>
        <v>80</v>
      </c>
      <c r="M290" s="22">
        <v>45323</v>
      </c>
      <c r="N290" s="44" t="s">
        <v>551</v>
      </c>
      <c r="O290" s="23" t="s">
        <v>16</v>
      </c>
      <c r="P290" s="24" t="s">
        <v>17</v>
      </c>
      <c r="Q290" s="28" t="s">
        <v>636</v>
      </c>
    </row>
    <row r="291" spans="1:17">
      <c r="A291" s="14">
        <v>287</v>
      </c>
      <c r="B291" s="29" t="s">
        <v>387</v>
      </c>
      <c r="C291" s="16">
        <f>'Медикаменты Октябрь'!L290</f>
        <v>0</v>
      </c>
      <c r="D291" s="17"/>
      <c r="E291" s="14"/>
      <c r="F291" s="18"/>
      <c r="G291" s="19"/>
      <c r="H291" s="20"/>
      <c r="I291" s="21"/>
      <c r="J291" s="14"/>
      <c r="K291" s="14">
        <f t="shared" si="8"/>
        <v>0</v>
      </c>
      <c r="L291" s="16">
        <f t="shared" si="9"/>
        <v>0</v>
      </c>
      <c r="M291" s="22"/>
      <c r="N291" s="44"/>
      <c r="O291" s="23" t="s">
        <v>16</v>
      </c>
      <c r="P291" s="24"/>
      <c r="Q291" s="45"/>
    </row>
    <row r="292" spans="1:17">
      <c r="A292" s="14">
        <v>288</v>
      </c>
      <c r="B292" s="29" t="s">
        <v>388</v>
      </c>
      <c r="C292" s="16">
        <f>'Медикаменты Октябрь'!L291</f>
        <v>0</v>
      </c>
      <c r="D292" s="17"/>
      <c r="E292" s="14"/>
      <c r="F292" s="18"/>
      <c r="G292" s="19"/>
      <c r="H292" s="20"/>
      <c r="I292" s="21"/>
      <c r="J292" s="14"/>
      <c r="K292" s="14">
        <f t="shared" si="8"/>
        <v>0</v>
      </c>
      <c r="L292" s="16">
        <f t="shared" si="9"/>
        <v>0</v>
      </c>
      <c r="M292" s="22">
        <v>45139</v>
      </c>
      <c r="N292" s="44"/>
      <c r="O292" s="23" t="s">
        <v>16</v>
      </c>
      <c r="P292" s="24"/>
      <c r="Q292" s="28" t="s">
        <v>389</v>
      </c>
    </row>
    <row r="293" spans="1:17">
      <c r="A293" s="14">
        <v>289</v>
      </c>
      <c r="B293" s="29" t="s">
        <v>390</v>
      </c>
      <c r="C293" s="16">
        <f>'Медикаменты Октябрь'!L292</f>
        <v>0</v>
      </c>
      <c r="D293" s="26"/>
      <c r="E293" s="14"/>
      <c r="F293" s="18"/>
      <c r="G293" s="19"/>
      <c r="H293" s="20"/>
      <c r="I293" s="21"/>
      <c r="J293" s="14"/>
      <c r="K293" s="14">
        <f t="shared" si="8"/>
        <v>0</v>
      </c>
      <c r="L293" s="16">
        <f t="shared" si="9"/>
        <v>0</v>
      </c>
      <c r="M293" s="22"/>
      <c r="N293" s="44"/>
      <c r="O293" s="23" t="s">
        <v>16</v>
      </c>
      <c r="P293" s="24"/>
      <c r="Q293" s="28" t="s">
        <v>391</v>
      </c>
    </row>
    <row r="294" spans="1:17">
      <c r="A294" s="14">
        <v>290</v>
      </c>
      <c r="B294" s="29" t="s">
        <v>392</v>
      </c>
      <c r="C294" s="16">
        <f>'Медикаменты Октябрь'!L293</f>
        <v>0</v>
      </c>
      <c r="D294" s="17"/>
      <c r="E294" s="14"/>
      <c r="F294" s="18"/>
      <c r="G294" s="19"/>
      <c r="H294" s="20"/>
      <c r="I294" s="21"/>
      <c r="J294" s="14"/>
      <c r="K294" s="14">
        <f t="shared" si="8"/>
        <v>0</v>
      </c>
      <c r="L294" s="16">
        <f t="shared" si="9"/>
        <v>0</v>
      </c>
      <c r="M294" s="22"/>
      <c r="N294" s="44"/>
      <c r="O294" s="23" t="s">
        <v>16</v>
      </c>
      <c r="P294" s="24"/>
      <c r="Q294" s="45"/>
    </row>
    <row r="295" spans="1:17">
      <c r="A295" s="14">
        <v>291</v>
      </c>
      <c r="B295" s="29" t="s">
        <v>664</v>
      </c>
      <c r="C295" s="16">
        <f>'Медикаменты Октябрь'!L294</f>
        <v>10</v>
      </c>
      <c r="D295" s="17"/>
      <c r="E295" s="14"/>
      <c r="F295" s="18"/>
      <c r="G295" s="19"/>
      <c r="H295" s="20"/>
      <c r="I295" s="21"/>
      <c r="J295" s="14"/>
      <c r="K295" s="14">
        <f t="shared" si="8"/>
        <v>0</v>
      </c>
      <c r="L295" s="16">
        <f t="shared" si="9"/>
        <v>10</v>
      </c>
      <c r="M295" s="22">
        <v>45200</v>
      </c>
      <c r="N295" s="44" t="s">
        <v>551</v>
      </c>
      <c r="O295" s="23" t="s">
        <v>16</v>
      </c>
      <c r="P295" s="24" t="s">
        <v>17</v>
      </c>
      <c r="Q295" s="28" t="s">
        <v>665</v>
      </c>
    </row>
    <row r="296" spans="1:17">
      <c r="A296" s="14">
        <v>292</v>
      </c>
      <c r="B296" s="29" t="s">
        <v>573</v>
      </c>
      <c r="C296" s="16">
        <f>'Медикаменты Октябрь'!L295</f>
        <v>3</v>
      </c>
      <c r="D296" s="17"/>
      <c r="E296" s="14"/>
      <c r="F296" s="18"/>
      <c r="G296" s="19"/>
      <c r="H296" s="20"/>
      <c r="I296" s="21"/>
      <c r="J296" s="14"/>
      <c r="K296" s="14">
        <f t="shared" si="8"/>
        <v>0</v>
      </c>
      <c r="L296" s="16">
        <f t="shared" si="9"/>
        <v>3</v>
      </c>
      <c r="M296" s="22">
        <v>45047</v>
      </c>
      <c r="N296" s="44" t="s">
        <v>45</v>
      </c>
      <c r="O296" s="23" t="s">
        <v>16</v>
      </c>
      <c r="P296" s="24" t="s">
        <v>17</v>
      </c>
      <c r="Q296" s="28" t="s">
        <v>574</v>
      </c>
    </row>
    <row r="297" spans="1:17">
      <c r="A297" s="14">
        <v>293</v>
      </c>
      <c r="B297" s="29" t="s">
        <v>393</v>
      </c>
      <c r="C297" s="16">
        <f>'Медикаменты Октябрь'!L296</f>
        <v>48</v>
      </c>
      <c r="D297" s="17"/>
      <c r="E297" s="14"/>
      <c r="F297" s="18">
        <f>5+5</f>
        <v>10</v>
      </c>
      <c r="G297" s="19"/>
      <c r="H297" s="20"/>
      <c r="I297" s="21"/>
      <c r="J297" s="14"/>
      <c r="K297" s="14">
        <f t="shared" si="8"/>
        <v>10</v>
      </c>
      <c r="L297" s="16">
        <f t="shared" si="9"/>
        <v>38</v>
      </c>
      <c r="M297" s="22">
        <v>44652</v>
      </c>
      <c r="N297" s="44" t="s">
        <v>45</v>
      </c>
      <c r="O297" s="23" t="s">
        <v>16</v>
      </c>
      <c r="P297" s="24" t="s">
        <v>17</v>
      </c>
      <c r="Q297" s="28" t="s">
        <v>394</v>
      </c>
    </row>
    <row r="298" spans="1:17">
      <c r="A298" s="14">
        <v>294</v>
      </c>
      <c r="B298" s="29" t="s">
        <v>395</v>
      </c>
      <c r="C298" s="16">
        <f>'Медикаменты Октябрь'!L297</f>
        <v>55</v>
      </c>
      <c r="D298" s="17"/>
      <c r="E298" s="14"/>
      <c r="F298" s="18">
        <f>10</f>
        <v>10</v>
      </c>
      <c r="G298" s="19"/>
      <c r="H298" s="20"/>
      <c r="I298" s="21"/>
      <c r="J298" s="14"/>
      <c r="K298" s="14">
        <f t="shared" si="8"/>
        <v>10</v>
      </c>
      <c r="L298" s="16">
        <f t="shared" si="9"/>
        <v>45</v>
      </c>
      <c r="M298" s="22">
        <v>45689</v>
      </c>
      <c r="N298" s="44" t="s">
        <v>551</v>
      </c>
      <c r="O298" s="23" t="s">
        <v>16</v>
      </c>
      <c r="P298" s="24" t="s">
        <v>17</v>
      </c>
      <c r="Q298" s="28" t="s">
        <v>396</v>
      </c>
    </row>
    <row r="299" spans="1:17">
      <c r="A299" s="14">
        <v>295</v>
      </c>
      <c r="B299" s="29" t="s">
        <v>397</v>
      </c>
      <c r="C299" s="16">
        <f>'Медикаменты Октябрь'!L298</f>
        <v>6</v>
      </c>
      <c r="D299" s="17"/>
      <c r="E299" s="14"/>
      <c r="F299" s="18">
        <f>6</f>
        <v>6</v>
      </c>
      <c r="G299" s="19"/>
      <c r="H299" s="20"/>
      <c r="I299" s="21"/>
      <c r="J299" s="14"/>
      <c r="K299" s="14">
        <f t="shared" si="8"/>
        <v>6</v>
      </c>
      <c r="L299" s="16">
        <f t="shared" si="9"/>
        <v>0</v>
      </c>
      <c r="M299" s="22">
        <v>45689</v>
      </c>
      <c r="N299" s="44" t="s">
        <v>45</v>
      </c>
      <c r="O299" s="23" t="s">
        <v>16</v>
      </c>
      <c r="P299" s="24" t="s">
        <v>17</v>
      </c>
      <c r="Q299" s="28" t="s">
        <v>587</v>
      </c>
    </row>
    <row r="300" spans="1:17">
      <c r="A300" s="14">
        <v>296</v>
      </c>
      <c r="B300" s="29" t="s">
        <v>398</v>
      </c>
      <c r="C300" s="16">
        <f>'Медикаменты Октябрь'!L299</f>
        <v>0</v>
      </c>
      <c r="D300" s="17"/>
      <c r="E300" s="14"/>
      <c r="F300" s="18"/>
      <c r="G300" s="19"/>
      <c r="H300" s="20"/>
      <c r="I300" s="21"/>
      <c r="J300" s="14"/>
      <c r="K300" s="14">
        <f t="shared" si="8"/>
        <v>0</v>
      </c>
      <c r="L300" s="16">
        <f t="shared" si="9"/>
        <v>0</v>
      </c>
      <c r="M300" s="22">
        <v>44256</v>
      </c>
      <c r="N300" s="44"/>
      <c r="O300" s="23" t="s">
        <v>16</v>
      </c>
      <c r="P300" s="24"/>
      <c r="Q300" s="28" t="s">
        <v>399</v>
      </c>
    </row>
    <row r="301" spans="1:17">
      <c r="A301" s="14">
        <v>297</v>
      </c>
      <c r="B301" s="29" t="s">
        <v>400</v>
      </c>
      <c r="C301" s="16">
        <f>'Медикаменты Октябрь'!L300</f>
        <v>0</v>
      </c>
      <c r="D301" s="17"/>
      <c r="E301" s="14"/>
      <c r="F301" s="18"/>
      <c r="G301" s="19"/>
      <c r="H301" s="20"/>
      <c r="I301" s="21"/>
      <c r="J301" s="14"/>
      <c r="K301" s="14">
        <f t="shared" si="8"/>
        <v>0</v>
      </c>
      <c r="L301" s="16">
        <f t="shared" si="9"/>
        <v>0</v>
      </c>
      <c r="M301" s="22">
        <v>44531</v>
      </c>
      <c r="N301" s="44"/>
      <c r="O301" s="23" t="s">
        <v>16</v>
      </c>
      <c r="P301" s="24" t="s">
        <v>45</v>
      </c>
      <c r="Q301" s="28" t="s">
        <v>401</v>
      </c>
    </row>
    <row r="302" spans="1:17">
      <c r="A302" s="14">
        <v>298</v>
      </c>
      <c r="B302" s="29" t="s">
        <v>637</v>
      </c>
      <c r="C302" s="16">
        <f>'Медикаменты Октябрь'!L301</f>
        <v>0</v>
      </c>
      <c r="D302" s="17"/>
      <c r="E302" s="14"/>
      <c r="F302" s="18"/>
      <c r="G302" s="19"/>
      <c r="H302" s="20"/>
      <c r="I302" s="21"/>
      <c r="J302" s="14"/>
      <c r="K302" s="14">
        <f t="shared" si="8"/>
        <v>0</v>
      </c>
      <c r="L302" s="16">
        <f t="shared" si="9"/>
        <v>0</v>
      </c>
      <c r="M302" s="22">
        <v>45108</v>
      </c>
      <c r="N302" s="44"/>
      <c r="O302" s="23" t="s">
        <v>26</v>
      </c>
      <c r="P302" s="24" t="s">
        <v>45</v>
      </c>
      <c r="Q302" s="28" t="s">
        <v>403</v>
      </c>
    </row>
    <row r="303" spans="1:17">
      <c r="A303" s="14">
        <v>299</v>
      </c>
      <c r="B303" s="29" t="s">
        <v>404</v>
      </c>
      <c r="C303" s="16">
        <f>'Медикаменты Октябрь'!L302</f>
        <v>0</v>
      </c>
      <c r="D303" s="17"/>
      <c r="E303" s="14"/>
      <c r="F303" s="18"/>
      <c r="G303" s="19"/>
      <c r="H303" s="20"/>
      <c r="I303" s="21"/>
      <c r="J303" s="14"/>
      <c r="K303" s="14">
        <f t="shared" si="8"/>
        <v>0</v>
      </c>
      <c r="L303" s="16">
        <f t="shared" si="9"/>
        <v>0</v>
      </c>
      <c r="M303" s="22"/>
      <c r="N303" s="44"/>
      <c r="O303" s="23" t="s">
        <v>16</v>
      </c>
      <c r="P303" s="24"/>
      <c r="Q303" s="45"/>
    </row>
    <row r="304" spans="1:17">
      <c r="A304" s="14">
        <v>300</v>
      </c>
      <c r="B304" s="29" t="s">
        <v>549</v>
      </c>
      <c r="C304" s="16">
        <f>'Медикаменты Октябрь'!L303</f>
        <v>0</v>
      </c>
      <c r="D304" s="17"/>
      <c r="E304" s="14"/>
      <c r="F304" s="18"/>
      <c r="G304" s="19"/>
      <c r="H304" s="20"/>
      <c r="I304" s="21"/>
      <c r="J304" s="14"/>
      <c r="K304" s="14">
        <f t="shared" si="8"/>
        <v>0</v>
      </c>
      <c r="L304" s="16">
        <f t="shared" si="9"/>
        <v>0</v>
      </c>
      <c r="M304" s="22">
        <v>44287</v>
      </c>
      <c r="N304" s="44"/>
      <c r="O304" s="23" t="s">
        <v>16</v>
      </c>
      <c r="P304" s="24" t="s">
        <v>45</v>
      </c>
      <c r="Q304" s="28" t="s">
        <v>406</v>
      </c>
    </row>
    <row r="305" spans="1:17">
      <c r="A305" s="14">
        <v>301</v>
      </c>
      <c r="B305" s="29" t="s">
        <v>407</v>
      </c>
      <c r="C305" s="16">
        <f>'Медикаменты Октябрь'!L304</f>
        <v>0</v>
      </c>
      <c r="D305" s="17"/>
      <c r="E305" s="14"/>
      <c r="F305" s="18"/>
      <c r="G305" s="19"/>
      <c r="H305" s="20"/>
      <c r="I305" s="21"/>
      <c r="J305" s="14"/>
      <c r="K305" s="14">
        <f t="shared" si="8"/>
        <v>0</v>
      </c>
      <c r="L305" s="16">
        <f t="shared" si="9"/>
        <v>0</v>
      </c>
      <c r="M305" s="22">
        <v>44562</v>
      </c>
      <c r="N305" s="44"/>
      <c r="O305" s="23" t="s">
        <v>16</v>
      </c>
      <c r="P305" s="24" t="s">
        <v>17</v>
      </c>
      <c r="Q305" s="28" t="s">
        <v>408</v>
      </c>
    </row>
    <row r="306" spans="1:17">
      <c r="A306" s="14">
        <v>302</v>
      </c>
      <c r="B306" s="29" t="s">
        <v>409</v>
      </c>
      <c r="C306" s="16">
        <f>'Медикаменты Октябрь'!L305</f>
        <v>190</v>
      </c>
      <c r="D306" s="17"/>
      <c r="E306" s="14"/>
      <c r="F306" s="18">
        <f>5+5</f>
        <v>10</v>
      </c>
      <c r="G306" s="19"/>
      <c r="H306" s="20"/>
      <c r="I306" s="21"/>
      <c r="J306" s="14"/>
      <c r="K306" s="14">
        <f t="shared" si="8"/>
        <v>10</v>
      </c>
      <c r="L306" s="16">
        <f t="shared" si="9"/>
        <v>180</v>
      </c>
      <c r="M306" s="22">
        <v>45139</v>
      </c>
      <c r="N306" s="44" t="s">
        <v>45</v>
      </c>
      <c r="O306" s="23" t="s">
        <v>16</v>
      </c>
      <c r="P306" s="24" t="s">
        <v>17</v>
      </c>
      <c r="Q306" s="28" t="s">
        <v>410</v>
      </c>
    </row>
    <row r="307" spans="1:17">
      <c r="A307" s="14">
        <v>303</v>
      </c>
      <c r="B307" s="29" t="s">
        <v>411</v>
      </c>
      <c r="C307" s="16">
        <f>'Медикаменты Октябрь'!L306</f>
        <v>0</v>
      </c>
      <c r="D307" s="17"/>
      <c r="E307" s="14"/>
      <c r="F307" s="18"/>
      <c r="G307" s="19"/>
      <c r="H307" s="20"/>
      <c r="I307" s="21"/>
      <c r="J307" s="14"/>
      <c r="K307" s="14">
        <f t="shared" si="8"/>
        <v>0</v>
      </c>
      <c r="L307" s="16">
        <f t="shared" si="9"/>
        <v>0</v>
      </c>
      <c r="M307" s="22">
        <v>45413</v>
      </c>
      <c r="N307" s="44" t="s">
        <v>45</v>
      </c>
      <c r="O307" s="23" t="s">
        <v>16</v>
      </c>
      <c r="P307" s="24" t="s">
        <v>45</v>
      </c>
      <c r="Q307" s="28" t="s">
        <v>412</v>
      </c>
    </row>
    <row r="308" spans="1:17">
      <c r="A308" s="14">
        <v>304</v>
      </c>
      <c r="B308" s="29" t="s">
        <v>413</v>
      </c>
      <c r="C308" s="16">
        <f>'Медикаменты Октябрь'!L307</f>
        <v>0</v>
      </c>
      <c r="D308" s="17"/>
      <c r="E308" s="14"/>
      <c r="F308" s="18"/>
      <c r="G308" s="19"/>
      <c r="H308" s="20"/>
      <c r="I308" s="21"/>
      <c r="J308" s="14"/>
      <c r="K308" s="14">
        <f t="shared" si="8"/>
        <v>0</v>
      </c>
      <c r="L308" s="16">
        <f t="shared" si="9"/>
        <v>0</v>
      </c>
      <c r="M308" s="22">
        <v>45474</v>
      </c>
      <c r="N308" s="44"/>
      <c r="O308" s="23" t="s">
        <v>16</v>
      </c>
      <c r="P308" s="24"/>
      <c r="Q308" s="28"/>
    </row>
    <row r="309" spans="1:17">
      <c r="A309" s="14">
        <v>305</v>
      </c>
      <c r="B309" s="29" t="s">
        <v>414</v>
      </c>
      <c r="C309" s="16">
        <f>'Медикаменты Октябрь'!L308</f>
        <v>0</v>
      </c>
      <c r="D309" s="17"/>
      <c r="E309" s="14"/>
      <c r="F309" s="18"/>
      <c r="G309" s="19"/>
      <c r="H309" s="20"/>
      <c r="I309" s="21"/>
      <c r="J309" s="14"/>
      <c r="K309" s="14">
        <f t="shared" si="8"/>
        <v>0</v>
      </c>
      <c r="L309" s="16">
        <f t="shared" si="9"/>
        <v>0</v>
      </c>
      <c r="M309" s="22"/>
      <c r="N309" s="44"/>
      <c r="O309" s="23" t="s">
        <v>16</v>
      </c>
      <c r="P309" s="24"/>
      <c r="Q309" s="28"/>
    </row>
    <row r="310" spans="1:17">
      <c r="A310" s="14">
        <v>306</v>
      </c>
      <c r="B310" s="29" t="s">
        <v>415</v>
      </c>
      <c r="C310" s="16">
        <f>'Медикаменты Октябрь'!L309</f>
        <v>180</v>
      </c>
      <c r="D310" s="17"/>
      <c r="E310" s="14"/>
      <c r="F310" s="18">
        <f>5+10</f>
        <v>15</v>
      </c>
      <c r="G310" s="19"/>
      <c r="H310" s="20"/>
      <c r="I310" s="21"/>
      <c r="J310" s="14"/>
      <c r="K310" s="14">
        <f t="shared" si="8"/>
        <v>15</v>
      </c>
      <c r="L310" s="16">
        <f t="shared" si="9"/>
        <v>165</v>
      </c>
      <c r="M310" s="22">
        <v>45323</v>
      </c>
      <c r="N310" s="44" t="s">
        <v>551</v>
      </c>
      <c r="O310" s="23" t="s">
        <v>16</v>
      </c>
      <c r="P310" s="24" t="s">
        <v>17</v>
      </c>
      <c r="Q310" s="28" t="s">
        <v>416</v>
      </c>
    </row>
    <row r="311" spans="1:17">
      <c r="A311" s="14">
        <v>307</v>
      </c>
      <c r="B311" s="29" t="s">
        <v>415</v>
      </c>
      <c r="C311" s="16">
        <f>'Медикаменты Октябрь'!L310</f>
        <v>0</v>
      </c>
      <c r="D311" s="17"/>
      <c r="E311" s="14"/>
      <c r="F311" s="18"/>
      <c r="G311" s="19"/>
      <c r="H311" s="20"/>
      <c r="I311" s="21"/>
      <c r="J311" s="14"/>
      <c r="K311" s="14">
        <f t="shared" si="8"/>
        <v>0</v>
      </c>
      <c r="L311" s="16">
        <f t="shared" si="9"/>
        <v>0</v>
      </c>
      <c r="M311" s="22">
        <v>44986</v>
      </c>
      <c r="N311" s="44"/>
      <c r="O311" s="23" t="s">
        <v>26</v>
      </c>
      <c r="P311" s="24"/>
      <c r="Q311" s="28" t="s">
        <v>416</v>
      </c>
    </row>
    <row r="312" spans="1:17">
      <c r="A312" s="14">
        <v>308</v>
      </c>
      <c r="B312" s="31" t="s">
        <v>417</v>
      </c>
      <c r="C312" s="16">
        <f>'Медикаменты Октябрь'!L311</f>
        <v>0</v>
      </c>
      <c r="D312" s="17"/>
      <c r="E312" s="14"/>
      <c r="F312" s="18"/>
      <c r="G312" s="19"/>
      <c r="H312" s="20"/>
      <c r="I312" s="21"/>
      <c r="J312" s="14"/>
      <c r="K312" s="14">
        <f t="shared" si="8"/>
        <v>0</v>
      </c>
      <c r="L312" s="16">
        <f t="shared" si="9"/>
        <v>0</v>
      </c>
      <c r="M312" s="22">
        <v>44136</v>
      </c>
      <c r="N312" s="44"/>
      <c r="O312" s="23" t="s">
        <v>16</v>
      </c>
      <c r="P312" s="24"/>
      <c r="Q312" s="28" t="s">
        <v>418</v>
      </c>
    </row>
    <row r="313" spans="1:17">
      <c r="A313" s="14">
        <v>309</v>
      </c>
      <c r="B313" s="29" t="s">
        <v>419</v>
      </c>
      <c r="C313" s="16">
        <f>'Медикаменты Октябрь'!L312</f>
        <v>0</v>
      </c>
      <c r="D313" s="17"/>
      <c r="E313" s="14"/>
      <c r="F313" s="18"/>
      <c r="G313" s="19"/>
      <c r="H313" s="20"/>
      <c r="I313" s="21"/>
      <c r="J313" s="14"/>
      <c r="K313" s="14">
        <f t="shared" si="8"/>
        <v>0</v>
      </c>
      <c r="L313" s="16">
        <f t="shared" si="9"/>
        <v>0</v>
      </c>
      <c r="M313" s="22"/>
      <c r="N313" s="44"/>
      <c r="O313" s="23" t="s">
        <v>16</v>
      </c>
      <c r="P313" s="24"/>
      <c r="Q313" s="45"/>
    </row>
    <row r="314" spans="1:17">
      <c r="A314" s="14">
        <v>310</v>
      </c>
      <c r="B314" s="29" t="s">
        <v>420</v>
      </c>
      <c r="C314" s="16">
        <f>'Медикаменты Октябрь'!L313</f>
        <v>0</v>
      </c>
      <c r="D314" s="17"/>
      <c r="E314" s="14"/>
      <c r="F314" s="18"/>
      <c r="G314" s="19"/>
      <c r="H314" s="20"/>
      <c r="I314" s="21"/>
      <c r="J314" s="14"/>
      <c r="K314" s="14">
        <f t="shared" si="8"/>
        <v>0</v>
      </c>
      <c r="L314" s="16">
        <f t="shared" si="9"/>
        <v>0</v>
      </c>
      <c r="M314" s="22">
        <v>45047</v>
      </c>
      <c r="N314" s="44" t="s">
        <v>45</v>
      </c>
      <c r="O314" s="23" t="s">
        <v>16</v>
      </c>
      <c r="P314" s="24" t="s">
        <v>17</v>
      </c>
      <c r="Q314" s="28" t="s">
        <v>421</v>
      </c>
    </row>
    <row r="315" spans="1:17">
      <c r="A315" s="14">
        <v>311</v>
      </c>
      <c r="B315" s="29" t="s">
        <v>420</v>
      </c>
      <c r="C315" s="16">
        <f>'Медикаменты Октябрь'!L314</f>
        <v>0</v>
      </c>
      <c r="D315" s="17"/>
      <c r="E315" s="14"/>
      <c r="F315" s="18"/>
      <c r="G315" s="19"/>
      <c r="H315" s="20"/>
      <c r="I315" s="21"/>
      <c r="J315" s="14"/>
      <c r="K315" s="14">
        <f t="shared" si="8"/>
        <v>0</v>
      </c>
      <c r="L315" s="16">
        <f t="shared" si="9"/>
        <v>0</v>
      </c>
      <c r="M315" s="22">
        <v>45047</v>
      </c>
      <c r="N315" s="44"/>
      <c r="O315" s="23" t="s">
        <v>26</v>
      </c>
      <c r="P315" s="24"/>
      <c r="Q315" s="28" t="s">
        <v>421</v>
      </c>
    </row>
    <row r="316" spans="1:17">
      <c r="A316" s="14">
        <v>312</v>
      </c>
      <c r="B316" s="29" t="s">
        <v>422</v>
      </c>
      <c r="C316" s="16">
        <f>'Медикаменты Октябрь'!L315</f>
        <v>0</v>
      </c>
      <c r="D316" s="17"/>
      <c r="E316" s="14"/>
      <c r="F316" s="18"/>
      <c r="G316" s="19"/>
      <c r="H316" s="20"/>
      <c r="I316" s="21"/>
      <c r="J316" s="14"/>
      <c r="K316" s="14">
        <f t="shared" si="8"/>
        <v>0</v>
      </c>
      <c r="L316" s="16">
        <f t="shared" si="9"/>
        <v>0</v>
      </c>
      <c r="M316" s="22"/>
      <c r="N316" s="44"/>
      <c r="O316" s="23" t="s">
        <v>26</v>
      </c>
      <c r="P316" s="24"/>
      <c r="Q316" s="45"/>
    </row>
    <row r="317" spans="1:17">
      <c r="A317" s="14">
        <v>313</v>
      </c>
      <c r="B317" s="29" t="s">
        <v>422</v>
      </c>
      <c r="C317" s="16">
        <f>'Медикаменты Октябрь'!L316</f>
        <v>0</v>
      </c>
      <c r="D317" s="17"/>
      <c r="E317" s="14"/>
      <c r="F317" s="18"/>
      <c r="G317" s="19"/>
      <c r="H317" s="20"/>
      <c r="I317" s="21"/>
      <c r="J317" s="14"/>
      <c r="K317" s="14">
        <f t="shared" si="8"/>
        <v>0</v>
      </c>
      <c r="L317" s="16">
        <f t="shared" si="9"/>
        <v>0</v>
      </c>
      <c r="M317" s="22">
        <v>44531</v>
      </c>
      <c r="N317" s="44" t="s">
        <v>45</v>
      </c>
      <c r="O317" s="23" t="s">
        <v>16</v>
      </c>
      <c r="P317" s="24" t="s">
        <v>17</v>
      </c>
      <c r="Q317" s="28" t="s">
        <v>423</v>
      </c>
    </row>
    <row r="318" spans="1:17">
      <c r="A318" s="14">
        <v>314</v>
      </c>
      <c r="B318" s="29" t="s">
        <v>638</v>
      </c>
      <c r="C318" s="16">
        <f>'Медикаменты Октябрь'!L317</f>
        <v>0</v>
      </c>
      <c r="D318" s="17"/>
      <c r="E318" s="14"/>
      <c r="F318" s="18"/>
      <c r="G318" s="19"/>
      <c r="H318" s="20"/>
      <c r="I318" s="21"/>
      <c r="J318" s="14"/>
      <c r="K318" s="14">
        <f t="shared" si="8"/>
        <v>0</v>
      </c>
      <c r="L318" s="16">
        <f t="shared" si="9"/>
        <v>0</v>
      </c>
      <c r="M318" s="22">
        <v>44986</v>
      </c>
      <c r="N318" s="44" t="s">
        <v>551</v>
      </c>
      <c r="O318" s="23" t="s">
        <v>16</v>
      </c>
      <c r="P318" s="24" t="s">
        <v>17</v>
      </c>
      <c r="Q318" s="28" t="s">
        <v>425</v>
      </c>
    </row>
    <row r="319" spans="1:17">
      <c r="A319" s="14">
        <v>315</v>
      </c>
      <c r="B319" s="29" t="s">
        <v>426</v>
      </c>
      <c r="C319" s="16">
        <f>'Медикаменты Октябрь'!L318</f>
        <v>0</v>
      </c>
      <c r="D319" s="17"/>
      <c r="E319" s="14"/>
      <c r="F319" s="18"/>
      <c r="G319" s="19"/>
      <c r="H319" s="20"/>
      <c r="I319" s="21"/>
      <c r="J319" s="14"/>
      <c r="K319" s="14">
        <f t="shared" si="8"/>
        <v>0</v>
      </c>
      <c r="L319" s="16">
        <f t="shared" si="9"/>
        <v>0</v>
      </c>
      <c r="M319" s="22"/>
      <c r="N319" s="44"/>
      <c r="O319" s="23" t="s">
        <v>16</v>
      </c>
      <c r="P319" s="24"/>
      <c r="Q319" s="45"/>
    </row>
    <row r="320" spans="1:17">
      <c r="A320" s="14">
        <v>316</v>
      </c>
      <c r="B320" s="29" t="s">
        <v>427</v>
      </c>
      <c r="C320" s="16">
        <f>'Медикаменты Октябрь'!L319</f>
        <v>0</v>
      </c>
      <c r="D320" s="17"/>
      <c r="E320" s="14"/>
      <c r="F320" s="18"/>
      <c r="G320" s="19"/>
      <c r="H320" s="20"/>
      <c r="I320" s="21"/>
      <c r="J320" s="14"/>
      <c r="K320" s="14">
        <f t="shared" si="8"/>
        <v>0</v>
      </c>
      <c r="L320" s="16">
        <f t="shared" si="9"/>
        <v>0</v>
      </c>
      <c r="M320" s="22"/>
      <c r="N320" s="44"/>
      <c r="O320" s="23" t="s">
        <v>16</v>
      </c>
      <c r="P320" s="24"/>
      <c r="Q320" s="45"/>
    </row>
    <row r="321" spans="1:17">
      <c r="A321" s="14">
        <v>317</v>
      </c>
      <c r="B321" s="29" t="s">
        <v>428</v>
      </c>
      <c r="C321" s="16">
        <f>'Медикаменты Октябрь'!L320</f>
        <v>0</v>
      </c>
      <c r="D321" s="17"/>
      <c r="E321" s="14"/>
      <c r="F321" s="18"/>
      <c r="G321" s="19"/>
      <c r="H321" s="20"/>
      <c r="I321" s="21"/>
      <c r="J321" s="14"/>
      <c r="K321" s="14">
        <f t="shared" si="8"/>
        <v>0</v>
      </c>
      <c r="L321" s="16">
        <f t="shared" si="9"/>
        <v>0</v>
      </c>
      <c r="M321" s="22">
        <v>44501</v>
      </c>
      <c r="N321" s="44" t="s">
        <v>45</v>
      </c>
      <c r="O321" s="23" t="s">
        <v>16</v>
      </c>
      <c r="P321" s="24" t="s">
        <v>17</v>
      </c>
      <c r="Q321" s="28" t="s">
        <v>429</v>
      </c>
    </row>
    <row r="322" spans="1:17">
      <c r="A322" s="14">
        <v>318</v>
      </c>
      <c r="B322" s="29" t="s">
        <v>430</v>
      </c>
      <c r="C322" s="16">
        <f>'Медикаменты Октябрь'!L321</f>
        <v>1</v>
      </c>
      <c r="D322" s="26"/>
      <c r="E322" s="14"/>
      <c r="F322" s="18">
        <f>1</f>
        <v>1</v>
      </c>
      <c r="G322" s="19"/>
      <c r="H322" s="20"/>
      <c r="I322" s="21"/>
      <c r="J322" s="14"/>
      <c r="K322" s="14">
        <f t="shared" si="8"/>
        <v>1</v>
      </c>
      <c r="L322" s="16">
        <f t="shared" si="9"/>
        <v>0</v>
      </c>
      <c r="M322" s="22">
        <v>44835</v>
      </c>
      <c r="N322" s="44" t="s">
        <v>45</v>
      </c>
      <c r="O322" s="23" t="s">
        <v>16</v>
      </c>
      <c r="P322" s="24" t="s">
        <v>17</v>
      </c>
      <c r="Q322" s="28" t="s">
        <v>431</v>
      </c>
    </row>
    <row r="323" spans="1:17">
      <c r="A323" s="14">
        <v>319</v>
      </c>
      <c r="B323" s="29" t="s">
        <v>430</v>
      </c>
      <c r="C323" s="16">
        <f>'Медикаменты Октябрь'!L322</f>
        <v>50</v>
      </c>
      <c r="D323" s="26"/>
      <c r="E323" s="14"/>
      <c r="F323" s="18">
        <f>4+5</f>
        <v>9</v>
      </c>
      <c r="G323" s="19"/>
      <c r="H323" s="20"/>
      <c r="I323" s="21"/>
      <c r="J323" s="14"/>
      <c r="K323" s="14">
        <f t="shared" si="8"/>
        <v>9</v>
      </c>
      <c r="L323" s="16">
        <f t="shared" si="9"/>
        <v>41</v>
      </c>
      <c r="M323" s="22">
        <v>45323</v>
      </c>
      <c r="N323" s="44" t="s">
        <v>551</v>
      </c>
      <c r="O323" s="23" t="s">
        <v>16</v>
      </c>
      <c r="P323" s="24" t="s">
        <v>17</v>
      </c>
      <c r="Q323" s="28" t="s">
        <v>431</v>
      </c>
    </row>
    <row r="324" spans="1:17">
      <c r="A324" s="14">
        <v>320</v>
      </c>
      <c r="B324" s="29" t="s">
        <v>430</v>
      </c>
      <c r="C324" s="16">
        <f>'Медикаменты Октябрь'!L323</f>
        <v>4</v>
      </c>
      <c r="D324" s="26"/>
      <c r="E324" s="14"/>
      <c r="F324" s="18"/>
      <c r="G324" s="19"/>
      <c r="H324" s="20"/>
      <c r="I324" s="21">
        <f>4</f>
        <v>4</v>
      </c>
      <c r="J324" s="14"/>
      <c r="K324" s="14">
        <f t="shared" si="8"/>
        <v>4</v>
      </c>
      <c r="L324" s="16">
        <f t="shared" si="9"/>
        <v>0</v>
      </c>
      <c r="M324" s="22">
        <v>45323</v>
      </c>
      <c r="N324" s="44" t="s">
        <v>551</v>
      </c>
      <c r="O324" s="23" t="s">
        <v>26</v>
      </c>
      <c r="P324" s="24" t="s">
        <v>17</v>
      </c>
      <c r="Q324" s="28" t="s">
        <v>431</v>
      </c>
    </row>
    <row r="325" spans="1:17">
      <c r="A325" s="14">
        <v>321</v>
      </c>
      <c r="B325" s="29" t="s">
        <v>432</v>
      </c>
      <c r="C325" s="16">
        <f>'Медикаменты Октябрь'!L324</f>
        <v>0</v>
      </c>
      <c r="D325" s="17"/>
      <c r="E325" s="14"/>
      <c r="F325" s="18"/>
      <c r="G325" s="19"/>
      <c r="H325" s="20"/>
      <c r="I325" s="21"/>
      <c r="J325" s="14"/>
      <c r="K325" s="14">
        <f t="shared" ref="K325:K388" si="10">SUM(F325:J325)</f>
        <v>0</v>
      </c>
      <c r="L325" s="16">
        <f t="shared" ref="L325:L388" si="11">(C325+E325)-K325</f>
        <v>0</v>
      </c>
      <c r="M325" s="22"/>
      <c r="N325" s="44"/>
      <c r="O325" s="23" t="s">
        <v>16</v>
      </c>
      <c r="P325" s="24"/>
      <c r="Q325" s="45"/>
    </row>
    <row r="326" spans="1:17">
      <c r="A326" s="14">
        <v>322</v>
      </c>
      <c r="B326" s="29" t="s">
        <v>433</v>
      </c>
      <c r="C326" s="16">
        <f>'Медикаменты Октябрь'!L325</f>
        <v>0</v>
      </c>
      <c r="D326" s="17"/>
      <c r="E326" s="14"/>
      <c r="F326" s="18"/>
      <c r="G326" s="19"/>
      <c r="H326" s="20"/>
      <c r="I326" s="21"/>
      <c r="J326" s="14"/>
      <c r="K326" s="14">
        <f t="shared" si="10"/>
        <v>0</v>
      </c>
      <c r="L326" s="16">
        <f t="shared" si="11"/>
        <v>0</v>
      </c>
      <c r="M326" s="22"/>
      <c r="N326" s="44"/>
      <c r="O326" s="23" t="s">
        <v>16</v>
      </c>
      <c r="P326" s="24"/>
      <c r="Q326" s="45"/>
    </row>
    <row r="327" spans="1:17">
      <c r="A327" s="14">
        <v>323</v>
      </c>
      <c r="B327" s="29" t="s">
        <v>434</v>
      </c>
      <c r="C327" s="16">
        <f>'Медикаменты Октябрь'!L326</f>
        <v>0</v>
      </c>
      <c r="D327" s="17"/>
      <c r="E327" s="14"/>
      <c r="F327" s="18"/>
      <c r="G327" s="19"/>
      <c r="H327" s="20"/>
      <c r="I327" s="21"/>
      <c r="J327" s="14"/>
      <c r="K327" s="14">
        <f t="shared" si="10"/>
        <v>0</v>
      </c>
      <c r="L327" s="16">
        <f t="shared" si="11"/>
        <v>0</v>
      </c>
      <c r="M327" s="22"/>
      <c r="N327" s="44"/>
      <c r="O327" s="23" t="s">
        <v>16</v>
      </c>
      <c r="P327" s="24"/>
      <c r="Q327" s="45"/>
    </row>
    <row r="328" spans="1:17">
      <c r="A328" s="14">
        <v>324</v>
      </c>
      <c r="B328" s="29" t="s">
        <v>435</v>
      </c>
      <c r="C328" s="16">
        <f>'Медикаменты Октябрь'!L327</f>
        <v>0</v>
      </c>
      <c r="D328" s="17"/>
      <c r="E328" s="14"/>
      <c r="F328" s="18"/>
      <c r="G328" s="19"/>
      <c r="H328" s="20"/>
      <c r="I328" s="21"/>
      <c r="J328" s="14"/>
      <c r="K328" s="14">
        <f t="shared" si="10"/>
        <v>0</v>
      </c>
      <c r="L328" s="16">
        <f t="shared" si="11"/>
        <v>0</v>
      </c>
      <c r="M328" s="22"/>
      <c r="N328" s="44"/>
      <c r="O328" s="23" t="s">
        <v>16</v>
      </c>
      <c r="P328" s="24"/>
      <c r="Q328" s="45"/>
    </row>
    <row r="329" spans="1:17">
      <c r="A329" s="14">
        <v>325</v>
      </c>
      <c r="B329" s="29" t="s">
        <v>436</v>
      </c>
      <c r="C329" s="16">
        <f>'Медикаменты Октябрь'!L328</f>
        <v>0</v>
      </c>
      <c r="D329" s="17"/>
      <c r="E329" s="14"/>
      <c r="F329" s="18"/>
      <c r="G329" s="19"/>
      <c r="H329" s="20"/>
      <c r="I329" s="21"/>
      <c r="J329" s="14"/>
      <c r="K329" s="14">
        <f t="shared" si="10"/>
        <v>0</v>
      </c>
      <c r="L329" s="16">
        <f t="shared" si="11"/>
        <v>0</v>
      </c>
      <c r="M329" s="22"/>
      <c r="N329" s="44"/>
      <c r="O329" s="23" t="s">
        <v>16</v>
      </c>
      <c r="P329" s="24"/>
      <c r="Q329" s="45"/>
    </row>
    <row r="330" spans="1:17">
      <c r="A330" s="14">
        <v>326</v>
      </c>
      <c r="B330" s="29" t="s">
        <v>437</v>
      </c>
      <c r="C330" s="16">
        <f>'Медикаменты Октябрь'!L329</f>
        <v>245</v>
      </c>
      <c r="D330" s="17"/>
      <c r="E330" s="14"/>
      <c r="F330" s="18">
        <f>5+20+30</f>
        <v>55</v>
      </c>
      <c r="G330" s="19"/>
      <c r="H330" s="20"/>
      <c r="I330" s="21"/>
      <c r="J330" s="14"/>
      <c r="K330" s="14">
        <f t="shared" si="10"/>
        <v>55</v>
      </c>
      <c r="L330" s="16">
        <f t="shared" si="11"/>
        <v>190</v>
      </c>
      <c r="M330" s="22">
        <v>45689</v>
      </c>
      <c r="N330" s="44" t="s">
        <v>551</v>
      </c>
      <c r="O330" s="23" t="s">
        <v>16</v>
      </c>
      <c r="P330" s="24" t="s">
        <v>45</v>
      </c>
      <c r="Q330" s="28" t="s">
        <v>438</v>
      </c>
    </row>
    <row r="331" spans="1:17">
      <c r="A331" s="14">
        <v>327</v>
      </c>
      <c r="B331" s="29" t="s">
        <v>437</v>
      </c>
      <c r="C331" s="16">
        <f>'Медикаменты Октябрь'!L330</f>
        <v>0</v>
      </c>
      <c r="D331" s="17"/>
      <c r="E331" s="14"/>
      <c r="F331" s="18"/>
      <c r="G331" s="19"/>
      <c r="H331" s="20"/>
      <c r="I331" s="21"/>
      <c r="J331" s="14"/>
      <c r="K331" s="14">
        <f t="shared" si="10"/>
        <v>0</v>
      </c>
      <c r="L331" s="16">
        <f t="shared" si="11"/>
        <v>0</v>
      </c>
      <c r="M331" s="22">
        <v>45689</v>
      </c>
      <c r="N331" s="44" t="s">
        <v>551</v>
      </c>
      <c r="O331" s="23" t="s">
        <v>26</v>
      </c>
      <c r="P331" s="24" t="s">
        <v>45</v>
      </c>
      <c r="Q331" s="28" t="s">
        <v>438</v>
      </c>
    </row>
    <row r="332" spans="1:17">
      <c r="A332" s="14">
        <v>328</v>
      </c>
      <c r="B332" s="29" t="s">
        <v>440</v>
      </c>
      <c r="C332" s="16">
        <f>'Медикаменты Октябрь'!L331</f>
        <v>0</v>
      </c>
      <c r="D332" s="17"/>
      <c r="E332" s="14"/>
      <c r="F332" s="18"/>
      <c r="G332" s="19"/>
      <c r="H332" s="20"/>
      <c r="I332" s="21"/>
      <c r="J332" s="14"/>
      <c r="K332" s="14">
        <f t="shared" si="10"/>
        <v>0</v>
      </c>
      <c r="L332" s="16">
        <f t="shared" si="11"/>
        <v>0</v>
      </c>
      <c r="M332" s="22"/>
      <c r="N332" s="44"/>
      <c r="O332" s="23" t="s">
        <v>16</v>
      </c>
      <c r="P332" s="24"/>
      <c r="Q332" s="45"/>
    </row>
    <row r="333" spans="1:17">
      <c r="A333" s="14">
        <v>329</v>
      </c>
      <c r="B333" s="29" t="s">
        <v>441</v>
      </c>
      <c r="C333" s="16">
        <f>'Медикаменты Октябрь'!L332</f>
        <v>30</v>
      </c>
      <c r="D333" s="17"/>
      <c r="E333" s="14"/>
      <c r="F333" s="18"/>
      <c r="G333" s="19"/>
      <c r="H333" s="20"/>
      <c r="I333" s="21"/>
      <c r="J333" s="14"/>
      <c r="K333" s="14">
        <f t="shared" si="10"/>
        <v>0</v>
      </c>
      <c r="L333" s="16">
        <f t="shared" si="11"/>
        <v>30</v>
      </c>
      <c r="M333" s="22">
        <v>45931</v>
      </c>
      <c r="N333" s="44" t="s">
        <v>551</v>
      </c>
      <c r="O333" s="23" t="s">
        <v>16</v>
      </c>
      <c r="P333" s="24" t="s">
        <v>17</v>
      </c>
      <c r="Q333" s="28" t="s">
        <v>639</v>
      </c>
    </row>
    <row r="334" spans="1:17">
      <c r="A334" s="14">
        <v>330</v>
      </c>
      <c r="B334" s="29" t="s">
        <v>442</v>
      </c>
      <c r="C334" s="16">
        <f>'Медикаменты Октябрь'!L333</f>
        <v>0</v>
      </c>
      <c r="D334" s="17"/>
      <c r="E334" s="14"/>
      <c r="F334" s="18"/>
      <c r="G334" s="19"/>
      <c r="H334" s="20"/>
      <c r="I334" s="21"/>
      <c r="J334" s="14"/>
      <c r="K334" s="14">
        <f t="shared" si="10"/>
        <v>0</v>
      </c>
      <c r="L334" s="16">
        <f t="shared" si="11"/>
        <v>0</v>
      </c>
      <c r="M334" s="22"/>
      <c r="N334" s="44"/>
      <c r="O334" s="23" t="s">
        <v>16</v>
      </c>
      <c r="P334" s="24"/>
      <c r="Q334" s="45"/>
    </row>
    <row r="335" spans="1:17">
      <c r="A335" s="14">
        <v>331</v>
      </c>
      <c r="B335" s="29" t="s">
        <v>443</v>
      </c>
      <c r="C335" s="16">
        <f>'Медикаменты Октябрь'!L334</f>
        <v>0</v>
      </c>
      <c r="D335" s="17"/>
      <c r="E335" s="14"/>
      <c r="F335" s="18"/>
      <c r="G335" s="19"/>
      <c r="H335" s="20"/>
      <c r="I335" s="21"/>
      <c r="J335" s="14"/>
      <c r="K335" s="14">
        <f t="shared" si="10"/>
        <v>0</v>
      </c>
      <c r="L335" s="16">
        <f t="shared" si="11"/>
        <v>0</v>
      </c>
      <c r="M335" s="22"/>
      <c r="N335" s="44"/>
      <c r="O335" s="23" t="s">
        <v>16</v>
      </c>
      <c r="P335" s="24"/>
      <c r="Q335" s="45"/>
    </row>
    <row r="336" spans="1:17">
      <c r="A336" s="14">
        <v>332</v>
      </c>
      <c r="B336" s="29" t="s">
        <v>444</v>
      </c>
      <c r="C336" s="16">
        <f>'Медикаменты Октябрь'!L335</f>
        <v>0</v>
      </c>
      <c r="D336" s="17"/>
      <c r="E336" s="14"/>
      <c r="F336" s="18"/>
      <c r="G336" s="19"/>
      <c r="H336" s="20"/>
      <c r="I336" s="21"/>
      <c r="J336" s="14"/>
      <c r="K336" s="14">
        <f t="shared" si="10"/>
        <v>0</v>
      </c>
      <c r="L336" s="16">
        <f t="shared" si="11"/>
        <v>0</v>
      </c>
      <c r="M336" s="22">
        <v>44501</v>
      </c>
      <c r="N336" s="44" t="s">
        <v>45</v>
      </c>
      <c r="O336" s="23" t="s">
        <v>16</v>
      </c>
      <c r="P336" s="24" t="s">
        <v>17</v>
      </c>
      <c r="Q336" s="28" t="s">
        <v>445</v>
      </c>
    </row>
    <row r="337" spans="1:17">
      <c r="A337" s="14">
        <v>333</v>
      </c>
      <c r="B337" s="29" t="s">
        <v>446</v>
      </c>
      <c r="C337" s="16">
        <f>'Медикаменты Октябрь'!L336</f>
        <v>0</v>
      </c>
      <c r="D337" s="17"/>
      <c r="E337" s="14"/>
      <c r="F337" s="18"/>
      <c r="G337" s="19"/>
      <c r="H337" s="20"/>
      <c r="I337" s="21"/>
      <c r="J337" s="14"/>
      <c r="K337" s="14">
        <f t="shared" si="10"/>
        <v>0</v>
      </c>
      <c r="L337" s="16">
        <f t="shared" si="11"/>
        <v>0</v>
      </c>
      <c r="M337" s="22"/>
      <c r="N337" s="44"/>
      <c r="O337" s="23" t="s">
        <v>16</v>
      </c>
      <c r="P337" s="24"/>
      <c r="Q337" s="45"/>
    </row>
    <row r="338" spans="1:17">
      <c r="A338" s="14">
        <v>334</v>
      </c>
      <c r="B338" s="29" t="s">
        <v>447</v>
      </c>
      <c r="C338" s="16">
        <f>'Медикаменты Октябрь'!L337</f>
        <v>0</v>
      </c>
      <c r="D338" s="17"/>
      <c r="E338" s="14"/>
      <c r="F338" s="18"/>
      <c r="G338" s="19"/>
      <c r="H338" s="20"/>
      <c r="I338" s="21"/>
      <c r="J338" s="14"/>
      <c r="K338" s="14">
        <f t="shared" si="10"/>
        <v>0</v>
      </c>
      <c r="L338" s="16">
        <f t="shared" si="11"/>
        <v>0</v>
      </c>
      <c r="M338" s="22">
        <v>44593</v>
      </c>
      <c r="N338" s="44"/>
      <c r="O338" s="23" t="s">
        <v>16</v>
      </c>
      <c r="P338" s="24"/>
      <c r="Q338" s="28" t="s">
        <v>448</v>
      </c>
    </row>
    <row r="339" spans="1:17">
      <c r="A339" s="14">
        <v>335</v>
      </c>
      <c r="B339" s="29" t="s">
        <v>449</v>
      </c>
      <c r="C339" s="16">
        <f>'Медикаменты Октябрь'!L338</f>
        <v>0</v>
      </c>
      <c r="D339" s="17"/>
      <c r="E339" s="14"/>
      <c r="F339" s="18"/>
      <c r="G339" s="19"/>
      <c r="H339" s="20"/>
      <c r="I339" s="21"/>
      <c r="J339" s="14"/>
      <c r="K339" s="14">
        <f t="shared" si="10"/>
        <v>0</v>
      </c>
      <c r="L339" s="16">
        <f t="shared" si="11"/>
        <v>0</v>
      </c>
      <c r="M339" s="22">
        <v>44228</v>
      </c>
      <c r="N339" s="44"/>
      <c r="O339" s="23" t="s">
        <v>16</v>
      </c>
      <c r="P339" s="24" t="s">
        <v>17</v>
      </c>
      <c r="Q339" s="28" t="s">
        <v>450</v>
      </c>
    </row>
    <row r="340" spans="1:17">
      <c r="A340" s="14">
        <v>336</v>
      </c>
      <c r="B340" s="29" t="s">
        <v>451</v>
      </c>
      <c r="C340" s="16">
        <f>'Медикаменты Октябрь'!L339</f>
        <v>0</v>
      </c>
      <c r="D340" s="17"/>
      <c r="E340" s="14"/>
      <c r="F340" s="18"/>
      <c r="G340" s="19"/>
      <c r="H340" s="20"/>
      <c r="I340" s="21"/>
      <c r="J340" s="14"/>
      <c r="K340" s="14">
        <f t="shared" si="10"/>
        <v>0</v>
      </c>
      <c r="L340" s="16">
        <f t="shared" si="11"/>
        <v>0</v>
      </c>
      <c r="M340" s="22">
        <v>44317</v>
      </c>
      <c r="N340" s="44"/>
      <c r="O340" s="23" t="s">
        <v>16</v>
      </c>
      <c r="P340" s="24" t="s">
        <v>17</v>
      </c>
      <c r="Q340" s="28" t="s">
        <v>452</v>
      </c>
    </row>
    <row r="341" spans="1:17" ht="25.5">
      <c r="A341" s="14">
        <v>337</v>
      </c>
      <c r="B341" s="29" t="s">
        <v>453</v>
      </c>
      <c r="C341" s="16">
        <f>'Медикаменты Октябрь'!L340</f>
        <v>10</v>
      </c>
      <c r="D341" s="17"/>
      <c r="E341" s="14"/>
      <c r="F341" s="18"/>
      <c r="G341" s="19"/>
      <c r="H341" s="20"/>
      <c r="I341" s="21"/>
      <c r="J341" s="14"/>
      <c r="K341" s="14">
        <f t="shared" si="10"/>
        <v>0</v>
      </c>
      <c r="L341" s="16">
        <f t="shared" si="11"/>
        <v>10</v>
      </c>
      <c r="M341" s="22">
        <v>44470</v>
      </c>
      <c r="N341" s="44" t="s">
        <v>45</v>
      </c>
      <c r="O341" s="23" t="s">
        <v>16</v>
      </c>
      <c r="P341" s="24" t="s">
        <v>17</v>
      </c>
      <c r="Q341" s="28" t="s">
        <v>454</v>
      </c>
    </row>
    <row r="342" spans="1:17">
      <c r="A342" s="14">
        <v>338</v>
      </c>
      <c r="B342" s="29" t="s">
        <v>575</v>
      </c>
      <c r="C342" s="16">
        <f>'Медикаменты Октябрь'!L341</f>
        <v>2</v>
      </c>
      <c r="D342" s="17"/>
      <c r="E342" s="14"/>
      <c r="F342" s="18"/>
      <c r="G342" s="19"/>
      <c r="H342" s="20"/>
      <c r="I342" s="21"/>
      <c r="J342" s="14"/>
      <c r="K342" s="14">
        <f t="shared" si="10"/>
        <v>0</v>
      </c>
      <c r="L342" s="16">
        <f t="shared" si="11"/>
        <v>2</v>
      </c>
      <c r="M342" s="22">
        <v>45444</v>
      </c>
      <c r="N342" s="44" t="s">
        <v>45</v>
      </c>
      <c r="O342" s="23" t="s">
        <v>16</v>
      </c>
      <c r="P342" s="24" t="s">
        <v>17</v>
      </c>
      <c r="Q342" s="28" t="s">
        <v>576</v>
      </c>
    </row>
    <row r="343" spans="1:17">
      <c r="A343" s="14">
        <v>339</v>
      </c>
      <c r="B343" s="29" t="s">
        <v>455</v>
      </c>
      <c r="C343" s="16">
        <f>'Медикаменты Октябрь'!L342</f>
        <v>0</v>
      </c>
      <c r="D343" s="17"/>
      <c r="E343" s="14"/>
      <c r="F343" s="18"/>
      <c r="G343" s="19"/>
      <c r="H343" s="20"/>
      <c r="I343" s="21"/>
      <c r="J343" s="14"/>
      <c r="K343" s="14">
        <f t="shared" si="10"/>
        <v>0</v>
      </c>
      <c r="L343" s="16">
        <f t="shared" si="11"/>
        <v>0</v>
      </c>
      <c r="M343" s="22"/>
      <c r="N343" s="44"/>
      <c r="O343" s="23" t="s">
        <v>16</v>
      </c>
      <c r="P343" s="24"/>
      <c r="Q343" s="45"/>
    </row>
    <row r="344" spans="1:17">
      <c r="A344" s="14">
        <v>340</v>
      </c>
      <c r="B344" s="29" t="s">
        <v>456</v>
      </c>
      <c r="C344" s="16">
        <f>'Медикаменты Октябрь'!L343</f>
        <v>0</v>
      </c>
      <c r="D344" s="17"/>
      <c r="E344" s="14"/>
      <c r="F344" s="18"/>
      <c r="G344" s="19"/>
      <c r="H344" s="20"/>
      <c r="I344" s="21"/>
      <c r="J344" s="14"/>
      <c r="K344" s="14">
        <f t="shared" si="10"/>
        <v>0</v>
      </c>
      <c r="L344" s="16">
        <f t="shared" si="11"/>
        <v>0</v>
      </c>
      <c r="M344" s="22">
        <v>44287</v>
      </c>
      <c r="N344" s="44"/>
      <c r="O344" s="23" t="s">
        <v>16</v>
      </c>
      <c r="P344" s="24"/>
      <c r="Q344" s="28" t="s">
        <v>457</v>
      </c>
    </row>
    <row r="345" spans="1:17">
      <c r="A345" s="14">
        <v>341</v>
      </c>
      <c r="B345" s="29" t="s">
        <v>458</v>
      </c>
      <c r="C345" s="16">
        <f>'Медикаменты Октябрь'!L344</f>
        <v>0</v>
      </c>
      <c r="D345" s="17"/>
      <c r="E345" s="14"/>
      <c r="F345" s="18"/>
      <c r="G345" s="19"/>
      <c r="H345" s="20"/>
      <c r="I345" s="21"/>
      <c r="J345" s="14"/>
      <c r="K345" s="14">
        <f t="shared" si="10"/>
        <v>0</v>
      </c>
      <c r="L345" s="16">
        <f t="shared" si="11"/>
        <v>0</v>
      </c>
      <c r="M345" s="22">
        <v>44287</v>
      </c>
      <c r="N345" s="44" t="s">
        <v>45</v>
      </c>
      <c r="O345" s="23" t="s">
        <v>16</v>
      </c>
      <c r="P345" s="24" t="s">
        <v>45</v>
      </c>
      <c r="Q345" s="28" t="s">
        <v>459</v>
      </c>
    </row>
    <row r="346" spans="1:17">
      <c r="A346" s="14">
        <v>342</v>
      </c>
      <c r="B346" s="29" t="s">
        <v>460</v>
      </c>
      <c r="C346" s="16">
        <f>'Медикаменты Октябрь'!L345</f>
        <v>0</v>
      </c>
      <c r="D346" s="17"/>
      <c r="E346" s="14"/>
      <c r="F346" s="18"/>
      <c r="G346" s="19"/>
      <c r="H346" s="20"/>
      <c r="I346" s="21"/>
      <c r="J346" s="14"/>
      <c r="K346" s="14">
        <f t="shared" si="10"/>
        <v>0</v>
      </c>
      <c r="L346" s="16">
        <f t="shared" si="11"/>
        <v>0</v>
      </c>
      <c r="M346" s="22">
        <v>45597</v>
      </c>
      <c r="N346" s="44"/>
      <c r="O346" s="23" t="s">
        <v>16</v>
      </c>
      <c r="P346" s="24" t="s">
        <v>45</v>
      </c>
      <c r="Q346" s="28" t="s">
        <v>461</v>
      </c>
    </row>
    <row r="347" spans="1:17">
      <c r="A347" s="14">
        <v>343</v>
      </c>
      <c r="B347" s="29" t="s">
        <v>462</v>
      </c>
      <c r="C347" s="16">
        <f>'Медикаменты Октябрь'!L346</f>
        <v>0</v>
      </c>
      <c r="D347" s="17"/>
      <c r="E347" s="14"/>
      <c r="F347" s="18"/>
      <c r="G347" s="19"/>
      <c r="H347" s="20"/>
      <c r="I347" s="21"/>
      <c r="J347" s="14"/>
      <c r="K347" s="14">
        <f t="shared" si="10"/>
        <v>0</v>
      </c>
      <c r="L347" s="16">
        <f t="shared" si="11"/>
        <v>0</v>
      </c>
      <c r="M347" s="22">
        <v>43952</v>
      </c>
      <c r="N347" s="44"/>
      <c r="O347" s="23" t="s">
        <v>16</v>
      </c>
      <c r="P347" s="24"/>
      <c r="Q347" s="45"/>
    </row>
    <row r="348" spans="1:17">
      <c r="A348" s="14">
        <v>344</v>
      </c>
      <c r="B348" s="29" t="s">
        <v>463</v>
      </c>
      <c r="C348" s="16">
        <f>'Медикаменты Октябрь'!L347</f>
        <v>0</v>
      </c>
      <c r="D348" s="17"/>
      <c r="E348" s="14"/>
      <c r="F348" s="18"/>
      <c r="G348" s="19"/>
      <c r="H348" s="20"/>
      <c r="I348" s="21"/>
      <c r="J348" s="14"/>
      <c r="K348" s="14">
        <f t="shared" si="10"/>
        <v>0</v>
      </c>
      <c r="L348" s="16">
        <f t="shared" si="11"/>
        <v>0</v>
      </c>
      <c r="M348" s="22"/>
      <c r="N348" s="44"/>
      <c r="O348" s="23" t="s">
        <v>16</v>
      </c>
      <c r="P348" s="24"/>
      <c r="Q348" s="45"/>
    </row>
    <row r="349" spans="1:17">
      <c r="A349" s="14">
        <v>345</v>
      </c>
      <c r="B349" s="29" t="s">
        <v>640</v>
      </c>
      <c r="C349" s="16">
        <f>'Медикаменты Октябрь'!L348</f>
        <v>58</v>
      </c>
      <c r="D349" s="17"/>
      <c r="E349" s="14"/>
      <c r="F349" s="18">
        <f>10</f>
        <v>10</v>
      </c>
      <c r="G349" s="19"/>
      <c r="H349" s="20"/>
      <c r="I349" s="21"/>
      <c r="J349" s="14"/>
      <c r="K349" s="14">
        <f t="shared" si="10"/>
        <v>10</v>
      </c>
      <c r="L349" s="16">
        <f t="shared" si="11"/>
        <v>48</v>
      </c>
      <c r="M349" s="22">
        <v>45047</v>
      </c>
      <c r="N349" s="44" t="s">
        <v>551</v>
      </c>
      <c r="O349" s="23" t="s">
        <v>16</v>
      </c>
      <c r="P349" s="24" t="s">
        <v>17</v>
      </c>
      <c r="Q349" s="28" t="s">
        <v>641</v>
      </c>
    </row>
    <row r="350" spans="1:17">
      <c r="A350" s="14">
        <v>346</v>
      </c>
      <c r="B350" s="29" t="s">
        <v>465</v>
      </c>
      <c r="C350" s="16">
        <f>'Медикаменты Октябрь'!L349</f>
        <v>0</v>
      </c>
      <c r="D350" s="17"/>
      <c r="E350" s="14"/>
      <c r="F350" s="18"/>
      <c r="G350" s="19"/>
      <c r="H350" s="20"/>
      <c r="I350" s="21"/>
      <c r="J350" s="14"/>
      <c r="K350" s="14">
        <f t="shared" si="10"/>
        <v>0</v>
      </c>
      <c r="L350" s="16">
        <f t="shared" si="11"/>
        <v>0</v>
      </c>
      <c r="M350" s="22"/>
      <c r="N350" s="44"/>
      <c r="O350" s="23" t="s">
        <v>16</v>
      </c>
      <c r="P350" s="24"/>
      <c r="Q350" s="45"/>
    </row>
    <row r="351" spans="1:17">
      <c r="A351" s="14">
        <v>347</v>
      </c>
      <c r="B351" s="29" t="s">
        <v>466</v>
      </c>
      <c r="C351" s="16">
        <f>'Медикаменты Октябрь'!L350</f>
        <v>0</v>
      </c>
      <c r="D351" s="17"/>
      <c r="E351" s="14"/>
      <c r="F351" s="18"/>
      <c r="G351" s="19"/>
      <c r="H351" s="20"/>
      <c r="I351" s="21"/>
      <c r="J351" s="14"/>
      <c r="K351" s="14">
        <f t="shared" si="10"/>
        <v>0</v>
      </c>
      <c r="L351" s="16">
        <f t="shared" si="11"/>
        <v>0</v>
      </c>
      <c r="M351" s="22">
        <v>44835</v>
      </c>
      <c r="N351" s="44"/>
      <c r="O351" s="23" t="s">
        <v>16</v>
      </c>
      <c r="P351" s="24"/>
      <c r="Q351" s="45"/>
    </row>
    <row r="352" spans="1:17">
      <c r="A352" s="14">
        <v>348</v>
      </c>
      <c r="B352" s="29" t="s">
        <v>467</v>
      </c>
      <c r="C352" s="16">
        <f>'Медикаменты Октябрь'!L351</f>
        <v>0</v>
      </c>
      <c r="D352" s="26"/>
      <c r="E352" s="14"/>
      <c r="F352" s="18"/>
      <c r="G352" s="19"/>
      <c r="H352" s="20"/>
      <c r="I352" s="21"/>
      <c r="J352" s="14"/>
      <c r="K352" s="14">
        <f t="shared" si="10"/>
        <v>0</v>
      </c>
      <c r="L352" s="16">
        <f t="shared" si="11"/>
        <v>0</v>
      </c>
      <c r="M352" s="22"/>
      <c r="N352" s="44"/>
      <c r="O352" s="23" t="s">
        <v>16</v>
      </c>
      <c r="P352" s="24"/>
      <c r="Q352" s="45"/>
    </row>
    <row r="353" spans="1:17">
      <c r="A353" s="14">
        <v>349</v>
      </c>
      <c r="B353" s="29" t="s">
        <v>468</v>
      </c>
      <c r="C353" s="16">
        <f>'Медикаменты Октябрь'!L352</f>
        <v>0</v>
      </c>
      <c r="D353" s="17"/>
      <c r="E353" s="14"/>
      <c r="F353" s="18"/>
      <c r="G353" s="19"/>
      <c r="H353" s="20"/>
      <c r="I353" s="21"/>
      <c r="J353" s="14"/>
      <c r="K353" s="14">
        <f t="shared" si="10"/>
        <v>0</v>
      </c>
      <c r="L353" s="16">
        <f t="shared" si="11"/>
        <v>0</v>
      </c>
      <c r="M353" s="22"/>
      <c r="N353" s="44"/>
      <c r="O353" s="23" t="s">
        <v>16</v>
      </c>
      <c r="P353" s="24"/>
      <c r="Q353" s="45"/>
    </row>
    <row r="354" spans="1:17">
      <c r="A354" s="14">
        <v>350</v>
      </c>
      <c r="B354" s="29" t="s">
        <v>469</v>
      </c>
      <c r="C354" s="16">
        <f>'Медикаменты Октябрь'!L353</f>
        <v>0</v>
      </c>
      <c r="D354" s="17"/>
      <c r="E354" s="14"/>
      <c r="F354" s="18"/>
      <c r="G354" s="19"/>
      <c r="H354" s="20"/>
      <c r="I354" s="21"/>
      <c r="J354" s="14"/>
      <c r="K354" s="14">
        <f t="shared" si="10"/>
        <v>0</v>
      </c>
      <c r="L354" s="16">
        <f t="shared" si="11"/>
        <v>0</v>
      </c>
      <c r="M354" s="22">
        <v>44652</v>
      </c>
      <c r="N354" s="44" t="s">
        <v>45</v>
      </c>
      <c r="O354" s="23" t="s">
        <v>16</v>
      </c>
      <c r="P354" s="24" t="s">
        <v>17</v>
      </c>
      <c r="Q354" s="28" t="s">
        <v>470</v>
      </c>
    </row>
    <row r="355" spans="1:17">
      <c r="A355" s="14">
        <v>351</v>
      </c>
      <c r="B355" s="29" t="s">
        <v>577</v>
      </c>
      <c r="C355" s="16">
        <f>'Медикаменты Октябрь'!L354</f>
        <v>663</v>
      </c>
      <c r="D355" s="17"/>
      <c r="E355" s="14"/>
      <c r="F355" s="18">
        <f>30+45</f>
        <v>75</v>
      </c>
      <c r="G355" s="19"/>
      <c r="H355" s="20"/>
      <c r="I355" s="21"/>
      <c r="J355" s="14"/>
      <c r="K355" s="14">
        <f t="shared" si="10"/>
        <v>75</v>
      </c>
      <c r="L355" s="16">
        <f t="shared" si="11"/>
        <v>588</v>
      </c>
      <c r="M355" s="22">
        <v>44927</v>
      </c>
      <c r="N355" s="44" t="s">
        <v>551</v>
      </c>
      <c r="O355" s="23" t="s">
        <v>16</v>
      </c>
      <c r="P355" s="24" t="s">
        <v>17</v>
      </c>
      <c r="Q355" s="28" t="s">
        <v>578</v>
      </c>
    </row>
    <row r="356" spans="1:17">
      <c r="A356" s="14">
        <v>352</v>
      </c>
      <c r="B356" s="29" t="s">
        <v>577</v>
      </c>
      <c r="C356" s="16">
        <f>'Медикаменты Октябрь'!L355</f>
        <v>0</v>
      </c>
      <c r="D356" s="17"/>
      <c r="E356" s="14"/>
      <c r="F356" s="18"/>
      <c r="G356" s="19"/>
      <c r="H356" s="20"/>
      <c r="I356" s="21"/>
      <c r="J356" s="14"/>
      <c r="K356" s="14">
        <f t="shared" si="10"/>
        <v>0</v>
      </c>
      <c r="L356" s="16">
        <f t="shared" si="11"/>
        <v>0</v>
      </c>
      <c r="M356" s="22">
        <v>44927</v>
      </c>
      <c r="N356" s="44" t="s">
        <v>551</v>
      </c>
      <c r="O356" s="23" t="s">
        <v>26</v>
      </c>
      <c r="P356" s="24" t="s">
        <v>17</v>
      </c>
      <c r="Q356" s="28" t="s">
        <v>578</v>
      </c>
    </row>
    <row r="357" spans="1:17">
      <c r="A357" s="14">
        <v>353</v>
      </c>
      <c r="B357" s="29" t="s">
        <v>579</v>
      </c>
      <c r="C357" s="16">
        <f>'Медикаменты Октябрь'!L356</f>
        <v>457</v>
      </c>
      <c r="D357" s="17"/>
      <c r="E357" s="14"/>
      <c r="F357" s="18">
        <f>35</f>
        <v>35</v>
      </c>
      <c r="G357" s="19"/>
      <c r="H357" s="20">
        <f>50</f>
        <v>50</v>
      </c>
      <c r="I357" s="21"/>
      <c r="J357" s="14"/>
      <c r="K357" s="14">
        <f t="shared" si="10"/>
        <v>85</v>
      </c>
      <c r="L357" s="16">
        <f t="shared" si="11"/>
        <v>372</v>
      </c>
      <c r="M357" s="22">
        <v>44927</v>
      </c>
      <c r="N357" s="44" t="s">
        <v>551</v>
      </c>
      <c r="O357" s="23" t="s">
        <v>16</v>
      </c>
      <c r="P357" s="24" t="s">
        <v>17</v>
      </c>
      <c r="Q357" s="28" t="s">
        <v>580</v>
      </c>
    </row>
    <row r="358" spans="1:17">
      <c r="A358" s="14">
        <v>354</v>
      </c>
      <c r="B358" s="29" t="s">
        <v>581</v>
      </c>
      <c r="C358" s="16">
        <f>'Медикаменты Октябрь'!L357</f>
        <v>30</v>
      </c>
      <c r="D358" s="17"/>
      <c r="E358" s="14"/>
      <c r="F358" s="18"/>
      <c r="G358" s="19"/>
      <c r="H358" s="20"/>
      <c r="I358" s="21"/>
      <c r="J358" s="14"/>
      <c r="K358" s="14">
        <f t="shared" si="10"/>
        <v>0</v>
      </c>
      <c r="L358" s="16">
        <f t="shared" si="11"/>
        <v>30</v>
      </c>
      <c r="M358" s="22">
        <v>44927</v>
      </c>
      <c r="N358" s="44" t="s">
        <v>551</v>
      </c>
      <c r="O358" s="23" t="s">
        <v>16</v>
      </c>
      <c r="P358" s="24" t="s">
        <v>17</v>
      </c>
      <c r="Q358" s="28" t="s">
        <v>582</v>
      </c>
    </row>
    <row r="359" spans="1:17">
      <c r="A359" s="14">
        <v>355</v>
      </c>
      <c r="B359" s="29" t="s">
        <v>612</v>
      </c>
      <c r="C359" s="16">
        <f>'Медикаменты Октябрь'!L358</f>
        <v>269</v>
      </c>
      <c r="D359" s="17"/>
      <c r="E359" s="14"/>
      <c r="F359" s="18">
        <f>10+20</f>
        <v>30</v>
      </c>
      <c r="G359" s="19"/>
      <c r="H359" s="20"/>
      <c r="I359" s="21"/>
      <c r="J359" s="14"/>
      <c r="K359" s="14">
        <f t="shared" si="10"/>
        <v>30</v>
      </c>
      <c r="L359" s="16">
        <f t="shared" si="11"/>
        <v>239</v>
      </c>
      <c r="M359" s="22">
        <v>44866</v>
      </c>
      <c r="N359" s="44" t="s">
        <v>551</v>
      </c>
      <c r="O359" s="23" t="s">
        <v>16</v>
      </c>
      <c r="P359" s="24" t="s">
        <v>17</v>
      </c>
      <c r="Q359" s="28" t="s">
        <v>613</v>
      </c>
    </row>
    <row r="360" spans="1:17">
      <c r="A360" s="14">
        <v>356</v>
      </c>
      <c r="B360" s="29" t="s">
        <v>471</v>
      </c>
      <c r="C360" s="16">
        <f>'Медикаменты Октябрь'!L359</f>
        <v>0</v>
      </c>
      <c r="D360" s="17"/>
      <c r="E360" s="14"/>
      <c r="F360" s="18"/>
      <c r="G360" s="19"/>
      <c r="H360" s="20"/>
      <c r="I360" s="21"/>
      <c r="J360" s="14"/>
      <c r="K360" s="14">
        <f t="shared" si="10"/>
        <v>0</v>
      </c>
      <c r="L360" s="16">
        <f t="shared" si="11"/>
        <v>0</v>
      </c>
      <c r="M360" s="22"/>
      <c r="N360" s="44"/>
      <c r="O360" s="23" t="s">
        <v>16</v>
      </c>
      <c r="P360" s="24"/>
      <c r="Q360" s="45"/>
    </row>
    <row r="361" spans="1:17">
      <c r="A361" s="14">
        <v>357</v>
      </c>
      <c r="B361" s="29" t="s">
        <v>472</v>
      </c>
      <c r="C361" s="16">
        <f>'Медикаменты Октябрь'!L360</f>
        <v>0</v>
      </c>
      <c r="D361" s="17"/>
      <c r="E361" s="14"/>
      <c r="F361" s="18"/>
      <c r="G361" s="19"/>
      <c r="H361" s="20"/>
      <c r="I361" s="21"/>
      <c r="J361" s="14"/>
      <c r="K361" s="14">
        <f t="shared" si="10"/>
        <v>0</v>
      </c>
      <c r="L361" s="16">
        <f t="shared" si="11"/>
        <v>0</v>
      </c>
      <c r="M361" s="22">
        <v>44562</v>
      </c>
      <c r="N361" s="44"/>
      <c r="O361" s="23" t="s">
        <v>16</v>
      </c>
      <c r="P361" s="24"/>
      <c r="Q361" s="28" t="s">
        <v>473</v>
      </c>
    </row>
    <row r="362" spans="1:17">
      <c r="A362" s="14">
        <v>358</v>
      </c>
      <c r="B362" s="29" t="s">
        <v>474</v>
      </c>
      <c r="C362" s="16">
        <f>'Медикаменты Октябрь'!L361</f>
        <v>155</v>
      </c>
      <c r="D362" s="17"/>
      <c r="E362" s="14"/>
      <c r="F362" s="18">
        <f>20+5</f>
        <v>25</v>
      </c>
      <c r="G362" s="19"/>
      <c r="H362" s="20"/>
      <c r="I362" s="21"/>
      <c r="J362" s="14"/>
      <c r="K362" s="14">
        <f t="shared" si="10"/>
        <v>25</v>
      </c>
      <c r="L362" s="16">
        <f t="shared" si="11"/>
        <v>130</v>
      </c>
      <c r="M362" s="22">
        <v>45108</v>
      </c>
      <c r="N362" s="44" t="s">
        <v>551</v>
      </c>
      <c r="O362" s="23" t="s">
        <v>16</v>
      </c>
      <c r="P362" s="24" t="s">
        <v>45</v>
      </c>
      <c r="Q362" s="28" t="s">
        <v>475</v>
      </c>
    </row>
    <row r="363" spans="1:17">
      <c r="A363" s="14">
        <v>359</v>
      </c>
      <c r="B363" s="29" t="s">
        <v>476</v>
      </c>
      <c r="C363" s="16">
        <f>'Медикаменты Октябрь'!L362</f>
        <v>0</v>
      </c>
      <c r="D363" s="17"/>
      <c r="E363" s="14"/>
      <c r="F363" s="18"/>
      <c r="G363" s="19"/>
      <c r="H363" s="20"/>
      <c r="I363" s="21"/>
      <c r="J363" s="14"/>
      <c r="K363" s="14">
        <f t="shared" si="10"/>
        <v>0</v>
      </c>
      <c r="L363" s="16">
        <f t="shared" si="11"/>
        <v>0</v>
      </c>
      <c r="M363" s="22">
        <v>44531</v>
      </c>
      <c r="N363" s="44"/>
      <c r="O363" s="23" t="s">
        <v>16</v>
      </c>
      <c r="P363" s="24" t="s">
        <v>45</v>
      </c>
      <c r="Q363" s="28" t="s">
        <v>477</v>
      </c>
    </row>
    <row r="364" spans="1:17">
      <c r="A364" s="14">
        <v>360</v>
      </c>
      <c r="B364" s="29" t="s">
        <v>478</v>
      </c>
      <c r="C364" s="16">
        <f>'Медикаменты Октябрь'!L363</f>
        <v>0</v>
      </c>
      <c r="D364" s="17"/>
      <c r="E364" s="14"/>
      <c r="F364" s="18"/>
      <c r="G364" s="19"/>
      <c r="H364" s="20"/>
      <c r="I364" s="21"/>
      <c r="J364" s="14"/>
      <c r="K364" s="14">
        <f t="shared" si="10"/>
        <v>0</v>
      </c>
      <c r="L364" s="16">
        <f t="shared" si="11"/>
        <v>0</v>
      </c>
      <c r="M364" s="22"/>
      <c r="N364" s="44"/>
      <c r="O364" s="23" t="s">
        <v>16</v>
      </c>
      <c r="P364" s="24"/>
      <c r="Q364" s="45"/>
    </row>
    <row r="365" spans="1:17">
      <c r="A365" s="14">
        <v>361</v>
      </c>
      <c r="B365" s="29" t="s">
        <v>479</v>
      </c>
      <c r="C365" s="16">
        <f>'Медикаменты Октябрь'!L364</f>
        <v>0</v>
      </c>
      <c r="D365" s="17"/>
      <c r="E365" s="14"/>
      <c r="F365" s="18"/>
      <c r="G365" s="19"/>
      <c r="H365" s="20"/>
      <c r="I365" s="21"/>
      <c r="J365" s="14"/>
      <c r="K365" s="14">
        <f t="shared" si="10"/>
        <v>0</v>
      </c>
      <c r="L365" s="16">
        <f t="shared" si="11"/>
        <v>0</v>
      </c>
      <c r="M365" s="22">
        <v>44743</v>
      </c>
      <c r="N365" s="44"/>
      <c r="O365" s="23" t="s">
        <v>16</v>
      </c>
      <c r="P365" s="24"/>
      <c r="Q365" s="28" t="s">
        <v>480</v>
      </c>
    </row>
    <row r="366" spans="1:17">
      <c r="A366" s="14">
        <v>362</v>
      </c>
      <c r="B366" s="29" t="s">
        <v>481</v>
      </c>
      <c r="C366" s="16">
        <f>'Медикаменты Октябрь'!L365</f>
        <v>95</v>
      </c>
      <c r="D366" s="17"/>
      <c r="E366" s="14"/>
      <c r="F366" s="18">
        <f>5+15</f>
        <v>20</v>
      </c>
      <c r="G366" s="19"/>
      <c r="H366" s="20"/>
      <c r="I366" s="21"/>
      <c r="J366" s="14"/>
      <c r="K366" s="14">
        <f t="shared" si="10"/>
        <v>20</v>
      </c>
      <c r="L366" s="16">
        <f t="shared" si="11"/>
        <v>75</v>
      </c>
      <c r="M366" s="22">
        <v>45108</v>
      </c>
      <c r="N366" s="44" t="s">
        <v>45</v>
      </c>
      <c r="O366" s="23" t="s">
        <v>16</v>
      </c>
      <c r="P366" s="24" t="s">
        <v>17</v>
      </c>
      <c r="Q366" s="28" t="s">
        <v>558</v>
      </c>
    </row>
    <row r="367" spans="1:17">
      <c r="A367" s="14">
        <v>363</v>
      </c>
      <c r="B367" s="29" t="s">
        <v>483</v>
      </c>
      <c r="C367" s="16">
        <f>'Медикаменты Октябрь'!L366</f>
        <v>0</v>
      </c>
      <c r="D367" s="17"/>
      <c r="E367" s="14"/>
      <c r="F367" s="18"/>
      <c r="G367" s="19"/>
      <c r="H367" s="20"/>
      <c r="I367" s="21"/>
      <c r="J367" s="14"/>
      <c r="K367" s="14">
        <f t="shared" si="10"/>
        <v>0</v>
      </c>
      <c r="L367" s="16">
        <f t="shared" si="11"/>
        <v>0</v>
      </c>
      <c r="M367" s="22">
        <v>45689</v>
      </c>
      <c r="N367" s="44" t="s">
        <v>45</v>
      </c>
      <c r="O367" s="23" t="s">
        <v>16</v>
      </c>
      <c r="P367" s="24" t="s">
        <v>17</v>
      </c>
      <c r="Q367" s="28" t="s">
        <v>484</v>
      </c>
    </row>
    <row r="368" spans="1:17">
      <c r="A368" s="14">
        <v>364</v>
      </c>
      <c r="B368" s="29" t="s">
        <v>483</v>
      </c>
      <c r="C368" s="16">
        <f>'Медикаменты Октябрь'!L367</f>
        <v>0</v>
      </c>
      <c r="D368" s="17"/>
      <c r="E368" s="14"/>
      <c r="F368" s="18"/>
      <c r="G368" s="19"/>
      <c r="H368" s="20"/>
      <c r="I368" s="21"/>
      <c r="J368" s="14"/>
      <c r="K368" s="14">
        <f t="shared" si="10"/>
        <v>0</v>
      </c>
      <c r="L368" s="16">
        <f t="shared" si="11"/>
        <v>0</v>
      </c>
      <c r="M368" s="22">
        <v>45689</v>
      </c>
      <c r="N368" s="44" t="s">
        <v>45</v>
      </c>
      <c r="O368" s="23" t="s">
        <v>26</v>
      </c>
      <c r="P368" s="24" t="s">
        <v>17</v>
      </c>
      <c r="Q368" s="28" t="s">
        <v>484</v>
      </c>
    </row>
    <row r="369" spans="1:17">
      <c r="A369" s="14">
        <v>365</v>
      </c>
      <c r="B369" s="29" t="s">
        <v>485</v>
      </c>
      <c r="C369" s="16">
        <f>'Медикаменты Октябрь'!L368</f>
        <v>0</v>
      </c>
      <c r="D369" s="17"/>
      <c r="E369" s="14"/>
      <c r="F369" s="18"/>
      <c r="G369" s="19"/>
      <c r="H369" s="20"/>
      <c r="I369" s="21"/>
      <c r="J369" s="14"/>
      <c r="K369" s="14">
        <f t="shared" si="10"/>
        <v>0</v>
      </c>
      <c r="L369" s="16">
        <f t="shared" si="11"/>
        <v>0</v>
      </c>
      <c r="M369" s="22">
        <v>45597</v>
      </c>
      <c r="N369" s="44"/>
      <c r="O369" s="23" t="s">
        <v>16</v>
      </c>
      <c r="P369" s="24"/>
      <c r="Q369" s="28" t="s">
        <v>486</v>
      </c>
    </row>
    <row r="370" spans="1:17">
      <c r="A370" s="14">
        <v>366</v>
      </c>
      <c r="B370" s="29" t="s">
        <v>487</v>
      </c>
      <c r="C370" s="16">
        <f>'Медикаменты Октябрь'!L369</f>
        <v>0</v>
      </c>
      <c r="D370" s="17"/>
      <c r="E370" s="14"/>
      <c r="F370" s="18"/>
      <c r="G370" s="19"/>
      <c r="H370" s="20"/>
      <c r="I370" s="21"/>
      <c r="J370" s="14"/>
      <c r="K370" s="14">
        <f t="shared" si="10"/>
        <v>0</v>
      </c>
      <c r="L370" s="16">
        <f t="shared" si="11"/>
        <v>0</v>
      </c>
      <c r="M370" s="22"/>
      <c r="N370" s="44"/>
      <c r="O370" s="23" t="s">
        <v>16</v>
      </c>
      <c r="P370" s="24"/>
      <c r="Q370" s="45"/>
    </row>
    <row r="371" spans="1:17">
      <c r="A371" s="14">
        <v>367</v>
      </c>
      <c r="B371" s="29" t="s">
        <v>488</v>
      </c>
      <c r="C371" s="16">
        <f>'Медикаменты Октябрь'!L370</f>
        <v>0</v>
      </c>
      <c r="D371" s="17"/>
      <c r="E371" s="14"/>
      <c r="F371" s="18"/>
      <c r="G371" s="19"/>
      <c r="H371" s="20"/>
      <c r="I371" s="21"/>
      <c r="J371" s="14"/>
      <c r="K371" s="14">
        <f t="shared" si="10"/>
        <v>0</v>
      </c>
      <c r="L371" s="16">
        <f t="shared" si="11"/>
        <v>0</v>
      </c>
      <c r="M371" s="22">
        <v>45200</v>
      </c>
      <c r="N371" s="44" t="s">
        <v>551</v>
      </c>
      <c r="O371" s="23" t="s">
        <v>16</v>
      </c>
      <c r="P371" s="24" t="s">
        <v>17</v>
      </c>
      <c r="Q371" s="28" t="s">
        <v>489</v>
      </c>
    </row>
    <row r="372" spans="1:17">
      <c r="A372" s="14">
        <v>368</v>
      </c>
      <c r="B372" s="29" t="s">
        <v>490</v>
      </c>
      <c r="C372" s="16">
        <f>'Медикаменты Октябрь'!L371</f>
        <v>0</v>
      </c>
      <c r="D372" s="17"/>
      <c r="E372" s="14"/>
      <c r="F372" s="18"/>
      <c r="G372" s="19"/>
      <c r="H372" s="20"/>
      <c r="I372" s="21"/>
      <c r="J372" s="14"/>
      <c r="K372" s="14">
        <f t="shared" si="10"/>
        <v>0</v>
      </c>
      <c r="L372" s="16">
        <f t="shared" si="11"/>
        <v>0</v>
      </c>
      <c r="M372" s="22"/>
      <c r="N372" s="44"/>
      <c r="O372" s="23" t="s">
        <v>16</v>
      </c>
      <c r="P372" s="24"/>
      <c r="Q372" s="45"/>
    </row>
    <row r="373" spans="1:17">
      <c r="A373" s="14">
        <v>369</v>
      </c>
      <c r="B373" s="29" t="s">
        <v>614</v>
      </c>
      <c r="C373" s="16">
        <f>'Медикаменты Октябрь'!L372</f>
        <v>63</v>
      </c>
      <c r="D373" s="17"/>
      <c r="E373" s="14"/>
      <c r="F373" s="18"/>
      <c r="G373" s="19"/>
      <c r="H373" s="20"/>
      <c r="I373" s="21"/>
      <c r="J373" s="14"/>
      <c r="K373" s="14">
        <f t="shared" si="10"/>
        <v>0</v>
      </c>
      <c r="L373" s="16">
        <f t="shared" si="11"/>
        <v>63</v>
      </c>
      <c r="M373" s="22">
        <v>45323</v>
      </c>
      <c r="N373" s="44" t="s">
        <v>551</v>
      </c>
      <c r="O373" s="23" t="s">
        <v>16</v>
      </c>
      <c r="P373" s="24" t="s">
        <v>17</v>
      </c>
      <c r="Q373" s="28" t="s">
        <v>615</v>
      </c>
    </row>
    <row r="374" spans="1:17">
      <c r="A374" s="14">
        <v>370</v>
      </c>
      <c r="B374" s="29" t="s">
        <v>642</v>
      </c>
      <c r="C374" s="16">
        <f>'Медикаменты Октябрь'!L373</f>
        <v>50</v>
      </c>
      <c r="D374" s="17"/>
      <c r="E374" s="14"/>
      <c r="F374" s="18"/>
      <c r="G374" s="19"/>
      <c r="H374" s="20"/>
      <c r="I374" s="21"/>
      <c r="J374" s="14"/>
      <c r="K374" s="14">
        <f t="shared" si="10"/>
        <v>0</v>
      </c>
      <c r="L374" s="16">
        <f t="shared" si="11"/>
        <v>50</v>
      </c>
      <c r="M374" s="22">
        <v>45231</v>
      </c>
      <c r="N374" s="44" t="s">
        <v>551</v>
      </c>
      <c r="O374" s="23" t="s">
        <v>16</v>
      </c>
      <c r="P374" s="24" t="s">
        <v>17</v>
      </c>
      <c r="Q374" s="28" t="s">
        <v>492</v>
      </c>
    </row>
    <row r="375" spans="1:17">
      <c r="A375" s="14">
        <v>371</v>
      </c>
      <c r="B375" s="29" t="s">
        <v>642</v>
      </c>
      <c r="C375" s="16">
        <f>'Медикаменты Октябрь'!L374</f>
        <v>295</v>
      </c>
      <c r="D375" s="17"/>
      <c r="E375" s="14"/>
      <c r="F375" s="18"/>
      <c r="G375" s="19"/>
      <c r="H375" s="20"/>
      <c r="I375" s="21"/>
      <c r="J375" s="14"/>
      <c r="K375" s="14">
        <f t="shared" si="10"/>
        <v>0</v>
      </c>
      <c r="L375" s="16">
        <f t="shared" si="11"/>
        <v>295</v>
      </c>
      <c r="M375" s="22">
        <v>44896</v>
      </c>
      <c r="N375" s="44" t="s">
        <v>551</v>
      </c>
      <c r="O375" s="23" t="s">
        <v>16</v>
      </c>
      <c r="P375" s="24" t="s">
        <v>17</v>
      </c>
      <c r="Q375" s="28" t="s">
        <v>492</v>
      </c>
    </row>
    <row r="376" spans="1:17">
      <c r="A376" s="14">
        <v>372</v>
      </c>
      <c r="B376" s="29" t="s">
        <v>643</v>
      </c>
      <c r="C376" s="16">
        <f>'Медикаменты Октябрь'!L375</f>
        <v>40</v>
      </c>
      <c r="D376" s="17"/>
      <c r="E376" s="14"/>
      <c r="F376" s="18"/>
      <c r="G376" s="19"/>
      <c r="H376" s="20"/>
      <c r="I376" s="21"/>
      <c r="J376" s="14"/>
      <c r="K376" s="14">
        <f t="shared" si="10"/>
        <v>0</v>
      </c>
      <c r="L376" s="16">
        <f t="shared" si="11"/>
        <v>40</v>
      </c>
      <c r="M376" s="22">
        <v>44774</v>
      </c>
      <c r="N376" s="44" t="s">
        <v>551</v>
      </c>
      <c r="O376" s="23" t="s">
        <v>16</v>
      </c>
      <c r="P376" s="24" t="s">
        <v>17</v>
      </c>
      <c r="Q376" s="28" t="s">
        <v>494</v>
      </c>
    </row>
    <row r="377" spans="1:17">
      <c r="A377" s="14">
        <v>373</v>
      </c>
      <c r="B377" s="29" t="s">
        <v>495</v>
      </c>
      <c r="C377" s="16">
        <f>'Медикаменты Октябрь'!L376</f>
        <v>0</v>
      </c>
      <c r="D377" s="17"/>
      <c r="E377" s="14"/>
      <c r="F377" s="18"/>
      <c r="G377" s="19"/>
      <c r="H377" s="20"/>
      <c r="I377" s="21"/>
      <c r="J377" s="14"/>
      <c r="K377" s="14">
        <f t="shared" si="10"/>
        <v>0</v>
      </c>
      <c r="L377" s="16">
        <f t="shared" si="11"/>
        <v>0</v>
      </c>
      <c r="M377" s="22"/>
      <c r="N377" s="44"/>
      <c r="O377" s="23" t="s">
        <v>16</v>
      </c>
      <c r="P377" s="24"/>
      <c r="Q377" s="45"/>
    </row>
    <row r="378" spans="1:17">
      <c r="A378" s="14">
        <v>374</v>
      </c>
      <c r="B378" s="29" t="s">
        <v>583</v>
      </c>
      <c r="C378" s="16">
        <f>'Медикаменты Октябрь'!L377</f>
        <v>6</v>
      </c>
      <c r="D378" s="17"/>
      <c r="E378" s="14"/>
      <c r="F378" s="18"/>
      <c r="G378" s="19"/>
      <c r="H378" s="20"/>
      <c r="I378" s="21"/>
      <c r="J378" s="14"/>
      <c r="K378" s="14">
        <f t="shared" si="10"/>
        <v>0</v>
      </c>
      <c r="L378" s="16">
        <f t="shared" si="11"/>
        <v>6</v>
      </c>
      <c r="M378" s="22">
        <v>44896</v>
      </c>
      <c r="N378" s="44" t="s">
        <v>551</v>
      </c>
      <c r="O378" s="23" t="s">
        <v>16</v>
      </c>
      <c r="P378" s="24" t="s">
        <v>17</v>
      </c>
      <c r="Q378" s="28" t="s">
        <v>497</v>
      </c>
    </row>
    <row r="379" spans="1:17">
      <c r="A379" s="14">
        <v>375</v>
      </c>
      <c r="B379" s="29" t="s">
        <v>498</v>
      </c>
      <c r="C379" s="16">
        <f>'Медикаменты Октябрь'!L378</f>
        <v>100</v>
      </c>
      <c r="D379" s="17"/>
      <c r="E379" s="14"/>
      <c r="F379" s="18"/>
      <c r="G379" s="19"/>
      <c r="H379" s="20"/>
      <c r="I379" s="21"/>
      <c r="J379" s="14"/>
      <c r="K379" s="14">
        <f t="shared" si="10"/>
        <v>0</v>
      </c>
      <c r="L379" s="16">
        <f t="shared" si="11"/>
        <v>100</v>
      </c>
      <c r="M379" s="22">
        <v>44805</v>
      </c>
      <c r="N379" s="44" t="s">
        <v>45</v>
      </c>
      <c r="O379" s="23" t="s">
        <v>16</v>
      </c>
      <c r="P379" s="24" t="s">
        <v>17</v>
      </c>
      <c r="Q379" s="28" t="s">
        <v>499</v>
      </c>
    </row>
    <row r="380" spans="1:17">
      <c r="A380" s="14">
        <v>376</v>
      </c>
      <c r="B380" s="29" t="s">
        <v>500</v>
      </c>
      <c r="C380" s="16">
        <f>'Медикаменты Октябрь'!L379</f>
        <v>70</v>
      </c>
      <c r="D380" s="17"/>
      <c r="E380" s="14"/>
      <c r="F380" s="18"/>
      <c r="G380" s="19"/>
      <c r="H380" s="20"/>
      <c r="I380" s="21"/>
      <c r="J380" s="14"/>
      <c r="K380" s="14">
        <f t="shared" si="10"/>
        <v>0</v>
      </c>
      <c r="L380" s="16">
        <f t="shared" si="11"/>
        <v>70</v>
      </c>
      <c r="M380" s="22">
        <v>45992</v>
      </c>
      <c r="N380" s="44" t="s">
        <v>551</v>
      </c>
      <c r="O380" s="23" t="s">
        <v>16</v>
      </c>
      <c r="P380" s="24" t="s">
        <v>17</v>
      </c>
      <c r="Q380" s="28" t="s">
        <v>616</v>
      </c>
    </row>
    <row r="381" spans="1:17">
      <c r="A381" s="14">
        <v>377</v>
      </c>
      <c r="B381" s="29" t="s">
        <v>501</v>
      </c>
      <c r="C381" s="16">
        <f>'Медикаменты Октябрь'!L380</f>
        <v>0</v>
      </c>
      <c r="D381" s="17"/>
      <c r="E381" s="14"/>
      <c r="F381" s="18"/>
      <c r="G381" s="19"/>
      <c r="H381" s="20"/>
      <c r="I381" s="21"/>
      <c r="J381" s="14"/>
      <c r="K381" s="14">
        <f t="shared" si="10"/>
        <v>0</v>
      </c>
      <c r="L381" s="16">
        <f t="shared" si="11"/>
        <v>0</v>
      </c>
      <c r="M381" s="22"/>
      <c r="N381" s="44"/>
      <c r="O381" s="23" t="s">
        <v>16</v>
      </c>
      <c r="P381" s="24"/>
      <c r="Q381" s="45"/>
    </row>
    <row r="382" spans="1:17">
      <c r="A382" s="14">
        <v>378</v>
      </c>
      <c r="B382" s="29" t="s">
        <v>502</v>
      </c>
      <c r="C382" s="16">
        <f>'Медикаменты Октябрь'!L381</f>
        <v>0</v>
      </c>
      <c r="D382" s="17"/>
      <c r="E382" s="14"/>
      <c r="F382" s="18"/>
      <c r="G382" s="19"/>
      <c r="H382" s="20"/>
      <c r="I382" s="21"/>
      <c r="J382" s="14"/>
      <c r="K382" s="14">
        <f t="shared" si="10"/>
        <v>0</v>
      </c>
      <c r="L382" s="16">
        <f t="shared" si="11"/>
        <v>0</v>
      </c>
      <c r="M382" s="22">
        <v>45139</v>
      </c>
      <c r="N382" s="44" t="s">
        <v>551</v>
      </c>
      <c r="O382" s="23" t="s">
        <v>16</v>
      </c>
      <c r="P382" s="24" t="s">
        <v>17</v>
      </c>
      <c r="Q382" s="46" t="s">
        <v>588</v>
      </c>
    </row>
    <row r="383" spans="1:17">
      <c r="A383" s="14">
        <v>379</v>
      </c>
      <c r="B383" s="29" t="s">
        <v>502</v>
      </c>
      <c r="C383" s="16">
        <f>'Медикаменты Октябрь'!L382</f>
        <v>0</v>
      </c>
      <c r="D383" s="17"/>
      <c r="E383" s="14"/>
      <c r="F383" s="18"/>
      <c r="G383" s="19"/>
      <c r="H383" s="20"/>
      <c r="I383" s="21"/>
      <c r="J383" s="14"/>
      <c r="K383" s="14">
        <f t="shared" si="10"/>
        <v>0</v>
      </c>
      <c r="L383" s="16">
        <f t="shared" si="11"/>
        <v>0</v>
      </c>
      <c r="M383" s="22">
        <v>45139</v>
      </c>
      <c r="N383" s="44" t="s">
        <v>551</v>
      </c>
      <c r="O383" s="23" t="s">
        <v>26</v>
      </c>
      <c r="P383" s="24" t="s">
        <v>17</v>
      </c>
      <c r="Q383" s="46" t="s">
        <v>588</v>
      </c>
    </row>
    <row r="384" spans="1:17">
      <c r="A384" s="14">
        <v>380</v>
      </c>
      <c r="B384" s="29" t="s">
        <v>503</v>
      </c>
      <c r="C384" s="16">
        <f>'Медикаменты Октябрь'!L383</f>
        <v>8</v>
      </c>
      <c r="D384" s="26"/>
      <c r="E384" s="14"/>
      <c r="F384" s="18">
        <f>5+3</f>
        <v>8</v>
      </c>
      <c r="G384" s="19"/>
      <c r="H384" s="20"/>
      <c r="I384" s="21"/>
      <c r="J384" s="14"/>
      <c r="K384" s="14">
        <f t="shared" si="10"/>
        <v>8</v>
      </c>
      <c r="L384" s="16">
        <f t="shared" si="11"/>
        <v>0</v>
      </c>
      <c r="M384" s="22">
        <v>44713</v>
      </c>
      <c r="N384" s="44" t="s">
        <v>45</v>
      </c>
      <c r="O384" s="23" t="s">
        <v>16</v>
      </c>
      <c r="P384" s="24" t="s">
        <v>17</v>
      </c>
      <c r="Q384" s="28" t="s">
        <v>504</v>
      </c>
    </row>
    <row r="385" spans="1:17">
      <c r="A385" s="14">
        <v>381</v>
      </c>
      <c r="B385" s="29" t="s">
        <v>503</v>
      </c>
      <c r="C385" s="16">
        <f>'Медикаменты Октябрь'!L384</f>
        <v>85</v>
      </c>
      <c r="D385" s="26"/>
      <c r="E385" s="14"/>
      <c r="F385" s="18">
        <f>2+10</f>
        <v>12</v>
      </c>
      <c r="G385" s="19"/>
      <c r="H385" s="20"/>
      <c r="I385" s="21"/>
      <c r="J385" s="14"/>
      <c r="K385" s="14">
        <f t="shared" si="10"/>
        <v>12</v>
      </c>
      <c r="L385" s="16">
        <f t="shared" si="11"/>
        <v>73</v>
      </c>
      <c r="M385" s="22">
        <v>44986</v>
      </c>
      <c r="N385" s="44" t="s">
        <v>551</v>
      </c>
      <c r="O385" s="23" t="s">
        <v>16</v>
      </c>
      <c r="P385" s="24" t="s">
        <v>17</v>
      </c>
      <c r="Q385" s="28" t="s">
        <v>504</v>
      </c>
    </row>
    <row r="386" spans="1:17">
      <c r="A386" s="14">
        <v>382</v>
      </c>
      <c r="B386" s="29" t="s">
        <v>503</v>
      </c>
      <c r="C386" s="16">
        <f>'Медикаменты Октябрь'!L385</f>
        <v>65</v>
      </c>
      <c r="D386" s="26"/>
      <c r="E386" s="14"/>
      <c r="F386" s="18"/>
      <c r="G386" s="19"/>
      <c r="H386" s="20"/>
      <c r="I386" s="21"/>
      <c r="J386" s="14"/>
      <c r="K386" s="14">
        <f t="shared" si="10"/>
        <v>0</v>
      </c>
      <c r="L386" s="16">
        <f t="shared" si="11"/>
        <v>65</v>
      </c>
      <c r="M386" s="22">
        <v>44986</v>
      </c>
      <c r="N386" s="44" t="s">
        <v>551</v>
      </c>
      <c r="O386" s="23" t="s">
        <v>26</v>
      </c>
      <c r="P386" s="24" t="s">
        <v>17</v>
      </c>
      <c r="Q386" s="28" t="s">
        <v>504</v>
      </c>
    </row>
    <row r="387" spans="1:17">
      <c r="A387" s="14">
        <v>383</v>
      </c>
      <c r="B387" s="29" t="s">
        <v>505</v>
      </c>
      <c r="C387" s="16">
        <f>'Медикаменты Октябрь'!L386</f>
        <v>0</v>
      </c>
      <c r="D387" s="17"/>
      <c r="E387" s="14"/>
      <c r="F387" s="18"/>
      <c r="G387" s="19"/>
      <c r="H387" s="20"/>
      <c r="I387" s="21"/>
      <c r="J387" s="14"/>
      <c r="K387" s="14">
        <f t="shared" si="10"/>
        <v>0</v>
      </c>
      <c r="L387" s="16">
        <f t="shared" si="11"/>
        <v>0</v>
      </c>
      <c r="M387" s="22"/>
      <c r="N387" s="44"/>
      <c r="O387" s="23" t="s">
        <v>16</v>
      </c>
      <c r="P387" s="24"/>
      <c r="Q387" s="45"/>
    </row>
    <row r="388" spans="1:17">
      <c r="A388" s="14">
        <v>384</v>
      </c>
      <c r="B388" s="29" t="s">
        <v>506</v>
      </c>
      <c r="C388" s="16">
        <f>'Медикаменты Октябрь'!L387</f>
        <v>0</v>
      </c>
      <c r="D388" s="26"/>
      <c r="E388" s="14"/>
      <c r="F388" s="18"/>
      <c r="G388" s="19"/>
      <c r="H388" s="20"/>
      <c r="I388" s="21"/>
      <c r="J388" s="14"/>
      <c r="K388" s="14">
        <f t="shared" si="10"/>
        <v>0</v>
      </c>
      <c r="L388" s="16">
        <f t="shared" si="11"/>
        <v>0</v>
      </c>
      <c r="M388" s="22">
        <v>44531</v>
      </c>
      <c r="N388" s="44" t="s">
        <v>45</v>
      </c>
      <c r="O388" s="23" t="s">
        <v>16</v>
      </c>
      <c r="P388" s="24" t="s">
        <v>17</v>
      </c>
      <c r="Q388" s="28" t="s">
        <v>507</v>
      </c>
    </row>
    <row r="389" spans="1:17">
      <c r="A389" s="14">
        <v>385</v>
      </c>
      <c r="B389" s="29" t="s">
        <v>644</v>
      </c>
      <c r="C389" s="16">
        <f>'Медикаменты Октябрь'!L388</f>
        <v>347</v>
      </c>
      <c r="D389" s="17"/>
      <c r="E389" s="14"/>
      <c r="F389" s="18">
        <f>20</f>
        <v>20</v>
      </c>
      <c r="G389" s="19"/>
      <c r="H389" s="20"/>
      <c r="I389" s="21"/>
      <c r="J389" s="14"/>
      <c r="K389" s="14">
        <f t="shared" ref="K389:K452" si="12">SUM(F389:J389)</f>
        <v>20</v>
      </c>
      <c r="L389" s="16">
        <f t="shared" ref="L389:L452" si="13">(C389+E389)-K389</f>
        <v>327</v>
      </c>
      <c r="M389" s="22">
        <v>45108</v>
      </c>
      <c r="N389" s="44" t="s">
        <v>551</v>
      </c>
      <c r="O389" s="23" t="s">
        <v>16</v>
      </c>
      <c r="P389" s="24" t="s">
        <v>17</v>
      </c>
      <c r="Q389" s="28" t="s">
        <v>509</v>
      </c>
    </row>
    <row r="390" spans="1:17">
      <c r="A390" s="14">
        <v>386</v>
      </c>
      <c r="B390" s="29" t="s">
        <v>510</v>
      </c>
      <c r="C390" s="16">
        <f>'Медикаменты Октябрь'!L389</f>
        <v>95</v>
      </c>
      <c r="D390" s="17"/>
      <c r="E390" s="14"/>
      <c r="F390" s="18">
        <f>2+2</f>
        <v>4</v>
      </c>
      <c r="G390" s="19"/>
      <c r="H390" s="20"/>
      <c r="I390" s="21"/>
      <c r="J390" s="14"/>
      <c r="K390" s="14">
        <f t="shared" si="12"/>
        <v>4</v>
      </c>
      <c r="L390" s="16">
        <f t="shared" si="13"/>
        <v>91</v>
      </c>
      <c r="M390" s="22">
        <v>44950</v>
      </c>
      <c r="N390" s="44" t="s">
        <v>551</v>
      </c>
      <c r="O390" s="23" t="s">
        <v>16</v>
      </c>
      <c r="P390" s="24" t="s">
        <v>17</v>
      </c>
      <c r="Q390" s="28" t="s">
        <v>589</v>
      </c>
    </row>
    <row r="391" spans="1:17">
      <c r="A391" s="14">
        <v>387</v>
      </c>
      <c r="B391" s="29" t="s">
        <v>511</v>
      </c>
      <c r="C391" s="16">
        <f>'Медикаменты Октябрь'!L390</f>
        <v>0</v>
      </c>
      <c r="D391" s="17"/>
      <c r="E391" s="14"/>
      <c r="F391" s="18"/>
      <c r="G391" s="19"/>
      <c r="H391" s="20"/>
      <c r="I391" s="21"/>
      <c r="J391" s="14"/>
      <c r="K391" s="14">
        <f t="shared" si="12"/>
        <v>0</v>
      </c>
      <c r="L391" s="16">
        <f t="shared" si="13"/>
        <v>0</v>
      </c>
      <c r="M391" s="22"/>
      <c r="N391" s="44"/>
      <c r="O391" s="23" t="s">
        <v>16</v>
      </c>
      <c r="P391" s="24"/>
      <c r="Q391" s="45"/>
    </row>
    <row r="392" spans="1:17">
      <c r="A392" s="14">
        <v>388</v>
      </c>
      <c r="B392" s="29" t="s">
        <v>512</v>
      </c>
      <c r="C392" s="16">
        <f>'Медикаменты Октябрь'!L391</f>
        <v>220</v>
      </c>
      <c r="D392" s="17"/>
      <c r="E392" s="14"/>
      <c r="F392" s="18">
        <f>10+5</f>
        <v>15</v>
      </c>
      <c r="G392" s="19"/>
      <c r="H392" s="20">
        <f>10</f>
        <v>10</v>
      </c>
      <c r="I392" s="21"/>
      <c r="J392" s="14"/>
      <c r="K392" s="14">
        <f t="shared" si="12"/>
        <v>25</v>
      </c>
      <c r="L392" s="16">
        <f t="shared" si="13"/>
        <v>195</v>
      </c>
      <c r="M392" s="22">
        <v>45383</v>
      </c>
      <c r="N392" s="44" t="s">
        <v>551</v>
      </c>
      <c r="O392" s="23" t="s">
        <v>16</v>
      </c>
      <c r="P392" s="24" t="s">
        <v>17</v>
      </c>
      <c r="Q392" s="28" t="s">
        <v>513</v>
      </c>
    </row>
    <row r="393" spans="1:17">
      <c r="A393" s="14">
        <v>389</v>
      </c>
      <c r="B393" s="29" t="s">
        <v>514</v>
      </c>
      <c r="C393" s="16">
        <f>'Медикаменты Октябрь'!L392</f>
        <v>210</v>
      </c>
      <c r="D393" s="17"/>
      <c r="E393" s="14"/>
      <c r="F393" s="18">
        <f>4+5</f>
        <v>9</v>
      </c>
      <c r="G393" s="19"/>
      <c r="H393" s="20">
        <f>10</f>
        <v>10</v>
      </c>
      <c r="I393" s="21"/>
      <c r="J393" s="14"/>
      <c r="K393" s="14">
        <f t="shared" si="12"/>
        <v>19</v>
      </c>
      <c r="L393" s="16">
        <f t="shared" si="13"/>
        <v>191</v>
      </c>
      <c r="M393" s="22">
        <v>45199</v>
      </c>
      <c r="N393" s="44" t="s">
        <v>551</v>
      </c>
      <c r="O393" s="23" t="s">
        <v>16</v>
      </c>
      <c r="P393" s="24" t="s">
        <v>17</v>
      </c>
      <c r="Q393" s="28" t="s">
        <v>515</v>
      </c>
    </row>
    <row r="394" spans="1:17">
      <c r="A394" s="14">
        <v>390</v>
      </c>
      <c r="B394" s="29" t="s">
        <v>516</v>
      </c>
      <c r="C394" s="16">
        <f>'Медикаменты Октябрь'!L393</f>
        <v>0</v>
      </c>
      <c r="D394" s="17"/>
      <c r="E394" s="14"/>
      <c r="F394" s="18"/>
      <c r="G394" s="19"/>
      <c r="H394" s="20"/>
      <c r="I394" s="21"/>
      <c r="J394" s="14"/>
      <c r="K394" s="14">
        <f t="shared" si="12"/>
        <v>0</v>
      </c>
      <c r="L394" s="16">
        <f t="shared" si="13"/>
        <v>0</v>
      </c>
      <c r="M394" s="22"/>
      <c r="N394" s="44"/>
      <c r="O394" s="23" t="s">
        <v>16</v>
      </c>
      <c r="P394" s="24"/>
      <c r="Q394" s="45"/>
    </row>
    <row r="395" spans="1:17">
      <c r="A395" s="14">
        <v>391</v>
      </c>
      <c r="B395" s="29" t="s">
        <v>517</v>
      </c>
      <c r="C395" s="16">
        <f>'Медикаменты Октябрь'!L394</f>
        <v>300</v>
      </c>
      <c r="D395" s="17"/>
      <c r="E395" s="14"/>
      <c r="F395" s="18"/>
      <c r="G395" s="19"/>
      <c r="H395" s="20"/>
      <c r="I395" s="21"/>
      <c r="J395" s="14"/>
      <c r="K395" s="14">
        <f t="shared" si="12"/>
        <v>0</v>
      </c>
      <c r="L395" s="16">
        <f t="shared" si="13"/>
        <v>300</v>
      </c>
      <c r="M395" s="22">
        <v>45352</v>
      </c>
      <c r="N395" s="44" t="s">
        <v>551</v>
      </c>
      <c r="O395" s="23" t="s">
        <v>16</v>
      </c>
      <c r="P395" s="24" t="s">
        <v>17</v>
      </c>
      <c r="Q395" s="28" t="s">
        <v>518</v>
      </c>
    </row>
    <row r="396" spans="1:17">
      <c r="A396" s="14">
        <v>392</v>
      </c>
      <c r="B396" s="29" t="s">
        <v>519</v>
      </c>
      <c r="C396" s="16">
        <f>'Медикаменты Октябрь'!L395</f>
        <v>140</v>
      </c>
      <c r="D396" s="17"/>
      <c r="E396" s="14"/>
      <c r="F396" s="18">
        <f>10+10</f>
        <v>20</v>
      </c>
      <c r="G396" s="19"/>
      <c r="H396" s="20"/>
      <c r="I396" s="21"/>
      <c r="J396" s="14"/>
      <c r="K396" s="14">
        <f t="shared" si="12"/>
        <v>20</v>
      </c>
      <c r="L396" s="16">
        <f t="shared" si="13"/>
        <v>120</v>
      </c>
      <c r="M396" s="22">
        <v>45352</v>
      </c>
      <c r="N396" s="44" t="s">
        <v>551</v>
      </c>
      <c r="O396" s="23" t="s">
        <v>16</v>
      </c>
      <c r="P396" s="24" t="s">
        <v>17</v>
      </c>
      <c r="Q396" s="28" t="s">
        <v>655</v>
      </c>
    </row>
    <row r="397" spans="1:17">
      <c r="A397" s="14">
        <v>393</v>
      </c>
      <c r="B397" s="29" t="s">
        <v>520</v>
      </c>
      <c r="C397" s="16">
        <f>'Медикаменты Октябрь'!L396</f>
        <v>190</v>
      </c>
      <c r="D397" s="17"/>
      <c r="E397" s="14"/>
      <c r="F397" s="18"/>
      <c r="G397" s="19"/>
      <c r="H397" s="20">
        <f>30</f>
        <v>30</v>
      </c>
      <c r="I397" s="21"/>
      <c r="J397" s="14"/>
      <c r="K397" s="14">
        <f t="shared" si="12"/>
        <v>30</v>
      </c>
      <c r="L397" s="16">
        <f t="shared" si="13"/>
        <v>160</v>
      </c>
      <c r="M397" s="22">
        <v>45383</v>
      </c>
      <c r="N397" s="44" t="s">
        <v>551</v>
      </c>
      <c r="O397" s="23" t="s">
        <v>16</v>
      </c>
      <c r="P397" s="24" t="s">
        <v>17</v>
      </c>
      <c r="Q397" s="28" t="s">
        <v>521</v>
      </c>
    </row>
    <row r="398" spans="1:17">
      <c r="A398" s="14">
        <v>394</v>
      </c>
      <c r="B398" s="29" t="s">
        <v>522</v>
      </c>
      <c r="C398" s="16">
        <f>'Медикаменты Октябрь'!L397</f>
        <v>0</v>
      </c>
      <c r="D398" s="17"/>
      <c r="E398" s="14"/>
      <c r="F398" s="18"/>
      <c r="G398" s="19"/>
      <c r="H398" s="20"/>
      <c r="I398" s="21"/>
      <c r="J398" s="14"/>
      <c r="K398" s="14">
        <f t="shared" si="12"/>
        <v>0</v>
      </c>
      <c r="L398" s="16">
        <f t="shared" si="13"/>
        <v>0</v>
      </c>
      <c r="M398" s="22"/>
      <c r="N398" s="44"/>
      <c r="O398" s="23" t="s">
        <v>16</v>
      </c>
      <c r="P398" s="24"/>
      <c r="Q398" s="45"/>
    </row>
    <row r="399" spans="1:17">
      <c r="A399" s="14">
        <v>395</v>
      </c>
      <c r="B399" s="29" t="s">
        <v>523</v>
      </c>
      <c r="C399" s="16">
        <f>'Медикаменты Октябрь'!L398</f>
        <v>0</v>
      </c>
      <c r="D399" s="17"/>
      <c r="E399" s="14"/>
      <c r="F399" s="18"/>
      <c r="G399" s="19"/>
      <c r="H399" s="20"/>
      <c r="I399" s="21"/>
      <c r="J399" s="14"/>
      <c r="K399" s="14">
        <f t="shared" si="12"/>
        <v>0</v>
      </c>
      <c r="L399" s="16">
        <f t="shared" si="13"/>
        <v>0</v>
      </c>
      <c r="M399" s="22">
        <v>44228</v>
      </c>
      <c r="N399" s="44"/>
      <c r="O399" s="23" t="s">
        <v>16</v>
      </c>
      <c r="P399" s="24"/>
      <c r="Q399" s="28" t="s">
        <v>524</v>
      </c>
    </row>
    <row r="400" spans="1:17">
      <c r="A400" s="14">
        <v>396</v>
      </c>
      <c r="B400" s="29" t="s">
        <v>525</v>
      </c>
      <c r="C400" s="16">
        <f>'Медикаменты Октябрь'!L399</f>
        <v>86</v>
      </c>
      <c r="D400" s="17"/>
      <c r="E400" s="14"/>
      <c r="F400" s="18"/>
      <c r="G400" s="19"/>
      <c r="H400" s="20"/>
      <c r="I400" s="21"/>
      <c r="J400" s="14"/>
      <c r="K400" s="14">
        <f t="shared" si="12"/>
        <v>0</v>
      </c>
      <c r="L400" s="16">
        <f t="shared" si="13"/>
        <v>86</v>
      </c>
      <c r="M400" s="22">
        <v>44958</v>
      </c>
      <c r="N400" s="44" t="s">
        <v>45</v>
      </c>
      <c r="O400" s="23" t="s">
        <v>16</v>
      </c>
      <c r="P400" s="24" t="s">
        <v>17</v>
      </c>
      <c r="Q400" s="28" t="s">
        <v>526</v>
      </c>
    </row>
    <row r="401" spans="1:17">
      <c r="A401" s="14">
        <v>397</v>
      </c>
      <c r="B401" s="29" t="s">
        <v>527</v>
      </c>
      <c r="C401" s="16">
        <f>'Медикаменты Октябрь'!L400</f>
        <v>0</v>
      </c>
      <c r="D401" s="17"/>
      <c r="E401" s="14"/>
      <c r="F401" s="18"/>
      <c r="G401" s="19"/>
      <c r="H401" s="20"/>
      <c r="I401" s="21"/>
      <c r="J401" s="14"/>
      <c r="K401" s="14">
        <f t="shared" si="12"/>
        <v>0</v>
      </c>
      <c r="L401" s="16">
        <f t="shared" si="13"/>
        <v>0</v>
      </c>
      <c r="M401" s="22">
        <v>44652</v>
      </c>
      <c r="N401" s="44" t="s">
        <v>45</v>
      </c>
      <c r="O401" s="23" t="s">
        <v>16</v>
      </c>
      <c r="P401" s="24" t="s">
        <v>17</v>
      </c>
      <c r="Q401" s="28" t="s">
        <v>528</v>
      </c>
    </row>
    <row r="402" spans="1:17">
      <c r="A402" s="14">
        <v>398</v>
      </c>
      <c r="B402" s="29" t="s">
        <v>527</v>
      </c>
      <c r="C402" s="16">
        <f>'Медикаменты Октябрь'!L401</f>
        <v>4</v>
      </c>
      <c r="D402" s="17"/>
      <c r="E402" s="14"/>
      <c r="F402" s="18"/>
      <c r="G402" s="19"/>
      <c r="H402" s="20"/>
      <c r="I402" s="21"/>
      <c r="J402" s="14"/>
      <c r="K402" s="14">
        <f t="shared" si="12"/>
        <v>0</v>
      </c>
      <c r="L402" s="16">
        <f t="shared" si="13"/>
        <v>4</v>
      </c>
      <c r="M402" s="22">
        <v>44896</v>
      </c>
      <c r="N402" s="44" t="s">
        <v>45</v>
      </c>
      <c r="O402" s="23" t="s">
        <v>16</v>
      </c>
      <c r="P402" s="24" t="s">
        <v>17</v>
      </c>
      <c r="Q402" s="28" t="s">
        <v>528</v>
      </c>
    </row>
  </sheetData>
  <autoFilter ref="A2:Q402"/>
  <mergeCells count="18">
    <mergeCell ref="P2:P4"/>
    <mergeCell ref="Q2:Q4"/>
    <mergeCell ref="A1:Q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2:M4"/>
    <mergeCell ref="N2:N4"/>
    <mergeCell ref="O2:O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FF5429"/>
  </sheetPr>
  <dimension ref="A1:O26"/>
  <sheetViews>
    <sheetView zoomScale="80" zoomScaleNormal="80" workbookViewId="0">
      <pane ySplit="4" topLeftCell="A5" activePane="bottomLeft" state="frozen"/>
      <selection pane="bottomLeft" activeCell="F21" sqref="F21"/>
    </sheetView>
  </sheetViews>
  <sheetFormatPr defaultRowHeight="15"/>
  <cols>
    <col min="1" max="1" width="12.5703125" customWidth="1"/>
    <col min="2" max="2" width="45.85546875" customWidth="1"/>
    <col min="3" max="13" width="13.28515625" customWidth="1"/>
    <col min="14" max="14" width="13.7109375" customWidth="1"/>
    <col min="15" max="1022" width="9.140625" customWidth="1"/>
    <col min="1023" max="1025" width="11.5703125" customWidth="1"/>
  </cols>
  <sheetData>
    <row r="1" spans="1:15" ht="51.75" customHeight="1">
      <c r="A1" s="3" t="s">
        <v>529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s="33" customFormat="1" ht="13.9" customHeight="1">
      <c r="A2" s="11" t="s">
        <v>1</v>
      </c>
      <c r="B2" s="10" t="s">
        <v>2</v>
      </c>
      <c r="C2" s="9">
        <v>44501</v>
      </c>
      <c r="D2" s="11" t="s">
        <v>3</v>
      </c>
      <c r="E2" s="11" t="s">
        <v>4</v>
      </c>
      <c r="F2" s="8" t="s">
        <v>5</v>
      </c>
      <c r="G2" s="2" t="s">
        <v>6</v>
      </c>
      <c r="H2" s="6" t="s">
        <v>7</v>
      </c>
      <c r="I2" s="5" t="s">
        <v>8</v>
      </c>
      <c r="J2" s="11" t="s">
        <v>9</v>
      </c>
      <c r="K2" s="11" t="s">
        <v>10</v>
      </c>
      <c r="L2" s="9">
        <v>44530</v>
      </c>
      <c r="M2" s="1" t="s">
        <v>11</v>
      </c>
      <c r="N2" s="1" t="s">
        <v>12</v>
      </c>
      <c r="O2" s="32"/>
    </row>
    <row r="3" spans="1:15" s="33" customFormat="1" ht="14.25">
      <c r="A3" s="11"/>
      <c r="B3" s="10"/>
      <c r="C3" s="9"/>
      <c r="D3" s="9"/>
      <c r="E3" s="9"/>
      <c r="F3" s="8"/>
      <c r="G3" s="2"/>
      <c r="H3" s="6"/>
      <c r="I3" s="5"/>
      <c r="J3" s="11"/>
      <c r="K3" s="11"/>
      <c r="L3" s="11"/>
      <c r="M3" s="1"/>
      <c r="N3" s="1"/>
      <c r="O3" s="32"/>
    </row>
    <row r="4" spans="1:15" s="33" customFormat="1" ht="24.75" customHeight="1">
      <c r="A4" s="11"/>
      <c r="B4" s="10"/>
      <c r="C4" s="9"/>
      <c r="D4" s="9"/>
      <c r="E4" s="9"/>
      <c r="F4" s="8"/>
      <c r="G4" s="2"/>
      <c r="H4" s="6"/>
      <c r="I4" s="5"/>
      <c r="J4" s="11"/>
      <c r="K4" s="11"/>
      <c r="L4" s="11"/>
      <c r="M4" s="1"/>
      <c r="N4" s="1"/>
      <c r="O4" s="32"/>
    </row>
    <row r="5" spans="1:15">
      <c r="A5" s="34">
        <v>1</v>
      </c>
      <c r="B5" s="35" t="s">
        <v>530</v>
      </c>
      <c r="C5" s="14">
        <f>'Перевязочные Октябрь'!L5</f>
        <v>398</v>
      </c>
      <c r="D5" s="36"/>
      <c r="E5" s="36"/>
      <c r="F5" s="37">
        <f>10</f>
        <v>10</v>
      </c>
      <c r="G5" s="38"/>
      <c r="H5" s="39">
        <f>20</f>
        <v>20</v>
      </c>
      <c r="I5" s="40"/>
      <c r="J5" s="36"/>
      <c r="K5" s="14">
        <f t="shared" ref="K5:K26" si="0">SUM(F5:J5)</f>
        <v>30</v>
      </c>
      <c r="L5" s="16">
        <f t="shared" ref="L5:L26" si="1">(C5+E5)-K5</f>
        <v>368</v>
      </c>
      <c r="M5" s="41">
        <v>44652</v>
      </c>
      <c r="N5" s="42" t="s">
        <v>16</v>
      </c>
      <c r="O5" s="43"/>
    </row>
    <row r="6" spans="1:15">
      <c r="A6" s="34">
        <v>2</v>
      </c>
      <c r="B6" s="35" t="s">
        <v>531</v>
      </c>
      <c r="C6" s="14">
        <f>'Перевязочные Октябрь'!L6</f>
        <v>83</v>
      </c>
      <c r="D6" s="36"/>
      <c r="E6" s="36"/>
      <c r="F6" s="37"/>
      <c r="G6" s="38"/>
      <c r="H6" s="39"/>
      <c r="I6" s="40"/>
      <c r="J6" s="36"/>
      <c r="K6" s="14">
        <f t="shared" si="0"/>
        <v>0</v>
      </c>
      <c r="L6" s="16">
        <f t="shared" si="1"/>
        <v>83</v>
      </c>
      <c r="M6" s="41">
        <v>45200</v>
      </c>
      <c r="N6" s="42" t="s">
        <v>16</v>
      </c>
      <c r="O6" s="43"/>
    </row>
    <row r="7" spans="1:15">
      <c r="A7" s="34">
        <v>3</v>
      </c>
      <c r="B7" s="35" t="s">
        <v>532</v>
      </c>
      <c r="C7" s="14">
        <f>'Перевязочные Октябрь'!L7</f>
        <v>10</v>
      </c>
      <c r="D7" s="36"/>
      <c r="E7" s="36"/>
      <c r="F7" s="37"/>
      <c r="G7" s="38"/>
      <c r="H7" s="39"/>
      <c r="I7" s="40"/>
      <c r="J7" s="36"/>
      <c r="K7" s="14">
        <f t="shared" si="0"/>
        <v>0</v>
      </c>
      <c r="L7" s="16">
        <f t="shared" si="1"/>
        <v>10</v>
      </c>
      <c r="M7" s="41">
        <v>44958</v>
      </c>
      <c r="N7" s="42" t="s">
        <v>16</v>
      </c>
      <c r="O7" s="43"/>
    </row>
    <row r="8" spans="1:15">
      <c r="A8" s="34">
        <v>4</v>
      </c>
      <c r="B8" s="35" t="s">
        <v>533</v>
      </c>
      <c r="C8" s="14">
        <f>'Перевязочные Октябрь'!L8</f>
        <v>0</v>
      </c>
      <c r="D8" s="36"/>
      <c r="E8" s="36"/>
      <c r="F8" s="37"/>
      <c r="G8" s="38"/>
      <c r="H8" s="39"/>
      <c r="I8" s="40"/>
      <c r="J8" s="36"/>
      <c r="K8" s="14">
        <f t="shared" si="0"/>
        <v>0</v>
      </c>
      <c r="L8" s="16">
        <f t="shared" si="1"/>
        <v>0</v>
      </c>
      <c r="M8" s="41"/>
      <c r="N8" s="42" t="s">
        <v>16</v>
      </c>
      <c r="O8" s="43"/>
    </row>
    <row r="9" spans="1:15">
      <c r="A9" s="34">
        <v>5</v>
      </c>
      <c r="B9" s="35" t="s">
        <v>534</v>
      </c>
      <c r="C9" s="14">
        <f>'Перевязочные Октябрь'!L9</f>
        <v>0</v>
      </c>
      <c r="D9" s="36"/>
      <c r="E9" s="36"/>
      <c r="F9" s="37"/>
      <c r="G9" s="38"/>
      <c r="H9" s="39"/>
      <c r="I9" s="40"/>
      <c r="J9" s="36"/>
      <c r="K9" s="14">
        <f t="shared" si="0"/>
        <v>0</v>
      </c>
      <c r="L9" s="16">
        <f t="shared" si="1"/>
        <v>0</v>
      </c>
      <c r="M9" s="41"/>
      <c r="N9" s="42" t="s">
        <v>16</v>
      </c>
      <c r="O9" s="43"/>
    </row>
    <row r="10" spans="1:15">
      <c r="A10" s="34">
        <v>6</v>
      </c>
      <c r="B10" s="35" t="s">
        <v>535</v>
      </c>
      <c r="C10" s="14">
        <f>'Перевязочные Октябрь'!L10</f>
        <v>10</v>
      </c>
      <c r="D10" s="36"/>
      <c r="E10" s="36"/>
      <c r="F10" s="37"/>
      <c r="G10" s="38"/>
      <c r="H10" s="39"/>
      <c r="I10" s="40"/>
      <c r="J10" s="36"/>
      <c r="K10" s="14">
        <f t="shared" si="0"/>
        <v>0</v>
      </c>
      <c r="L10" s="16">
        <f t="shared" si="1"/>
        <v>10</v>
      </c>
      <c r="M10" s="41">
        <v>45231</v>
      </c>
      <c r="N10" s="42" t="s">
        <v>16</v>
      </c>
      <c r="O10" s="43"/>
    </row>
    <row r="11" spans="1:15">
      <c r="A11" s="34">
        <v>7</v>
      </c>
      <c r="B11" s="35" t="s">
        <v>536</v>
      </c>
      <c r="C11" s="14">
        <f>'Перевязочные Октябрь'!L11</f>
        <v>0</v>
      </c>
      <c r="D11" s="36"/>
      <c r="E11" s="36"/>
      <c r="F11" s="37"/>
      <c r="G11" s="38"/>
      <c r="H11" s="39"/>
      <c r="I11" s="40"/>
      <c r="J11" s="36"/>
      <c r="K11" s="14">
        <f t="shared" si="0"/>
        <v>0</v>
      </c>
      <c r="L11" s="16">
        <f t="shared" si="1"/>
        <v>0</v>
      </c>
      <c r="M11" s="41"/>
      <c r="N11" s="42" t="s">
        <v>16</v>
      </c>
      <c r="O11" s="43"/>
    </row>
    <row r="12" spans="1:15">
      <c r="A12" s="34">
        <v>8</v>
      </c>
      <c r="B12" s="35" t="s">
        <v>537</v>
      </c>
      <c r="C12" s="14">
        <f>'Перевязочные Октябрь'!L12</f>
        <v>8</v>
      </c>
      <c r="D12" s="36"/>
      <c r="E12" s="36"/>
      <c r="F12" s="37"/>
      <c r="G12" s="38"/>
      <c r="H12" s="39">
        <f>4</f>
        <v>4</v>
      </c>
      <c r="I12" s="40"/>
      <c r="J12" s="36"/>
      <c r="K12" s="14">
        <f t="shared" si="0"/>
        <v>4</v>
      </c>
      <c r="L12" s="16">
        <f t="shared" si="1"/>
        <v>4</v>
      </c>
      <c r="M12" s="41">
        <v>45658</v>
      </c>
      <c r="N12" s="42" t="s">
        <v>16</v>
      </c>
      <c r="O12" s="43"/>
    </row>
    <row r="13" spans="1:15">
      <c r="A13" s="34">
        <v>9</v>
      </c>
      <c r="B13" s="35" t="s">
        <v>537</v>
      </c>
      <c r="C13" s="14">
        <f>'Перевязочные Октябрь'!L13</f>
        <v>50</v>
      </c>
      <c r="D13" s="36"/>
      <c r="E13" s="36"/>
      <c r="F13" s="37"/>
      <c r="G13" s="38"/>
      <c r="H13" s="39"/>
      <c r="I13" s="40"/>
      <c r="J13" s="36"/>
      <c r="K13" s="14">
        <f t="shared" si="0"/>
        <v>0</v>
      </c>
      <c r="L13" s="16">
        <f t="shared" si="1"/>
        <v>50</v>
      </c>
      <c r="M13" s="41">
        <v>45870</v>
      </c>
      <c r="N13" s="42" t="s">
        <v>16</v>
      </c>
      <c r="O13" s="43"/>
    </row>
    <row r="14" spans="1:15">
      <c r="A14" s="34">
        <v>10</v>
      </c>
      <c r="B14" s="35" t="s">
        <v>617</v>
      </c>
      <c r="C14" s="14">
        <f>'Перевязочные Октябрь'!L14</f>
        <v>20</v>
      </c>
      <c r="D14" s="36"/>
      <c r="E14" s="36"/>
      <c r="F14" s="37"/>
      <c r="G14" s="38"/>
      <c r="H14" s="39"/>
      <c r="I14" s="40"/>
      <c r="J14" s="36"/>
      <c r="K14" s="14">
        <f t="shared" si="0"/>
        <v>0</v>
      </c>
      <c r="L14" s="16">
        <f t="shared" si="1"/>
        <v>20</v>
      </c>
      <c r="M14" s="41">
        <v>45809</v>
      </c>
      <c r="N14" s="42" t="s">
        <v>16</v>
      </c>
      <c r="O14" s="43"/>
    </row>
    <row r="15" spans="1:15">
      <c r="A15" s="34">
        <v>11</v>
      </c>
      <c r="B15" s="35" t="s">
        <v>538</v>
      </c>
      <c r="C15" s="14">
        <f>'Перевязочные Октябрь'!L15</f>
        <v>500</v>
      </c>
      <c r="D15" s="36"/>
      <c r="E15" s="36"/>
      <c r="F15" s="37"/>
      <c r="G15" s="38"/>
      <c r="H15" s="39"/>
      <c r="I15" s="40"/>
      <c r="J15" s="36"/>
      <c r="K15" s="14">
        <f t="shared" si="0"/>
        <v>0</v>
      </c>
      <c r="L15" s="16">
        <f t="shared" si="1"/>
        <v>500</v>
      </c>
      <c r="M15" s="41">
        <v>44682</v>
      </c>
      <c r="N15" s="42" t="s">
        <v>16</v>
      </c>
      <c r="O15" s="43"/>
    </row>
    <row r="16" spans="1:15">
      <c r="A16" s="34">
        <v>12</v>
      </c>
      <c r="B16" s="35" t="s">
        <v>539</v>
      </c>
      <c r="C16" s="14">
        <f>'Перевязочные Октябрь'!L16</f>
        <v>294</v>
      </c>
      <c r="D16" s="36"/>
      <c r="E16" s="36"/>
      <c r="F16" s="37"/>
      <c r="G16" s="38"/>
      <c r="H16" s="39"/>
      <c r="I16" s="40"/>
      <c r="J16" s="36"/>
      <c r="K16" s="14">
        <f t="shared" si="0"/>
        <v>0</v>
      </c>
      <c r="L16" s="16">
        <f t="shared" si="1"/>
        <v>294</v>
      </c>
      <c r="M16" s="41">
        <v>45261</v>
      </c>
      <c r="N16" s="42" t="s">
        <v>16</v>
      </c>
      <c r="O16" s="43"/>
    </row>
    <row r="17" spans="1:15">
      <c r="A17" s="34">
        <v>13</v>
      </c>
      <c r="B17" s="35" t="s">
        <v>540</v>
      </c>
      <c r="C17" s="14">
        <f>'Перевязочные Октябрь'!L17</f>
        <v>131</v>
      </c>
      <c r="D17" s="36"/>
      <c r="E17" s="36"/>
      <c r="F17" s="37"/>
      <c r="G17" s="38"/>
      <c r="H17" s="39"/>
      <c r="I17" s="40"/>
      <c r="J17" s="36"/>
      <c r="K17" s="14">
        <f t="shared" si="0"/>
        <v>0</v>
      </c>
      <c r="L17" s="16">
        <f t="shared" si="1"/>
        <v>131</v>
      </c>
      <c r="M17" s="41">
        <v>44835</v>
      </c>
      <c r="N17" s="42" t="s">
        <v>16</v>
      </c>
      <c r="O17" s="43"/>
    </row>
    <row r="18" spans="1:15" ht="30">
      <c r="A18" s="34">
        <v>14</v>
      </c>
      <c r="B18" s="35" t="s">
        <v>541</v>
      </c>
      <c r="C18" s="14">
        <f>'Перевязочные Октябрь'!L18</f>
        <v>285</v>
      </c>
      <c r="D18" s="36"/>
      <c r="E18" s="36"/>
      <c r="F18" s="37"/>
      <c r="G18" s="38"/>
      <c r="H18" s="39"/>
      <c r="I18" s="40"/>
      <c r="J18" s="36"/>
      <c r="K18" s="14">
        <f t="shared" si="0"/>
        <v>0</v>
      </c>
      <c r="L18" s="16">
        <f t="shared" si="1"/>
        <v>285</v>
      </c>
      <c r="M18" s="41">
        <v>45616</v>
      </c>
      <c r="N18" s="42" t="s">
        <v>16</v>
      </c>
      <c r="O18" s="43"/>
    </row>
    <row r="19" spans="1:15" ht="45">
      <c r="A19" s="34">
        <v>15</v>
      </c>
      <c r="B19" s="35" t="s">
        <v>542</v>
      </c>
      <c r="C19" s="14">
        <f>'Перевязочные Октябрь'!L19</f>
        <v>300</v>
      </c>
      <c r="D19" s="36"/>
      <c r="E19" s="36"/>
      <c r="F19" s="37"/>
      <c r="G19" s="38"/>
      <c r="H19" s="39"/>
      <c r="I19" s="40"/>
      <c r="J19" s="36"/>
      <c r="K19" s="14">
        <f t="shared" si="0"/>
        <v>0</v>
      </c>
      <c r="L19" s="16">
        <f t="shared" si="1"/>
        <v>300</v>
      </c>
      <c r="M19" s="41">
        <v>44682</v>
      </c>
      <c r="N19" s="42" t="s">
        <v>16</v>
      </c>
      <c r="O19" s="43"/>
    </row>
    <row r="20" spans="1:15" ht="30">
      <c r="A20" s="34">
        <v>16</v>
      </c>
      <c r="B20" s="35" t="s">
        <v>543</v>
      </c>
      <c r="C20" s="14">
        <f>'Перевязочные Октябрь'!L20</f>
        <v>0</v>
      </c>
      <c r="D20" s="36"/>
      <c r="E20" s="36"/>
      <c r="F20" s="37"/>
      <c r="G20" s="38"/>
      <c r="H20" s="39"/>
      <c r="I20" s="40"/>
      <c r="J20" s="36"/>
      <c r="K20" s="14">
        <f t="shared" si="0"/>
        <v>0</v>
      </c>
      <c r="L20" s="16">
        <f t="shared" si="1"/>
        <v>0</v>
      </c>
      <c r="M20" s="41">
        <v>45778</v>
      </c>
      <c r="N20" s="42" t="s">
        <v>16</v>
      </c>
      <c r="O20" s="43"/>
    </row>
    <row r="21" spans="1:15" ht="30">
      <c r="A21" s="34">
        <v>17</v>
      </c>
      <c r="B21" s="35" t="s">
        <v>565</v>
      </c>
      <c r="C21" s="14">
        <f>'Перевязочные Октябрь'!L21</f>
        <v>21250</v>
      </c>
      <c r="D21" s="36"/>
      <c r="E21" s="36"/>
      <c r="F21" s="37">
        <f>1200+1250</f>
        <v>2450</v>
      </c>
      <c r="G21" s="38"/>
      <c r="H21" s="39"/>
      <c r="I21" s="40"/>
      <c r="J21" s="36"/>
      <c r="K21" s="14">
        <f t="shared" si="0"/>
        <v>2450</v>
      </c>
      <c r="L21" s="16">
        <f t="shared" si="1"/>
        <v>18800</v>
      </c>
      <c r="M21" s="41">
        <v>45992</v>
      </c>
      <c r="N21" s="42" t="s">
        <v>16</v>
      </c>
      <c r="O21" s="43"/>
    </row>
    <row r="22" spans="1:15" ht="30">
      <c r="A22" s="34">
        <v>18</v>
      </c>
      <c r="B22" s="35" t="s">
        <v>544</v>
      </c>
      <c r="C22" s="14">
        <f>'Перевязочные Октябрь'!L22</f>
        <v>38</v>
      </c>
      <c r="D22" s="36"/>
      <c r="E22" s="36"/>
      <c r="F22" s="37"/>
      <c r="G22" s="38"/>
      <c r="H22" s="39"/>
      <c r="I22" s="40"/>
      <c r="J22" s="36"/>
      <c r="K22" s="14">
        <f t="shared" si="0"/>
        <v>0</v>
      </c>
      <c r="L22" s="16">
        <f t="shared" si="1"/>
        <v>38</v>
      </c>
      <c r="M22" s="41"/>
      <c r="N22" s="42" t="s">
        <v>16</v>
      </c>
      <c r="O22" s="43"/>
    </row>
    <row r="23" spans="1:15">
      <c r="A23" s="34">
        <v>19</v>
      </c>
      <c r="B23" s="35" t="s">
        <v>545</v>
      </c>
      <c r="C23" s="14">
        <f>'Перевязочные Октябрь'!L23</f>
        <v>15</v>
      </c>
      <c r="D23" s="36"/>
      <c r="E23" s="36"/>
      <c r="F23" s="37"/>
      <c r="G23" s="38"/>
      <c r="H23" s="39"/>
      <c r="I23" s="40"/>
      <c r="J23" s="36"/>
      <c r="K23" s="14">
        <f t="shared" si="0"/>
        <v>0</v>
      </c>
      <c r="L23" s="16">
        <f t="shared" si="1"/>
        <v>15</v>
      </c>
      <c r="M23" s="41">
        <v>45292</v>
      </c>
      <c r="N23" s="42" t="s">
        <v>16</v>
      </c>
      <c r="O23" s="43"/>
    </row>
    <row r="24" spans="1:15">
      <c r="A24" s="34">
        <v>20</v>
      </c>
      <c r="B24" s="35" t="s">
        <v>566</v>
      </c>
      <c r="C24" s="14">
        <f>'Перевязочные Октябрь'!L24</f>
        <v>28</v>
      </c>
      <c r="D24" s="36"/>
      <c r="E24" s="36"/>
      <c r="F24" s="37"/>
      <c r="G24" s="38"/>
      <c r="H24" s="39"/>
      <c r="I24" s="40"/>
      <c r="J24" s="36"/>
      <c r="K24" s="14">
        <f t="shared" si="0"/>
        <v>0</v>
      </c>
      <c r="L24" s="16">
        <f t="shared" si="1"/>
        <v>28</v>
      </c>
      <c r="M24" s="41">
        <v>45717</v>
      </c>
      <c r="N24" s="42" t="s">
        <v>16</v>
      </c>
      <c r="O24" s="43"/>
    </row>
    <row r="25" spans="1:15" ht="30">
      <c r="A25" s="34">
        <v>21</v>
      </c>
      <c r="B25" s="35" t="s">
        <v>546</v>
      </c>
      <c r="C25" s="14">
        <f>'Перевязочные Октябрь'!L25</f>
        <v>10</v>
      </c>
      <c r="D25" s="36"/>
      <c r="E25" s="36"/>
      <c r="F25" s="37"/>
      <c r="G25" s="38"/>
      <c r="H25" s="39"/>
      <c r="I25" s="40"/>
      <c r="J25" s="36"/>
      <c r="K25" s="14">
        <f t="shared" si="0"/>
        <v>0</v>
      </c>
      <c r="L25" s="16">
        <f t="shared" si="1"/>
        <v>10</v>
      </c>
      <c r="M25" s="41">
        <v>44682</v>
      </c>
      <c r="N25" s="42" t="s">
        <v>16</v>
      </c>
      <c r="O25" s="43"/>
    </row>
    <row r="26" spans="1:15" ht="45">
      <c r="A26" s="34">
        <v>22</v>
      </c>
      <c r="B26" s="35" t="s">
        <v>567</v>
      </c>
      <c r="C26" s="14">
        <f>'Перевязочные Октябрь'!L26</f>
        <v>14</v>
      </c>
      <c r="D26" s="36"/>
      <c r="E26" s="36"/>
      <c r="F26" s="37"/>
      <c r="G26" s="38"/>
      <c r="H26" s="39"/>
      <c r="I26" s="40"/>
      <c r="J26" s="36"/>
      <c r="K26" s="14">
        <f t="shared" si="0"/>
        <v>0</v>
      </c>
      <c r="L26" s="16">
        <f t="shared" si="1"/>
        <v>14</v>
      </c>
      <c r="M26" s="41">
        <v>45292</v>
      </c>
      <c r="N26" s="42" t="s">
        <v>16</v>
      </c>
      <c r="O26" s="43"/>
    </row>
  </sheetData>
  <autoFilter ref="A2:N4"/>
  <mergeCells count="15">
    <mergeCell ref="A1:N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2:M4"/>
    <mergeCell ref="N2:N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D99694"/>
  </sheetPr>
  <dimension ref="A1:Q402"/>
  <sheetViews>
    <sheetView zoomScale="80" zoomScaleNormal="80" workbookViewId="0">
      <pane ySplit="4" topLeftCell="A5" activePane="bottomLeft" state="frozen"/>
      <selection pane="bottomLeft" activeCell="B19" sqref="B19"/>
    </sheetView>
  </sheetViews>
  <sheetFormatPr defaultRowHeight="15"/>
  <cols>
    <col min="1" max="1" width="9.140625" customWidth="1"/>
    <col min="2" max="2" width="40.85546875" style="43" customWidth="1"/>
    <col min="3" max="13" width="13.28515625" customWidth="1"/>
    <col min="14" max="14" width="13.28515625" style="13" customWidth="1"/>
    <col min="15" max="15" width="13.28515625" customWidth="1"/>
    <col min="16" max="16" width="13.28515625" style="13" customWidth="1"/>
    <col min="17" max="17" width="43.5703125" customWidth="1"/>
    <col min="18" max="1025" width="9.140625" customWidth="1"/>
  </cols>
  <sheetData>
    <row r="1" spans="1:17" ht="52.5" customHeight="1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ht="13.9" customHeight="1">
      <c r="A2" s="11" t="s">
        <v>1</v>
      </c>
      <c r="B2" s="10" t="s">
        <v>2</v>
      </c>
      <c r="C2" s="9">
        <v>44531</v>
      </c>
      <c r="D2" s="11" t="s">
        <v>3</v>
      </c>
      <c r="E2" s="11" t="s">
        <v>4</v>
      </c>
      <c r="F2" s="8" t="s">
        <v>5</v>
      </c>
      <c r="G2" s="7" t="s">
        <v>6</v>
      </c>
      <c r="H2" s="6" t="s">
        <v>7</v>
      </c>
      <c r="I2" s="5" t="s">
        <v>8</v>
      </c>
      <c r="J2" s="11" t="s">
        <v>9</v>
      </c>
      <c r="K2" s="11" t="s">
        <v>10</v>
      </c>
      <c r="L2" s="9">
        <v>44561</v>
      </c>
      <c r="M2" s="4" t="s">
        <v>11</v>
      </c>
      <c r="N2" s="4" t="s">
        <v>550</v>
      </c>
      <c r="O2" s="4" t="s">
        <v>12</v>
      </c>
      <c r="P2" s="4" t="s">
        <v>13</v>
      </c>
      <c r="Q2" s="4" t="s">
        <v>14</v>
      </c>
    </row>
    <row r="3" spans="1:17">
      <c r="A3" s="11"/>
      <c r="B3" s="10"/>
      <c r="C3" s="9"/>
      <c r="D3" s="9"/>
      <c r="E3" s="9"/>
      <c r="F3" s="8"/>
      <c r="G3" s="7"/>
      <c r="H3" s="6"/>
      <c r="I3" s="5"/>
      <c r="J3" s="11"/>
      <c r="K3" s="11"/>
      <c r="L3" s="11"/>
      <c r="M3" s="4"/>
      <c r="N3" s="4"/>
      <c r="O3" s="4"/>
      <c r="P3" s="4"/>
      <c r="Q3" s="4"/>
    </row>
    <row r="4" spans="1:17" ht="34.5" customHeight="1">
      <c r="A4" s="11"/>
      <c r="B4" s="10"/>
      <c r="C4" s="9"/>
      <c r="D4" s="9"/>
      <c r="E4" s="9"/>
      <c r="F4" s="8"/>
      <c r="G4" s="7"/>
      <c r="H4" s="6"/>
      <c r="I4" s="5"/>
      <c r="J4" s="11"/>
      <c r="K4" s="11"/>
      <c r="L4" s="11"/>
      <c r="M4" s="4"/>
      <c r="N4" s="4"/>
      <c r="O4" s="4"/>
      <c r="P4" s="4"/>
      <c r="Q4" s="4"/>
    </row>
    <row r="5" spans="1:17">
      <c r="A5" s="14">
        <v>1</v>
      </c>
      <c r="B5" s="15" t="s">
        <v>15</v>
      </c>
      <c r="C5" s="16">
        <f>'Медикаменты Ноябрь'!L5</f>
        <v>6</v>
      </c>
      <c r="D5" s="17"/>
      <c r="E5" s="14"/>
      <c r="F5" s="18"/>
      <c r="G5" s="19"/>
      <c r="H5" s="20"/>
      <c r="I5" s="21"/>
      <c r="J5" s="14"/>
      <c r="K5" s="14">
        <f t="shared" ref="K5:K68" si="0">SUM(F5:J5)</f>
        <v>0</v>
      </c>
      <c r="L5" s="16">
        <f t="shared" ref="L5:L68" si="1">(C5+E5)-K5</f>
        <v>6</v>
      </c>
      <c r="M5" s="22">
        <v>45444</v>
      </c>
      <c r="N5" s="44" t="s">
        <v>551</v>
      </c>
      <c r="O5" s="23" t="s">
        <v>16</v>
      </c>
      <c r="P5" s="24" t="s">
        <v>17</v>
      </c>
      <c r="Q5" s="28" t="s">
        <v>18</v>
      </c>
    </row>
    <row r="6" spans="1:17" ht="25.5">
      <c r="A6" s="14">
        <v>2</v>
      </c>
      <c r="B6" s="15" t="s">
        <v>656</v>
      </c>
      <c r="C6" s="16">
        <f>'Медикаменты Ноябрь'!L6</f>
        <v>27</v>
      </c>
      <c r="D6" s="17"/>
      <c r="E6" s="14"/>
      <c r="F6" s="18">
        <f>10</f>
        <v>10</v>
      </c>
      <c r="G6" s="19">
        <f>15</f>
        <v>15</v>
      </c>
      <c r="H6" s="20"/>
      <c r="I6" s="21"/>
      <c r="J6" s="14"/>
      <c r="K6" s="14">
        <f t="shared" si="0"/>
        <v>25</v>
      </c>
      <c r="L6" s="16">
        <f t="shared" si="1"/>
        <v>2</v>
      </c>
      <c r="M6" s="22">
        <v>45505</v>
      </c>
      <c r="N6" s="44" t="s">
        <v>551</v>
      </c>
      <c r="O6" s="23" t="s">
        <v>26</v>
      </c>
      <c r="P6" s="24" t="s">
        <v>17</v>
      </c>
      <c r="Q6" s="28" t="s">
        <v>657</v>
      </c>
    </row>
    <row r="7" spans="1:17" ht="25.5">
      <c r="A7" s="14">
        <v>3</v>
      </c>
      <c r="B7" s="15" t="s">
        <v>656</v>
      </c>
      <c r="C7" s="16">
        <f>'Медикаменты Ноябрь'!L7</f>
        <v>3</v>
      </c>
      <c r="D7" s="17"/>
      <c r="E7" s="14"/>
      <c r="F7" s="18"/>
      <c r="G7" s="19"/>
      <c r="H7" s="20"/>
      <c r="I7" s="21"/>
      <c r="J7" s="14"/>
      <c r="K7" s="14">
        <f t="shared" si="0"/>
        <v>0</v>
      </c>
      <c r="L7" s="16">
        <f t="shared" si="1"/>
        <v>3</v>
      </c>
      <c r="M7" s="22">
        <v>45505</v>
      </c>
      <c r="N7" s="44" t="s">
        <v>551</v>
      </c>
      <c r="O7" s="23" t="s">
        <v>16</v>
      </c>
      <c r="P7" s="24" t="s">
        <v>17</v>
      </c>
      <c r="Q7" s="28" t="s">
        <v>657</v>
      </c>
    </row>
    <row r="8" spans="1:17">
      <c r="A8" s="14">
        <v>4</v>
      </c>
      <c r="B8" s="15" t="s">
        <v>658</v>
      </c>
      <c r="C8" s="16">
        <f>'Медикаменты Ноябрь'!L8</f>
        <v>142</v>
      </c>
      <c r="D8" s="17"/>
      <c r="E8" s="14"/>
      <c r="F8" s="18">
        <f>3</f>
        <v>3</v>
      </c>
      <c r="G8" s="19"/>
      <c r="H8" s="20"/>
      <c r="I8" s="21"/>
      <c r="J8" s="14"/>
      <c r="K8" s="14">
        <f t="shared" si="0"/>
        <v>3</v>
      </c>
      <c r="L8" s="16">
        <f t="shared" si="1"/>
        <v>139</v>
      </c>
      <c r="M8" s="22">
        <v>46082</v>
      </c>
      <c r="N8" s="44" t="s">
        <v>551</v>
      </c>
      <c r="O8" s="23" t="s">
        <v>16</v>
      </c>
      <c r="P8" s="24" t="s">
        <v>17</v>
      </c>
      <c r="Q8" s="28" t="s">
        <v>659</v>
      </c>
    </row>
    <row r="9" spans="1:17">
      <c r="A9" s="14">
        <v>5</v>
      </c>
      <c r="B9" s="15" t="s">
        <v>19</v>
      </c>
      <c r="C9" s="16">
        <f>'Медикаменты Ноябрь'!L9</f>
        <v>8</v>
      </c>
      <c r="D9" s="17"/>
      <c r="E9" s="14"/>
      <c r="F9" s="18">
        <f>6</f>
        <v>6</v>
      </c>
      <c r="G9" s="19"/>
      <c r="H9" s="20">
        <f>2</f>
        <v>2</v>
      </c>
      <c r="I9" s="21"/>
      <c r="J9" s="14"/>
      <c r="K9" s="14">
        <f t="shared" si="0"/>
        <v>8</v>
      </c>
      <c r="L9" s="16">
        <f t="shared" si="1"/>
        <v>0</v>
      </c>
      <c r="M9" s="22">
        <v>44593</v>
      </c>
      <c r="N9" s="44" t="s">
        <v>45</v>
      </c>
      <c r="O9" s="23" t="s">
        <v>16</v>
      </c>
      <c r="P9" s="24" t="s">
        <v>17</v>
      </c>
      <c r="Q9" s="28" t="s">
        <v>20</v>
      </c>
    </row>
    <row r="10" spans="1:17">
      <c r="A10" s="14">
        <v>6</v>
      </c>
      <c r="B10" s="15" t="s">
        <v>19</v>
      </c>
      <c r="C10" s="16">
        <f>'Медикаменты Ноябрь'!L10</f>
        <v>50</v>
      </c>
      <c r="D10" s="17"/>
      <c r="E10" s="14"/>
      <c r="F10" s="18"/>
      <c r="G10" s="19"/>
      <c r="H10" s="20"/>
      <c r="I10" s="21"/>
      <c r="J10" s="14"/>
      <c r="K10" s="14">
        <f t="shared" si="0"/>
        <v>0</v>
      </c>
      <c r="L10" s="16">
        <f t="shared" si="1"/>
        <v>50</v>
      </c>
      <c r="M10" s="22">
        <v>45231</v>
      </c>
      <c r="N10" s="44" t="s">
        <v>551</v>
      </c>
      <c r="O10" s="23" t="s">
        <v>16</v>
      </c>
      <c r="P10" s="24" t="s">
        <v>17</v>
      </c>
      <c r="Q10" s="28" t="s">
        <v>20</v>
      </c>
    </row>
    <row r="11" spans="1:17">
      <c r="A11" s="14">
        <v>7</v>
      </c>
      <c r="B11" s="15" t="s">
        <v>21</v>
      </c>
      <c r="C11" s="16">
        <f>'Медикаменты Ноябрь'!L11</f>
        <v>21</v>
      </c>
      <c r="D11" s="17"/>
      <c r="E11" s="14"/>
      <c r="F11" s="18">
        <f>15+6</f>
        <v>21</v>
      </c>
      <c r="G11" s="19"/>
      <c r="H11" s="20"/>
      <c r="I11" s="21"/>
      <c r="J11" s="14"/>
      <c r="K11" s="14">
        <f t="shared" si="0"/>
        <v>21</v>
      </c>
      <c r="L11" s="16">
        <f t="shared" si="1"/>
        <v>0</v>
      </c>
      <c r="M11" s="22">
        <v>45566</v>
      </c>
      <c r="N11" s="44" t="s">
        <v>45</v>
      </c>
      <c r="O11" s="23" t="s">
        <v>16</v>
      </c>
      <c r="P11" s="24" t="s">
        <v>17</v>
      </c>
      <c r="Q11" s="28" t="s">
        <v>22</v>
      </c>
    </row>
    <row r="12" spans="1:17">
      <c r="A12" s="14">
        <v>8</v>
      </c>
      <c r="B12" s="15" t="s">
        <v>590</v>
      </c>
      <c r="C12" s="16">
        <f>'Медикаменты Ноябрь'!L12</f>
        <v>38</v>
      </c>
      <c r="D12" s="17"/>
      <c r="E12" s="14"/>
      <c r="F12" s="18"/>
      <c r="G12" s="19"/>
      <c r="H12" s="20"/>
      <c r="I12" s="21"/>
      <c r="J12" s="14"/>
      <c r="K12" s="14">
        <f t="shared" si="0"/>
        <v>0</v>
      </c>
      <c r="L12" s="16">
        <f t="shared" si="1"/>
        <v>38</v>
      </c>
      <c r="M12" s="22">
        <v>45047</v>
      </c>
      <c r="N12" s="44" t="s">
        <v>551</v>
      </c>
      <c r="O12" s="23" t="s">
        <v>16</v>
      </c>
      <c r="P12" s="24" t="s">
        <v>17</v>
      </c>
      <c r="Q12" s="28" t="s">
        <v>591</v>
      </c>
    </row>
    <row r="13" spans="1:17">
      <c r="A13" s="14">
        <v>9</v>
      </c>
      <c r="B13" s="15" t="s">
        <v>24</v>
      </c>
      <c r="C13" s="16">
        <f>'Медикаменты Ноябрь'!L13</f>
        <v>0</v>
      </c>
      <c r="D13" s="17"/>
      <c r="E13" s="14"/>
      <c r="F13" s="18"/>
      <c r="G13" s="19"/>
      <c r="H13" s="20"/>
      <c r="I13" s="21"/>
      <c r="J13" s="14"/>
      <c r="K13" s="14">
        <f t="shared" si="0"/>
        <v>0</v>
      </c>
      <c r="L13" s="16">
        <f t="shared" si="1"/>
        <v>0</v>
      </c>
      <c r="M13" s="22">
        <v>44866</v>
      </c>
      <c r="N13" s="44"/>
      <c r="O13" s="23" t="s">
        <v>16</v>
      </c>
      <c r="P13" s="24" t="s">
        <v>17</v>
      </c>
      <c r="Q13" s="28" t="s">
        <v>25</v>
      </c>
    </row>
    <row r="14" spans="1:17">
      <c r="A14" s="14">
        <v>10</v>
      </c>
      <c r="B14" s="15" t="s">
        <v>24</v>
      </c>
      <c r="C14" s="16">
        <f>'Медикаменты Ноябрь'!L14</f>
        <v>0</v>
      </c>
      <c r="D14" s="17"/>
      <c r="E14" s="14"/>
      <c r="F14" s="18"/>
      <c r="G14" s="19"/>
      <c r="H14" s="20"/>
      <c r="I14" s="21"/>
      <c r="J14" s="14"/>
      <c r="K14" s="14">
        <f t="shared" si="0"/>
        <v>0</v>
      </c>
      <c r="L14" s="16">
        <f t="shared" si="1"/>
        <v>0</v>
      </c>
      <c r="M14" s="22"/>
      <c r="N14" s="44"/>
      <c r="O14" s="23" t="s">
        <v>26</v>
      </c>
      <c r="P14" s="24"/>
      <c r="Q14" s="45"/>
    </row>
    <row r="15" spans="1:17">
      <c r="A15" s="14">
        <v>11</v>
      </c>
      <c r="B15" s="15" t="s">
        <v>27</v>
      </c>
      <c r="C15" s="16">
        <f>'Медикаменты Ноябрь'!L15</f>
        <v>0</v>
      </c>
      <c r="D15" s="17"/>
      <c r="E15" s="14"/>
      <c r="F15" s="18"/>
      <c r="G15" s="19"/>
      <c r="H15" s="20"/>
      <c r="I15" s="21"/>
      <c r="J15" s="14"/>
      <c r="K15" s="14">
        <f t="shared" si="0"/>
        <v>0</v>
      </c>
      <c r="L15" s="16">
        <f t="shared" si="1"/>
        <v>0</v>
      </c>
      <c r="M15" s="22">
        <v>44805</v>
      </c>
      <c r="N15" s="44" t="s">
        <v>45</v>
      </c>
      <c r="O15" s="23" t="s">
        <v>16</v>
      </c>
      <c r="P15" s="24" t="s">
        <v>17</v>
      </c>
      <c r="Q15" s="28" t="s">
        <v>28</v>
      </c>
    </row>
    <row r="16" spans="1:17">
      <c r="A16" s="14">
        <v>12</v>
      </c>
      <c r="B16" s="15" t="s">
        <v>27</v>
      </c>
      <c r="C16" s="16">
        <f>'Медикаменты Ноябрь'!L16</f>
        <v>0</v>
      </c>
      <c r="D16" s="17"/>
      <c r="E16" s="14"/>
      <c r="F16" s="18"/>
      <c r="G16" s="19"/>
      <c r="H16" s="20"/>
      <c r="I16" s="21"/>
      <c r="J16" s="14"/>
      <c r="K16" s="14">
        <f t="shared" si="0"/>
        <v>0</v>
      </c>
      <c r="L16" s="16">
        <f t="shared" si="1"/>
        <v>0</v>
      </c>
      <c r="M16" s="22"/>
      <c r="N16" s="44"/>
      <c r="O16" s="23" t="s">
        <v>26</v>
      </c>
      <c r="P16" s="24"/>
      <c r="Q16" s="45"/>
    </row>
    <row r="17" spans="1:17">
      <c r="A17" s="14">
        <v>13</v>
      </c>
      <c r="B17" s="15" t="s">
        <v>29</v>
      </c>
      <c r="C17" s="16">
        <f>'Медикаменты Ноябрь'!L17</f>
        <v>17</v>
      </c>
      <c r="D17" s="17"/>
      <c r="E17" s="14"/>
      <c r="F17" s="18"/>
      <c r="G17" s="19"/>
      <c r="H17" s="20"/>
      <c r="I17" s="21"/>
      <c r="J17" s="14"/>
      <c r="K17" s="14">
        <f t="shared" si="0"/>
        <v>0</v>
      </c>
      <c r="L17" s="16">
        <f t="shared" si="1"/>
        <v>17</v>
      </c>
      <c r="M17" s="22">
        <v>44835</v>
      </c>
      <c r="N17" s="44" t="s">
        <v>45</v>
      </c>
      <c r="O17" s="23" t="s">
        <v>16</v>
      </c>
      <c r="P17" s="24" t="s">
        <v>17</v>
      </c>
      <c r="Q17" s="28" t="s">
        <v>30</v>
      </c>
    </row>
    <row r="18" spans="1:17">
      <c r="A18" s="14">
        <v>14</v>
      </c>
      <c r="B18" s="15" t="s">
        <v>31</v>
      </c>
      <c r="C18" s="16">
        <f>'Медикаменты Ноябрь'!L18</f>
        <v>17</v>
      </c>
      <c r="D18" s="26"/>
      <c r="E18" s="14"/>
      <c r="F18" s="18"/>
      <c r="G18" s="19"/>
      <c r="H18" s="20"/>
      <c r="I18" s="21"/>
      <c r="J18" s="14"/>
      <c r="K18" s="14">
        <f t="shared" si="0"/>
        <v>0</v>
      </c>
      <c r="L18" s="16">
        <f t="shared" si="1"/>
        <v>17</v>
      </c>
      <c r="M18" s="22">
        <v>44621</v>
      </c>
      <c r="N18" s="44" t="s">
        <v>45</v>
      </c>
      <c r="O18" s="23" t="s">
        <v>16</v>
      </c>
      <c r="P18" s="24" t="s">
        <v>17</v>
      </c>
      <c r="Q18" s="28" t="s">
        <v>32</v>
      </c>
    </row>
    <row r="19" spans="1:17">
      <c r="A19" s="14">
        <v>15</v>
      </c>
      <c r="B19" s="15" t="s">
        <v>35</v>
      </c>
      <c r="C19" s="16">
        <f>'Медикаменты Ноябрь'!L19</f>
        <v>0</v>
      </c>
      <c r="D19" s="17"/>
      <c r="E19" s="14"/>
      <c r="F19" s="18"/>
      <c r="G19" s="19"/>
      <c r="H19" s="20"/>
      <c r="I19" s="21"/>
      <c r="J19" s="14"/>
      <c r="K19" s="14">
        <f t="shared" si="0"/>
        <v>0</v>
      </c>
      <c r="L19" s="16">
        <f t="shared" si="1"/>
        <v>0</v>
      </c>
      <c r="M19" s="22">
        <v>44621</v>
      </c>
      <c r="N19" s="44" t="s">
        <v>45</v>
      </c>
      <c r="O19" s="23" t="s">
        <v>16</v>
      </c>
      <c r="P19" s="24" t="s">
        <v>17</v>
      </c>
      <c r="Q19" s="28" t="s">
        <v>36</v>
      </c>
    </row>
    <row r="20" spans="1:17">
      <c r="A20" s="14">
        <v>16</v>
      </c>
      <c r="B20" s="15" t="s">
        <v>37</v>
      </c>
      <c r="C20" s="16">
        <f>'Медикаменты Ноябрь'!L20</f>
        <v>90</v>
      </c>
      <c r="D20" s="17"/>
      <c r="E20" s="14"/>
      <c r="F20" s="18">
        <f>30+30</f>
        <v>60</v>
      </c>
      <c r="G20" s="19">
        <f>10</f>
        <v>10</v>
      </c>
      <c r="H20" s="20">
        <f>20</f>
        <v>20</v>
      </c>
      <c r="I20" s="21"/>
      <c r="J20" s="14"/>
      <c r="K20" s="14">
        <f t="shared" si="0"/>
        <v>90</v>
      </c>
      <c r="L20" s="16">
        <f t="shared" si="1"/>
        <v>0</v>
      </c>
      <c r="M20" s="22">
        <v>44621</v>
      </c>
      <c r="N20" s="44" t="s">
        <v>45</v>
      </c>
      <c r="O20" s="23" t="s">
        <v>16</v>
      </c>
      <c r="P20" s="24" t="s">
        <v>17</v>
      </c>
      <c r="Q20" s="28" t="s">
        <v>38</v>
      </c>
    </row>
    <row r="21" spans="1:17">
      <c r="A21" s="14">
        <v>17</v>
      </c>
      <c r="B21" s="15" t="s">
        <v>39</v>
      </c>
      <c r="C21" s="16">
        <f>'Медикаменты Ноябрь'!L21</f>
        <v>0</v>
      </c>
      <c r="D21" s="17"/>
      <c r="E21" s="14"/>
      <c r="F21" s="18"/>
      <c r="G21" s="19"/>
      <c r="H21" s="20"/>
      <c r="I21" s="21"/>
      <c r="J21" s="14"/>
      <c r="K21" s="14">
        <f t="shared" si="0"/>
        <v>0</v>
      </c>
      <c r="L21" s="16">
        <f t="shared" si="1"/>
        <v>0</v>
      </c>
      <c r="M21" s="22">
        <v>44409</v>
      </c>
      <c r="N21" s="44" t="s">
        <v>45</v>
      </c>
      <c r="O21" s="23" t="s">
        <v>16</v>
      </c>
      <c r="P21" s="24" t="s">
        <v>17</v>
      </c>
      <c r="Q21" s="28" t="s">
        <v>40</v>
      </c>
    </row>
    <row r="22" spans="1:17">
      <c r="A22" s="14">
        <v>18</v>
      </c>
      <c r="B22" s="15" t="s">
        <v>618</v>
      </c>
      <c r="C22" s="16">
        <f>'Медикаменты Ноябрь'!L22</f>
        <v>0</v>
      </c>
      <c r="D22" s="17"/>
      <c r="E22" s="14"/>
      <c r="F22" s="18"/>
      <c r="G22" s="19"/>
      <c r="H22" s="20"/>
      <c r="I22" s="21"/>
      <c r="J22" s="14"/>
      <c r="K22" s="14">
        <f t="shared" si="0"/>
        <v>0</v>
      </c>
      <c r="L22" s="16">
        <f t="shared" si="1"/>
        <v>0</v>
      </c>
      <c r="M22" s="22">
        <v>44743</v>
      </c>
      <c r="N22" s="44" t="s">
        <v>551</v>
      </c>
      <c r="O22" s="23" t="s">
        <v>16</v>
      </c>
      <c r="P22" s="24" t="s">
        <v>17</v>
      </c>
      <c r="Q22" s="28" t="s">
        <v>42</v>
      </c>
    </row>
    <row r="23" spans="1:17">
      <c r="A23" s="14">
        <v>19</v>
      </c>
      <c r="B23" s="15" t="s">
        <v>43</v>
      </c>
      <c r="C23" s="16">
        <f>'Медикаменты Ноябрь'!L23</f>
        <v>0</v>
      </c>
      <c r="D23" s="17"/>
      <c r="E23" s="14"/>
      <c r="F23" s="18"/>
      <c r="G23" s="19"/>
      <c r="H23" s="20"/>
      <c r="I23" s="21"/>
      <c r="J23" s="14"/>
      <c r="K23" s="14">
        <f t="shared" si="0"/>
        <v>0</v>
      </c>
      <c r="L23" s="16">
        <f t="shared" si="1"/>
        <v>0</v>
      </c>
      <c r="M23" s="22"/>
      <c r="N23" s="44"/>
      <c r="O23" s="23" t="s">
        <v>16</v>
      </c>
      <c r="P23" s="24"/>
      <c r="Q23" s="45"/>
    </row>
    <row r="24" spans="1:17">
      <c r="A24" s="14">
        <v>20</v>
      </c>
      <c r="B24" s="15" t="s">
        <v>44</v>
      </c>
      <c r="C24" s="16">
        <f>'Медикаменты Ноябрь'!L24</f>
        <v>4</v>
      </c>
      <c r="D24" s="17"/>
      <c r="E24" s="14"/>
      <c r="F24" s="18">
        <f>1</f>
        <v>1</v>
      </c>
      <c r="G24" s="19">
        <f>2</f>
        <v>2</v>
      </c>
      <c r="H24" s="20">
        <f>1</f>
        <v>1</v>
      </c>
      <c r="I24" s="21"/>
      <c r="J24" s="14"/>
      <c r="K24" s="14">
        <f t="shared" si="0"/>
        <v>4</v>
      </c>
      <c r="L24" s="16">
        <f t="shared" si="1"/>
        <v>0</v>
      </c>
      <c r="M24" s="22">
        <v>44621</v>
      </c>
      <c r="N24" s="44" t="s">
        <v>45</v>
      </c>
      <c r="O24" s="23" t="s">
        <v>16</v>
      </c>
      <c r="P24" s="24" t="s">
        <v>45</v>
      </c>
      <c r="Q24" s="28" t="s">
        <v>46</v>
      </c>
    </row>
    <row r="25" spans="1:17">
      <c r="A25" s="14">
        <v>21</v>
      </c>
      <c r="B25" s="15" t="s">
        <v>44</v>
      </c>
      <c r="C25" s="16">
        <f>'Медикаменты Ноябрь'!L25</f>
        <v>0</v>
      </c>
      <c r="D25" s="17"/>
      <c r="E25" s="14"/>
      <c r="F25" s="18"/>
      <c r="G25" s="19"/>
      <c r="H25" s="20"/>
      <c r="I25" s="21"/>
      <c r="J25" s="14"/>
      <c r="K25" s="14">
        <f t="shared" si="0"/>
        <v>0</v>
      </c>
      <c r="L25" s="16">
        <f t="shared" si="1"/>
        <v>0</v>
      </c>
      <c r="M25" s="22">
        <v>44621</v>
      </c>
      <c r="N25" s="44"/>
      <c r="O25" s="23" t="s">
        <v>26</v>
      </c>
      <c r="P25" s="24"/>
      <c r="Q25" s="28" t="s">
        <v>46</v>
      </c>
    </row>
    <row r="26" spans="1:17">
      <c r="A26" s="14">
        <v>22</v>
      </c>
      <c r="B26" s="15" t="s">
        <v>47</v>
      </c>
      <c r="C26" s="16">
        <f>'Медикаменты Ноябрь'!L26</f>
        <v>64</v>
      </c>
      <c r="D26" s="17"/>
      <c r="E26" s="14"/>
      <c r="F26" s="18">
        <f>15+30</f>
        <v>45</v>
      </c>
      <c r="G26" s="19">
        <f>4</f>
        <v>4</v>
      </c>
      <c r="H26" s="20">
        <f>15</f>
        <v>15</v>
      </c>
      <c r="I26" s="21"/>
      <c r="J26" s="14"/>
      <c r="K26" s="14">
        <f t="shared" si="0"/>
        <v>64</v>
      </c>
      <c r="L26" s="16">
        <f t="shared" si="1"/>
        <v>0</v>
      </c>
      <c r="M26" s="22">
        <v>44621</v>
      </c>
      <c r="N26" s="44" t="s">
        <v>45</v>
      </c>
      <c r="O26" s="23" t="s">
        <v>16</v>
      </c>
      <c r="P26" s="24" t="s">
        <v>45</v>
      </c>
      <c r="Q26" s="28" t="s">
        <v>48</v>
      </c>
    </row>
    <row r="27" spans="1:17">
      <c r="A27" s="14">
        <v>23</v>
      </c>
      <c r="B27" s="15" t="s">
        <v>49</v>
      </c>
      <c r="C27" s="16">
        <f>'Медикаменты Ноябрь'!L27</f>
        <v>0</v>
      </c>
      <c r="D27" s="17"/>
      <c r="E27" s="14"/>
      <c r="F27" s="18"/>
      <c r="G27" s="19"/>
      <c r="H27" s="20"/>
      <c r="I27" s="21"/>
      <c r="J27" s="14"/>
      <c r="K27" s="14">
        <f t="shared" si="0"/>
        <v>0</v>
      </c>
      <c r="L27" s="16">
        <f t="shared" si="1"/>
        <v>0</v>
      </c>
      <c r="M27" s="22">
        <v>44652</v>
      </c>
      <c r="N27" s="44"/>
      <c r="O27" s="23" t="s">
        <v>16</v>
      </c>
      <c r="P27" s="24"/>
      <c r="Q27" s="28" t="s">
        <v>50</v>
      </c>
    </row>
    <row r="28" spans="1:17">
      <c r="A28" s="14">
        <v>24</v>
      </c>
      <c r="B28" s="15" t="s">
        <v>51</v>
      </c>
      <c r="C28" s="16">
        <f>'Медикаменты Ноябрь'!L28</f>
        <v>35</v>
      </c>
      <c r="D28" s="17"/>
      <c r="E28" s="14"/>
      <c r="F28" s="18">
        <f>5</f>
        <v>5</v>
      </c>
      <c r="G28" s="19"/>
      <c r="H28" s="20"/>
      <c r="I28" s="21"/>
      <c r="J28" s="14"/>
      <c r="K28" s="14">
        <f t="shared" si="0"/>
        <v>5</v>
      </c>
      <c r="L28" s="16">
        <f t="shared" si="1"/>
        <v>30</v>
      </c>
      <c r="M28" s="22">
        <v>45641</v>
      </c>
      <c r="N28" s="44" t="s">
        <v>551</v>
      </c>
      <c r="O28" s="23" t="s">
        <v>16</v>
      </c>
      <c r="P28" s="24" t="s">
        <v>17</v>
      </c>
      <c r="Q28" s="28" t="s">
        <v>52</v>
      </c>
    </row>
    <row r="29" spans="1:17">
      <c r="A29" s="14">
        <v>25</v>
      </c>
      <c r="B29" s="15" t="s">
        <v>54</v>
      </c>
      <c r="C29" s="16">
        <f>'Медикаменты Ноябрь'!L29</f>
        <v>0</v>
      </c>
      <c r="D29" s="17"/>
      <c r="E29" s="14"/>
      <c r="F29" s="18"/>
      <c r="G29" s="19"/>
      <c r="H29" s="20"/>
      <c r="I29" s="21"/>
      <c r="J29" s="14"/>
      <c r="K29" s="14">
        <f t="shared" si="0"/>
        <v>0</v>
      </c>
      <c r="L29" s="16">
        <f t="shared" si="1"/>
        <v>0</v>
      </c>
      <c r="M29" s="22"/>
      <c r="N29" s="44"/>
      <c r="O29" s="23" t="s">
        <v>16</v>
      </c>
      <c r="P29" s="24"/>
      <c r="Q29" s="45"/>
    </row>
    <row r="30" spans="1:17">
      <c r="A30" s="14">
        <v>26</v>
      </c>
      <c r="B30" s="15" t="s">
        <v>55</v>
      </c>
      <c r="C30" s="16">
        <f>'Медикаменты Ноябрь'!L30</f>
        <v>0</v>
      </c>
      <c r="D30" s="17"/>
      <c r="E30" s="14"/>
      <c r="F30" s="18"/>
      <c r="G30" s="19"/>
      <c r="H30" s="20"/>
      <c r="I30" s="21"/>
      <c r="J30" s="14"/>
      <c r="K30" s="14">
        <f t="shared" si="0"/>
        <v>0</v>
      </c>
      <c r="L30" s="16">
        <f t="shared" si="1"/>
        <v>0</v>
      </c>
      <c r="M30" s="22"/>
      <c r="N30" s="44"/>
      <c r="O30" s="23" t="s">
        <v>16</v>
      </c>
      <c r="P30" s="24"/>
      <c r="Q30" s="45"/>
    </row>
    <row r="31" spans="1:17">
      <c r="A31" s="14">
        <v>27</v>
      </c>
      <c r="B31" s="15" t="s">
        <v>56</v>
      </c>
      <c r="C31" s="16">
        <f>'Медикаменты Ноябрь'!L31</f>
        <v>0</v>
      </c>
      <c r="D31" s="17"/>
      <c r="E31" s="14"/>
      <c r="F31" s="18"/>
      <c r="G31" s="19"/>
      <c r="H31" s="20"/>
      <c r="I31" s="21"/>
      <c r="J31" s="14"/>
      <c r="K31" s="14">
        <f t="shared" si="0"/>
        <v>0</v>
      </c>
      <c r="L31" s="16">
        <f t="shared" si="1"/>
        <v>0</v>
      </c>
      <c r="M31" s="22">
        <v>44743</v>
      </c>
      <c r="N31" s="44"/>
      <c r="O31" s="23" t="s">
        <v>16</v>
      </c>
      <c r="P31" s="24"/>
      <c r="Q31" s="45"/>
    </row>
    <row r="32" spans="1:17">
      <c r="A32" s="14">
        <v>28</v>
      </c>
      <c r="B32" s="15" t="s">
        <v>57</v>
      </c>
      <c r="C32" s="16">
        <f>'Медикаменты Ноябрь'!L32</f>
        <v>0</v>
      </c>
      <c r="D32" s="17"/>
      <c r="E32" s="14"/>
      <c r="F32" s="18"/>
      <c r="G32" s="19"/>
      <c r="H32" s="20"/>
      <c r="I32" s="21"/>
      <c r="J32" s="14"/>
      <c r="K32" s="14">
        <f t="shared" si="0"/>
        <v>0</v>
      </c>
      <c r="L32" s="16">
        <f t="shared" si="1"/>
        <v>0</v>
      </c>
      <c r="M32" s="22">
        <v>44958</v>
      </c>
      <c r="N32" s="44"/>
      <c r="O32" s="23" t="s">
        <v>16</v>
      </c>
      <c r="P32" s="24"/>
      <c r="Q32" s="28" t="s">
        <v>58</v>
      </c>
    </row>
    <row r="33" spans="1:17" ht="25.5">
      <c r="A33" s="14">
        <v>29</v>
      </c>
      <c r="B33" s="15" t="s">
        <v>59</v>
      </c>
      <c r="C33" s="16">
        <f>'Медикаменты Ноябрь'!L33</f>
        <v>0</v>
      </c>
      <c r="D33" s="17"/>
      <c r="E33" s="14"/>
      <c r="F33" s="18"/>
      <c r="G33" s="19"/>
      <c r="H33" s="20"/>
      <c r="I33" s="21"/>
      <c r="J33" s="14"/>
      <c r="K33" s="14">
        <f t="shared" si="0"/>
        <v>0</v>
      </c>
      <c r="L33" s="16">
        <f t="shared" si="1"/>
        <v>0</v>
      </c>
      <c r="M33" s="22">
        <v>44957</v>
      </c>
      <c r="N33" s="44" t="s">
        <v>551</v>
      </c>
      <c r="O33" s="23" t="s">
        <v>16</v>
      </c>
      <c r="P33" s="24" t="s">
        <v>17</v>
      </c>
      <c r="Q33" s="28" t="s">
        <v>60</v>
      </c>
    </row>
    <row r="34" spans="1:17" ht="25.5">
      <c r="A34" s="14">
        <v>30</v>
      </c>
      <c r="B34" s="15" t="s">
        <v>59</v>
      </c>
      <c r="C34" s="16">
        <f>'Медикаменты Ноябрь'!L34</f>
        <v>0</v>
      </c>
      <c r="D34" s="17"/>
      <c r="E34" s="14"/>
      <c r="F34" s="18"/>
      <c r="G34" s="19"/>
      <c r="H34" s="20"/>
      <c r="I34" s="21"/>
      <c r="J34" s="14"/>
      <c r="K34" s="14">
        <f t="shared" si="0"/>
        <v>0</v>
      </c>
      <c r="L34" s="16">
        <f t="shared" si="1"/>
        <v>0</v>
      </c>
      <c r="M34" s="22">
        <v>44957</v>
      </c>
      <c r="N34" s="44" t="s">
        <v>551</v>
      </c>
      <c r="O34" s="23" t="s">
        <v>26</v>
      </c>
      <c r="P34" s="24" t="s">
        <v>17</v>
      </c>
      <c r="Q34" s="28" t="s">
        <v>60</v>
      </c>
    </row>
    <row r="35" spans="1:17">
      <c r="A35" s="14">
        <v>31</v>
      </c>
      <c r="B35" s="15" t="s">
        <v>61</v>
      </c>
      <c r="C35" s="16">
        <f>'Медикаменты Ноябрь'!L35</f>
        <v>0</v>
      </c>
      <c r="D35" s="17"/>
      <c r="E35" s="14"/>
      <c r="F35" s="18"/>
      <c r="G35" s="19"/>
      <c r="H35" s="20"/>
      <c r="I35" s="21"/>
      <c r="J35" s="14"/>
      <c r="K35" s="14">
        <f t="shared" si="0"/>
        <v>0</v>
      </c>
      <c r="L35" s="16">
        <f t="shared" si="1"/>
        <v>0</v>
      </c>
      <c r="M35" s="22">
        <v>44713</v>
      </c>
      <c r="N35" s="44"/>
      <c r="O35" s="23" t="s">
        <v>16</v>
      </c>
      <c r="P35" s="24"/>
      <c r="Q35" s="28" t="s">
        <v>62</v>
      </c>
    </row>
    <row r="36" spans="1:17">
      <c r="A36" s="14">
        <v>32</v>
      </c>
      <c r="B36" s="15" t="s">
        <v>63</v>
      </c>
      <c r="C36" s="16">
        <f>'Медикаменты Ноябрь'!L36</f>
        <v>0</v>
      </c>
      <c r="D36" s="17"/>
      <c r="E36" s="14"/>
      <c r="F36" s="18"/>
      <c r="G36" s="19"/>
      <c r="H36" s="20"/>
      <c r="I36" s="21"/>
      <c r="J36" s="14"/>
      <c r="K36" s="14">
        <f t="shared" si="0"/>
        <v>0</v>
      </c>
      <c r="L36" s="16">
        <f t="shared" si="1"/>
        <v>0</v>
      </c>
      <c r="M36" s="22"/>
      <c r="N36" s="44"/>
      <c r="O36" s="23" t="s">
        <v>16</v>
      </c>
      <c r="P36" s="24"/>
      <c r="Q36" s="45"/>
    </row>
    <row r="37" spans="1:17" ht="26.25">
      <c r="A37" s="14">
        <v>33</v>
      </c>
      <c r="B37" s="15" t="s">
        <v>592</v>
      </c>
      <c r="C37" s="16">
        <f>'Медикаменты Ноябрь'!L37</f>
        <v>20</v>
      </c>
      <c r="D37" s="17"/>
      <c r="E37" s="14"/>
      <c r="F37" s="18"/>
      <c r="G37" s="19"/>
      <c r="H37" s="20"/>
      <c r="I37" s="21"/>
      <c r="J37" s="14"/>
      <c r="K37" s="14">
        <f t="shared" si="0"/>
        <v>0</v>
      </c>
      <c r="L37" s="16">
        <f t="shared" si="1"/>
        <v>20</v>
      </c>
      <c r="M37" s="22">
        <v>44958</v>
      </c>
      <c r="N37" s="44" t="s">
        <v>551</v>
      </c>
      <c r="O37" s="23" t="s">
        <v>16</v>
      </c>
      <c r="P37" s="24" t="s">
        <v>17</v>
      </c>
      <c r="Q37" s="28" t="s">
        <v>593</v>
      </c>
    </row>
    <row r="38" spans="1:17">
      <c r="A38" s="14">
        <v>34</v>
      </c>
      <c r="B38" s="15" t="s">
        <v>64</v>
      </c>
      <c r="C38" s="16">
        <f>'Медикаменты Ноябрь'!L38</f>
        <v>0</v>
      </c>
      <c r="D38" s="17"/>
      <c r="E38" s="14"/>
      <c r="F38" s="18"/>
      <c r="G38" s="19"/>
      <c r="H38" s="20"/>
      <c r="I38" s="21"/>
      <c r="J38" s="14"/>
      <c r="K38" s="14">
        <f t="shared" si="0"/>
        <v>0</v>
      </c>
      <c r="L38" s="16">
        <f t="shared" si="1"/>
        <v>0</v>
      </c>
      <c r="M38" s="22"/>
      <c r="N38" s="44"/>
      <c r="O38" s="23" t="s">
        <v>16</v>
      </c>
      <c r="P38" s="24"/>
      <c r="Q38" s="45"/>
    </row>
    <row r="39" spans="1:17">
      <c r="A39" s="14">
        <v>35</v>
      </c>
      <c r="B39" s="15" t="s">
        <v>65</v>
      </c>
      <c r="C39" s="16">
        <f>'Медикаменты Ноябрь'!L39</f>
        <v>55</v>
      </c>
      <c r="D39" s="17"/>
      <c r="E39" s="14"/>
      <c r="F39" s="18"/>
      <c r="G39" s="19"/>
      <c r="H39" s="20"/>
      <c r="I39" s="21"/>
      <c r="J39" s="14"/>
      <c r="K39" s="14">
        <f t="shared" si="0"/>
        <v>0</v>
      </c>
      <c r="L39" s="16">
        <f t="shared" si="1"/>
        <v>55</v>
      </c>
      <c r="M39" s="22">
        <v>45261</v>
      </c>
      <c r="N39" s="44" t="s">
        <v>45</v>
      </c>
      <c r="O39" s="23" t="s">
        <v>16</v>
      </c>
      <c r="P39" s="24" t="s">
        <v>17</v>
      </c>
      <c r="Q39" s="28" t="s">
        <v>66</v>
      </c>
    </row>
    <row r="40" spans="1:17">
      <c r="A40" s="14">
        <v>36</v>
      </c>
      <c r="B40" s="15" t="s">
        <v>67</v>
      </c>
      <c r="C40" s="16">
        <f>'Медикаменты Ноябрь'!L40</f>
        <v>37</v>
      </c>
      <c r="D40" s="17"/>
      <c r="E40" s="14"/>
      <c r="F40" s="18"/>
      <c r="G40" s="19"/>
      <c r="H40" s="20"/>
      <c r="I40" s="21"/>
      <c r="J40" s="14"/>
      <c r="K40" s="14">
        <f t="shared" si="0"/>
        <v>0</v>
      </c>
      <c r="L40" s="16">
        <f t="shared" si="1"/>
        <v>37</v>
      </c>
      <c r="M40" s="22">
        <v>45200</v>
      </c>
      <c r="N40" s="44" t="s">
        <v>551</v>
      </c>
      <c r="O40" s="23" t="s">
        <v>16</v>
      </c>
      <c r="P40" s="24" t="s">
        <v>17</v>
      </c>
      <c r="Q40" s="46" t="s">
        <v>68</v>
      </c>
    </row>
    <row r="41" spans="1:17">
      <c r="A41" s="14">
        <v>37</v>
      </c>
      <c r="B41" s="15" t="s">
        <v>69</v>
      </c>
      <c r="C41" s="16">
        <f>'Медикаменты Ноябрь'!L41</f>
        <v>30</v>
      </c>
      <c r="D41" s="17"/>
      <c r="E41" s="14"/>
      <c r="F41" s="18"/>
      <c r="G41" s="19"/>
      <c r="H41" s="20"/>
      <c r="I41" s="21"/>
      <c r="J41" s="14"/>
      <c r="K41" s="14">
        <f t="shared" si="0"/>
        <v>0</v>
      </c>
      <c r="L41" s="16">
        <f t="shared" si="1"/>
        <v>30</v>
      </c>
      <c r="M41" s="22">
        <v>45778</v>
      </c>
      <c r="N41" s="44" t="s">
        <v>551</v>
      </c>
      <c r="O41" s="23" t="s">
        <v>16</v>
      </c>
      <c r="P41" s="24" t="s">
        <v>17</v>
      </c>
      <c r="Q41" s="28" t="s">
        <v>70</v>
      </c>
    </row>
    <row r="42" spans="1:17" ht="25.5">
      <c r="A42" s="14">
        <v>38</v>
      </c>
      <c r="B42" s="15" t="s">
        <v>594</v>
      </c>
      <c r="C42" s="16">
        <f>'Медикаменты Ноябрь'!L42</f>
        <v>120</v>
      </c>
      <c r="D42" s="17"/>
      <c r="E42" s="14"/>
      <c r="F42" s="18"/>
      <c r="G42" s="19"/>
      <c r="H42" s="20"/>
      <c r="I42" s="21"/>
      <c r="J42" s="14"/>
      <c r="K42" s="14">
        <f t="shared" si="0"/>
        <v>0</v>
      </c>
      <c r="L42" s="16">
        <f t="shared" si="1"/>
        <v>120</v>
      </c>
      <c r="M42" s="22">
        <v>44986</v>
      </c>
      <c r="N42" s="44" t="s">
        <v>551</v>
      </c>
      <c r="O42" s="23" t="s">
        <v>16</v>
      </c>
      <c r="P42" s="24" t="s">
        <v>17</v>
      </c>
      <c r="Q42" s="28" t="s">
        <v>595</v>
      </c>
    </row>
    <row r="43" spans="1:17">
      <c r="A43" s="14">
        <v>39</v>
      </c>
      <c r="B43" s="15" t="s">
        <v>71</v>
      </c>
      <c r="C43" s="16">
        <f>'Медикаменты Ноябрь'!L43</f>
        <v>0</v>
      </c>
      <c r="D43" s="17"/>
      <c r="E43" s="14"/>
      <c r="F43" s="18"/>
      <c r="G43" s="19"/>
      <c r="H43" s="20"/>
      <c r="I43" s="21"/>
      <c r="J43" s="14"/>
      <c r="K43" s="14">
        <f t="shared" si="0"/>
        <v>0</v>
      </c>
      <c r="L43" s="16">
        <f t="shared" si="1"/>
        <v>0</v>
      </c>
      <c r="M43" s="22"/>
      <c r="N43" s="44"/>
      <c r="O43" s="23" t="s">
        <v>16</v>
      </c>
      <c r="P43" s="24"/>
      <c r="Q43" s="45"/>
    </row>
    <row r="44" spans="1:17">
      <c r="A44" s="14">
        <v>40</v>
      </c>
      <c r="B44" s="15" t="s">
        <v>72</v>
      </c>
      <c r="C44" s="16">
        <f>'Медикаменты Ноябрь'!L44</f>
        <v>13</v>
      </c>
      <c r="D44" s="17"/>
      <c r="E44" s="14"/>
      <c r="F44" s="18"/>
      <c r="G44" s="19"/>
      <c r="H44" s="20"/>
      <c r="I44" s="21"/>
      <c r="J44" s="14"/>
      <c r="K44" s="14">
        <f t="shared" si="0"/>
        <v>0</v>
      </c>
      <c r="L44" s="16">
        <f t="shared" si="1"/>
        <v>13</v>
      </c>
      <c r="M44" s="22">
        <v>44652</v>
      </c>
      <c r="N44" s="44" t="s">
        <v>45</v>
      </c>
      <c r="O44" s="23" t="s">
        <v>16</v>
      </c>
      <c r="P44" s="24" t="s">
        <v>17</v>
      </c>
      <c r="Q44" s="28" t="s">
        <v>73</v>
      </c>
    </row>
    <row r="45" spans="1:17">
      <c r="A45" s="14">
        <v>41</v>
      </c>
      <c r="B45" s="15" t="s">
        <v>74</v>
      </c>
      <c r="C45" s="16">
        <f>'Медикаменты Ноябрь'!L45</f>
        <v>0</v>
      </c>
      <c r="D45" s="17"/>
      <c r="E45" s="14"/>
      <c r="F45" s="18"/>
      <c r="G45" s="19"/>
      <c r="H45" s="20"/>
      <c r="I45" s="21"/>
      <c r="J45" s="14"/>
      <c r="K45" s="14">
        <f t="shared" si="0"/>
        <v>0</v>
      </c>
      <c r="L45" s="16">
        <f t="shared" si="1"/>
        <v>0</v>
      </c>
      <c r="M45" s="22">
        <v>45108</v>
      </c>
      <c r="N45" s="44" t="s">
        <v>45</v>
      </c>
      <c r="O45" s="23" t="s">
        <v>16</v>
      </c>
      <c r="P45" s="24" t="s">
        <v>17</v>
      </c>
      <c r="Q45" s="28" t="s">
        <v>75</v>
      </c>
    </row>
    <row r="46" spans="1:17">
      <c r="A46" s="14">
        <v>42</v>
      </c>
      <c r="B46" s="15" t="s">
        <v>76</v>
      </c>
      <c r="C46" s="16">
        <f>'Медикаменты Ноябрь'!L46</f>
        <v>0</v>
      </c>
      <c r="D46" s="17"/>
      <c r="E46" s="14"/>
      <c r="F46" s="18"/>
      <c r="G46" s="19"/>
      <c r="H46" s="20"/>
      <c r="I46" s="21"/>
      <c r="J46" s="14"/>
      <c r="K46" s="14">
        <f t="shared" si="0"/>
        <v>0</v>
      </c>
      <c r="L46" s="16">
        <f t="shared" si="1"/>
        <v>0</v>
      </c>
      <c r="M46" s="22"/>
      <c r="N46" s="44"/>
      <c r="O46" s="23" t="s">
        <v>16</v>
      </c>
      <c r="P46" s="24"/>
      <c r="Q46" s="45"/>
    </row>
    <row r="47" spans="1:17">
      <c r="A47" s="14">
        <v>43</v>
      </c>
      <c r="B47" s="15" t="s">
        <v>77</v>
      </c>
      <c r="C47" s="16">
        <f>'Медикаменты Ноябрь'!L47</f>
        <v>0</v>
      </c>
      <c r="D47" s="17"/>
      <c r="E47" s="14"/>
      <c r="F47" s="18"/>
      <c r="G47" s="19"/>
      <c r="H47" s="20"/>
      <c r="I47" s="21"/>
      <c r="J47" s="14"/>
      <c r="K47" s="14">
        <f t="shared" si="0"/>
        <v>0</v>
      </c>
      <c r="L47" s="16">
        <f t="shared" si="1"/>
        <v>0</v>
      </c>
      <c r="M47" s="22"/>
      <c r="N47" s="44"/>
      <c r="O47" s="23" t="s">
        <v>16</v>
      </c>
      <c r="P47" s="24"/>
      <c r="Q47" s="45"/>
    </row>
    <row r="48" spans="1:17">
      <c r="A48" s="14">
        <v>44</v>
      </c>
      <c r="B48" s="15" t="s">
        <v>619</v>
      </c>
      <c r="C48" s="16">
        <f>'Медикаменты Ноябрь'!L48</f>
        <v>4</v>
      </c>
      <c r="D48" s="17"/>
      <c r="E48" s="14"/>
      <c r="F48" s="18"/>
      <c r="G48" s="19"/>
      <c r="H48" s="20"/>
      <c r="I48" s="21"/>
      <c r="J48" s="14"/>
      <c r="K48" s="14">
        <f t="shared" si="0"/>
        <v>0</v>
      </c>
      <c r="L48" s="16">
        <f t="shared" si="1"/>
        <v>4</v>
      </c>
      <c r="M48" s="22">
        <v>45413</v>
      </c>
      <c r="N48" s="44" t="s">
        <v>551</v>
      </c>
      <c r="O48" s="23" t="s">
        <v>16</v>
      </c>
      <c r="P48" s="24" t="s">
        <v>17</v>
      </c>
      <c r="Q48" s="28" t="s">
        <v>79</v>
      </c>
    </row>
    <row r="49" spans="1:17">
      <c r="A49" s="14">
        <v>45</v>
      </c>
      <c r="B49" s="15" t="s">
        <v>80</v>
      </c>
      <c r="C49" s="16">
        <f>'Медикаменты Ноябрь'!L49</f>
        <v>0</v>
      </c>
      <c r="D49" s="17"/>
      <c r="E49" s="14"/>
      <c r="F49" s="18"/>
      <c r="G49" s="19"/>
      <c r="H49" s="20"/>
      <c r="I49" s="21"/>
      <c r="J49" s="14"/>
      <c r="K49" s="14">
        <f t="shared" si="0"/>
        <v>0</v>
      </c>
      <c r="L49" s="16">
        <f t="shared" si="1"/>
        <v>0</v>
      </c>
      <c r="M49" s="22">
        <v>44317</v>
      </c>
      <c r="N49" s="44"/>
      <c r="O49" s="23" t="s">
        <v>16</v>
      </c>
      <c r="P49" s="24" t="s">
        <v>17</v>
      </c>
      <c r="Q49" s="28" t="s">
        <v>81</v>
      </c>
    </row>
    <row r="50" spans="1:17">
      <c r="A50" s="14">
        <v>46</v>
      </c>
      <c r="B50" s="15" t="s">
        <v>83</v>
      </c>
      <c r="C50" s="16">
        <f>'Медикаменты Ноябрь'!L50</f>
        <v>0</v>
      </c>
      <c r="D50" s="17"/>
      <c r="E50" s="14"/>
      <c r="F50" s="18"/>
      <c r="G50" s="19"/>
      <c r="H50" s="20"/>
      <c r="I50" s="21"/>
      <c r="J50" s="14"/>
      <c r="K50" s="14">
        <f t="shared" si="0"/>
        <v>0</v>
      </c>
      <c r="L50" s="16">
        <f t="shared" si="1"/>
        <v>0</v>
      </c>
      <c r="M50" s="22">
        <v>44317</v>
      </c>
      <c r="N50" s="44" t="s">
        <v>45</v>
      </c>
      <c r="O50" s="23" t="s">
        <v>16</v>
      </c>
      <c r="P50" s="24" t="s">
        <v>17</v>
      </c>
      <c r="Q50" s="28" t="s">
        <v>84</v>
      </c>
    </row>
    <row r="51" spans="1:17">
      <c r="A51" s="14">
        <v>47</v>
      </c>
      <c r="B51" s="15" t="s">
        <v>85</v>
      </c>
      <c r="C51" s="16">
        <f>'Медикаменты Ноябрь'!L51</f>
        <v>0</v>
      </c>
      <c r="D51" s="17"/>
      <c r="E51" s="14"/>
      <c r="F51" s="18"/>
      <c r="G51" s="19"/>
      <c r="H51" s="20"/>
      <c r="I51" s="21"/>
      <c r="J51" s="14"/>
      <c r="K51" s="14">
        <f t="shared" si="0"/>
        <v>0</v>
      </c>
      <c r="L51" s="16">
        <f t="shared" si="1"/>
        <v>0</v>
      </c>
      <c r="M51" s="22">
        <v>44409</v>
      </c>
      <c r="N51" s="44" t="s">
        <v>45</v>
      </c>
      <c r="O51" s="23" t="s">
        <v>16</v>
      </c>
      <c r="P51" s="24" t="s">
        <v>17</v>
      </c>
      <c r="Q51" s="28" t="s">
        <v>86</v>
      </c>
    </row>
    <row r="52" spans="1:17">
      <c r="A52" s="14">
        <v>48</v>
      </c>
      <c r="B52" s="15" t="s">
        <v>87</v>
      </c>
      <c r="C52" s="16">
        <f>'Медикаменты Ноябрь'!L52</f>
        <v>0</v>
      </c>
      <c r="D52" s="17"/>
      <c r="E52" s="14"/>
      <c r="F52" s="18"/>
      <c r="G52" s="19"/>
      <c r="H52" s="20"/>
      <c r="I52" s="21"/>
      <c r="J52" s="14"/>
      <c r="K52" s="14">
        <f t="shared" si="0"/>
        <v>0</v>
      </c>
      <c r="L52" s="16">
        <f t="shared" si="1"/>
        <v>0</v>
      </c>
      <c r="M52" s="22">
        <v>44136</v>
      </c>
      <c r="N52" s="44"/>
      <c r="O52" s="23" t="s">
        <v>16</v>
      </c>
      <c r="P52" s="24"/>
      <c r="Q52" s="28" t="s">
        <v>88</v>
      </c>
    </row>
    <row r="53" spans="1:17">
      <c r="A53" s="14">
        <v>49</v>
      </c>
      <c r="B53" s="15" t="s">
        <v>620</v>
      </c>
      <c r="C53" s="16">
        <f>'Медикаменты Ноябрь'!L53</f>
        <v>22</v>
      </c>
      <c r="D53" s="17"/>
      <c r="E53" s="14"/>
      <c r="F53" s="18"/>
      <c r="G53" s="19"/>
      <c r="H53" s="20"/>
      <c r="I53" s="21"/>
      <c r="J53" s="14"/>
      <c r="K53" s="14">
        <f t="shared" si="0"/>
        <v>0</v>
      </c>
      <c r="L53" s="16">
        <f t="shared" si="1"/>
        <v>22</v>
      </c>
      <c r="M53" s="22">
        <v>44986</v>
      </c>
      <c r="N53" s="44" t="s">
        <v>551</v>
      </c>
      <c r="O53" s="23" t="s">
        <v>16</v>
      </c>
      <c r="P53" s="24" t="s">
        <v>17</v>
      </c>
      <c r="Q53" s="28" t="s">
        <v>621</v>
      </c>
    </row>
    <row r="54" spans="1:17">
      <c r="A54" s="14">
        <v>50</v>
      </c>
      <c r="B54" s="15" t="s">
        <v>622</v>
      </c>
      <c r="C54" s="16">
        <f>'Медикаменты Ноябрь'!L54</f>
        <v>42</v>
      </c>
      <c r="D54" s="17"/>
      <c r="E54" s="14"/>
      <c r="F54" s="18"/>
      <c r="G54" s="19"/>
      <c r="H54" s="20"/>
      <c r="I54" s="21"/>
      <c r="J54" s="14"/>
      <c r="K54" s="14">
        <f t="shared" si="0"/>
        <v>0</v>
      </c>
      <c r="L54" s="16">
        <f t="shared" si="1"/>
        <v>42</v>
      </c>
      <c r="M54" s="22">
        <v>45017</v>
      </c>
      <c r="N54" s="44" t="s">
        <v>551</v>
      </c>
      <c r="O54" s="23" t="s">
        <v>16</v>
      </c>
      <c r="P54" s="24" t="s">
        <v>17</v>
      </c>
      <c r="Q54" s="28" t="s">
        <v>623</v>
      </c>
    </row>
    <row r="55" spans="1:17">
      <c r="A55" s="14">
        <v>51</v>
      </c>
      <c r="B55" s="15" t="s">
        <v>91</v>
      </c>
      <c r="C55" s="16">
        <f>'Медикаменты Ноябрь'!L55</f>
        <v>0</v>
      </c>
      <c r="D55" s="17"/>
      <c r="E55" s="14"/>
      <c r="F55" s="18"/>
      <c r="G55" s="19"/>
      <c r="H55" s="20"/>
      <c r="I55" s="21"/>
      <c r="J55" s="14"/>
      <c r="K55" s="14">
        <f t="shared" si="0"/>
        <v>0</v>
      </c>
      <c r="L55" s="16">
        <f t="shared" si="1"/>
        <v>0</v>
      </c>
      <c r="M55" s="22">
        <v>44317</v>
      </c>
      <c r="N55" s="44" t="s">
        <v>45</v>
      </c>
      <c r="O55" s="23" t="s">
        <v>16</v>
      </c>
      <c r="P55" s="24" t="s">
        <v>17</v>
      </c>
      <c r="Q55" s="28" t="s">
        <v>92</v>
      </c>
    </row>
    <row r="56" spans="1:17">
      <c r="A56" s="14">
        <v>52</v>
      </c>
      <c r="B56" s="15" t="s">
        <v>596</v>
      </c>
      <c r="C56" s="16">
        <f>'Медикаменты Ноябрь'!L56</f>
        <v>35</v>
      </c>
      <c r="D56" s="17"/>
      <c r="E56" s="14"/>
      <c r="F56" s="18">
        <f>5</f>
        <v>5</v>
      </c>
      <c r="G56" s="19"/>
      <c r="H56" s="20"/>
      <c r="I56" s="21"/>
      <c r="J56" s="14"/>
      <c r="K56" s="14">
        <f t="shared" si="0"/>
        <v>5</v>
      </c>
      <c r="L56" s="16">
        <f t="shared" si="1"/>
        <v>30</v>
      </c>
      <c r="M56" s="22">
        <v>45261</v>
      </c>
      <c r="N56" s="44" t="s">
        <v>551</v>
      </c>
      <c r="O56" s="23" t="s">
        <v>16</v>
      </c>
      <c r="P56" s="24" t="s">
        <v>17</v>
      </c>
      <c r="Q56" s="28" t="s">
        <v>597</v>
      </c>
    </row>
    <row r="57" spans="1:17">
      <c r="A57" s="14">
        <v>53</v>
      </c>
      <c r="B57" s="15" t="s">
        <v>93</v>
      </c>
      <c r="C57" s="16">
        <f>'Медикаменты Ноябрь'!L57</f>
        <v>0</v>
      </c>
      <c r="D57" s="17"/>
      <c r="E57" s="14"/>
      <c r="F57" s="18"/>
      <c r="G57" s="19"/>
      <c r="H57" s="20"/>
      <c r="I57" s="21"/>
      <c r="J57" s="14"/>
      <c r="K57" s="14">
        <f t="shared" si="0"/>
        <v>0</v>
      </c>
      <c r="L57" s="16">
        <f t="shared" si="1"/>
        <v>0</v>
      </c>
      <c r="M57" s="22">
        <v>44013</v>
      </c>
      <c r="N57" s="44"/>
      <c r="O57" s="23" t="s">
        <v>16</v>
      </c>
      <c r="P57" s="24"/>
      <c r="Q57" s="28" t="s">
        <v>94</v>
      </c>
    </row>
    <row r="58" spans="1:17">
      <c r="A58" s="14">
        <v>54</v>
      </c>
      <c r="B58" s="15" t="s">
        <v>95</v>
      </c>
      <c r="C58" s="16">
        <f>'Медикаменты Ноябрь'!L58</f>
        <v>24</v>
      </c>
      <c r="D58" s="17"/>
      <c r="E58" s="14"/>
      <c r="F58" s="18"/>
      <c r="G58" s="19"/>
      <c r="H58" s="20"/>
      <c r="I58" s="21"/>
      <c r="J58" s="14"/>
      <c r="K58" s="14">
        <f t="shared" si="0"/>
        <v>0</v>
      </c>
      <c r="L58" s="16">
        <f t="shared" si="1"/>
        <v>24</v>
      </c>
      <c r="M58" s="22">
        <v>44986</v>
      </c>
      <c r="N58" s="44" t="s">
        <v>45</v>
      </c>
      <c r="O58" s="23" t="s">
        <v>16</v>
      </c>
      <c r="P58" s="24" t="s">
        <v>45</v>
      </c>
      <c r="Q58" s="28" t="s">
        <v>96</v>
      </c>
    </row>
    <row r="59" spans="1:17">
      <c r="A59" s="14">
        <v>55</v>
      </c>
      <c r="B59" s="15" t="s">
        <v>97</v>
      </c>
      <c r="C59" s="16">
        <f>'Медикаменты Ноябрь'!L59</f>
        <v>0</v>
      </c>
      <c r="D59" s="17"/>
      <c r="E59" s="14"/>
      <c r="F59" s="18"/>
      <c r="G59" s="19"/>
      <c r="H59" s="20"/>
      <c r="I59" s="21"/>
      <c r="J59" s="14"/>
      <c r="K59" s="14">
        <f t="shared" si="0"/>
        <v>0</v>
      </c>
      <c r="L59" s="16">
        <f t="shared" si="1"/>
        <v>0</v>
      </c>
      <c r="M59" s="22">
        <v>44866</v>
      </c>
      <c r="N59" s="44"/>
      <c r="O59" s="23" t="s">
        <v>16</v>
      </c>
      <c r="P59" s="24"/>
      <c r="Q59" s="28" t="s">
        <v>98</v>
      </c>
    </row>
    <row r="60" spans="1:17">
      <c r="A60" s="14">
        <v>56</v>
      </c>
      <c r="B60" s="15" t="s">
        <v>99</v>
      </c>
      <c r="C60" s="16">
        <f>'Медикаменты Ноябрь'!L60</f>
        <v>0</v>
      </c>
      <c r="D60" s="17"/>
      <c r="E60" s="14"/>
      <c r="F60" s="18"/>
      <c r="G60" s="19"/>
      <c r="H60" s="20"/>
      <c r="I60" s="21"/>
      <c r="J60" s="14"/>
      <c r="K60" s="14">
        <f t="shared" si="0"/>
        <v>0</v>
      </c>
      <c r="L60" s="16">
        <f t="shared" si="1"/>
        <v>0</v>
      </c>
      <c r="M60" s="22"/>
      <c r="N60" s="44"/>
      <c r="O60" s="23" t="s">
        <v>16</v>
      </c>
      <c r="P60" s="24"/>
      <c r="Q60" s="45"/>
    </row>
    <row r="61" spans="1:17">
      <c r="A61" s="14">
        <v>57</v>
      </c>
      <c r="B61" s="15" t="s">
        <v>100</v>
      </c>
      <c r="C61" s="16">
        <f>'Медикаменты Ноябрь'!L61</f>
        <v>0</v>
      </c>
      <c r="D61" s="17"/>
      <c r="E61" s="14"/>
      <c r="F61" s="18"/>
      <c r="G61" s="19"/>
      <c r="H61" s="20"/>
      <c r="I61" s="21"/>
      <c r="J61" s="14"/>
      <c r="K61" s="14">
        <f t="shared" si="0"/>
        <v>0</v>
      </c>
      <c r="L61" s="16">
        <f t="shared" si="1"/>
        <v>0</v>
      </c>
      <c r="M61" s="22"/>
      <c r="N61" s="44"/>
      <c r="O61" s="23" t="s">
        <v>26</v>
      </c>
      <c r="P61" s="24" t="s">
        <v>17</v>
      </c>
      <c r="Q61" s="28" t="s">
        <v>101</v>
      </c>
    </row>
    <row r="62" spans="1:17">
      <c r="A62" s="14">
        <v>58</v>
      </c>
      <c r="B62" s="15" t="s">
        <v>102</v>
      </c>
      <c r="C62" s="16">
        <f>'Медикаменты Ноябрь'!L62</f>
        <v>0</v>
      </c>
      <c r="D62" s="17"/>
      <c r="E62" s="14"/>
      <c r="F62" s="18"/>
      <c r="G62" s="19"/>
      <c r="H62" s="20"/>
      <c r="I62" s="21"/>
      <c r="J62" s="14"/>
      <c r="K62" s="14">
        <f t="shared" si="0"/>
        <v>0</v>
      </c>
      <c r="L62" s="16">
        <f t="shared" si="1"/>
        <v>0</v>
      </c>
      <c r="M62" s="22">
        <v>44866</v>
      </c>
      <c r="N62" s="44" t="s">
        <v>45</v>
      </c>
      <c r="O62" s="23" t="s">
        <v>16</v>
      </c>
      <c r="P62" s="24" t="s">
        <v>45</v>
      </c>
      <c r="Q62" s="28" t="s">
        <v>103</v>
      </c>
    </row>
    <row r="63" spans="1:17">
      <c r="A63" s="14">
        <v>59</v>
      </c>
      <c r="B63" s="15" t="s">
        <v>102</v>
      </c>
      <c r="C63" s="16">
        <f>'Медикаменты Ноябрь'!L63</f>
        <v>0</v>
      </c>
      <c r="D63" s="17"/>
      <c r="E63" s="14"/>
      <c r="F63" s="18"/>
      <c r="G63" s="19"/>
      <c r="H63" s="20"/>
      <c r="I63" s="21"/>
      <c r="J63" s="14"/>
      <c r="K63" s="14">
        <f t="shared" si="0"/>
        <v>0</v>
      </c>
      <c r="L63" s="16">
        <f t="shared" si="1"/>
        <v>0</v>
      </c>
      <c r="M63" s="22">
        <v>44866</v>
      </c>
      <c r="N63" s="44"/>
      <c r="O63" s="23" t="s">
        <v>26</v>
      </c>
      <c r="P63" s="24"/>
      <c r="Q63" s="28" t="s">
        <v>103</v>
      </c>
    </row>
    <row r="64" spans="1:17">
      <c r="A64" s="14">
        <v>60</v>
      </c>
      <c r="B64" s="15" t="s">
        <v>104</v>
      </c>
      <c r="C64" s="16">
        <f>'Медикаменты Ноябрь'!L64</f>
        <v>0</v>
      </c>
      <c r="D64" s="17"/>
      <c r="E64" s="14"/>
      <c r="F64" s="18"/>
      <c r="G64" s="19"/>
      <c r="H64" s="20"/>
      <c r="I64" s="21"/>
      <c r="J64" s="14"/>
      <c r="K64" s="14">
        <f t="shared" si="0"/>
        <v>0</v>
      </c>
      <c r="L64" s="16">
        <f t="shared" si="1"/>
        <v>0</v>
      </c>
      <c r="M64" s="22"/>
      <c r="N64" s="44"/>
      <c r="O64" s="23" t="s">
        <v>16</v>
      </c>
      <c r="P64" s="24"/>
      <c r="Q64" s="45"/>
    </row>
    <row r="65" spans="1:17">
      <c r="A65" s="14">
        <v>61</v>
      </c>
      <c r="B65" s="15" t="s">
        <v>104</v>
      </c>
      <c r="C65" s="16">
        <f>'Медикаменты Ноябрь'!L65</f>
        <v>0</v>
      </c>
      <c r="D65" s="17"/>
      <c r="E65" s="14"/>
      <c r="F65" s="18"/>
      <c r="G65" s="19"/>
      <c r="H65" s="20"/>
      <c r="I65" s="21"/>
      <c r="J65" s="14"/>
      <c r="K65" s="14">
        <f t="shared" si="0"/>
        <v>0</v>
      </c>
      <c r="L65" s="16">
        <f t="shared" si="1"/>
        <v>0</v>
      </c>
      <c r="M65" s="22"/>
      <c r="N65" s="44"/>
      <c r="O65" s="23" t="s">
        <v>26</v>
      </c>
      <c r="P65" s="24"/>
      <c r="Q65" s="45"/>
    </row>
    <row r="66" spans="1:17">
      <c r="A66" s="14">
        <v>62</v>
      </c>
      <c r="B66" s="15" t="s">
        <v>624</v>
      </c>
      <c r="C66" s="16">
        <f>'Медикаменты Ноябрь'!L66</f>
        <v>50</v>
      </c>
      <c r="D66" s="17"/>
      <c r="E66" s="14"/>
      <c r="F66" s="18"/>
      <c r="G66" s="19"/>
      <c r="H66" s="20"/>
      <c r="I66" s="21"/>
      <c r="J66" s="14"/>
      <c r="K66" s="14">
        <f t="shared" si="0"/>
        <v>0</v>
      </c>
      <c r="L66" s="16">
        <f t="shared" si="1"/>
        <v>50</v>
      </c>
      <c r="M66" s="22">
        <v>46054</v>
      </c>
      <c r="N66" s="44" t="s">
        <v>551</v>
      </c>
      <c r="O66" s="23" t="s">
        <v>16</v>
      </c>
      <c r="P66" s="24" t="s">
        <v>17</v>
      </c>
      <c r="Q66" s="28" t="s">
        <v>625</v>
      </c>
    </row>
    <row r="67" spans="1:17">
      <c r="A67" s="14">
        <v>63</v>
      </c>
      <c r="B67" s="15" t="s">
        <v>105</v>
      </c>
      <c r="C67" s="16">
        <f>'Медикаменты Ноябрь'!L67</f>
        <v>25</v>
      </c>
      <c r="D67" s="17"/>
      <c r="E67" s="14"/>
      <c r="F67" s="18">
        <f>20+5</f>
        <v>25</v>
      </c>
      <c r="G67" s="19"/>
      <c r="H67" s="20"/>
      <c r="I67" s="21"/>
      <c r="J67" s="14"/>
      <c r="K67" s="14">
        <f t="shared" si="0"/>
        <v>25</v>
      </c>
      <c r="L67" s="16">
        <f t="shared" si="1"/>
        <v>0</v>
      </c>
      <c r="M67" s="22">
        <v>45017</v>
      </c>
      <c r="N67" s="44" t="s">
        <v>551</v>
      </c>
      <c r="O67" s="23" t="s">
        <v>16</v>
      </c>
      <c r="P67" s="24" t="s">
        <v>17</v>
      </c>
      <c r="Q67" s="28" t="s">
        <v>106</v>
      </c>
    </row>
    <row r="68" spans="1:17">
      <c r="A68" s="14">
        <v>64</v>
      </c>
      <c r="B68" s="15" t="s">
        <v>105</v>
      </c>
      <c r="C68" s="16">
        <f>'Медикаменты Ноябрь'!L68</f>
        <v>0</v>
      </c>
      <c r="D68" s="17"/>
      <c r="E68" s="14"/>
      <c r="F68" s="18"/>
      <c r="G68" s="19"/>
      <c r="H68" s="20"/>
      <c r="I68" s="21"/>
      <c r="J68" s="14"/>
      <c r="K68" s="14">
        <f t="shared" si="0"/>
        <v>0</v>
      </c>
      <c r="L68" s="16">
        <f t="shared" si="1"/>
        <v>0</v>
      </c>
      <c r="M68" s="22">
        <v>44531</v>
      </c>
      <c r="N68" s="44" t="s">
        <v>45</v>
      </c>
      <c r="O68" s="23" t="s">
        <v>16</v>
      </c>
      <c r="P68" s="24" t="s">
        <v>17</v>
      </c>
      <c r="Q68" s="28" t="s">
        <v>106</v>
      </c>
    </row>
    <row r="69" spans="1:17">
      <c r="A69" s="14">
        <v>65</v>
      </c>
      <c r="B69" s="15" t="s">
        <v>107</v>
      </c>
      <c r="C69" s="16">
        <f>'Медикаменты Ноябрь'!L69</f>
        <v>73</v>
      </c>
      <c r="D69" s="17"/>
      <c r="E69" s="14"/>
      <c r="F69" s="18">
        <f>5</f>
        <v>5</v>
      </c>
      <c r="G69" s="19"/>
      <c r="H69" s="20"/>
      <c r="I69" s="21"/>
      <c r="J69" s="14"/>
      <c r="K69" s="14">
        <f t="shared" ref="K69:K132" si="2">SUM(F69:J69)</f>
        <v>5</v>
      </c>
      <c r="L69" s="16">
        <f t="shared" ref="L69:L132" si="3">(C69+E69)-K69</f>
        <v>68</v>
      </c>
      <c r="M69" s="22">
        <v>45077</v>
      </c>
      <c r="N69" s="44" t="s">
        <v>551</v>
      </c>
      <c r="O69" s="23" t="s">
        <v>16</v>
      </c>
      <c r="P69" s="24" t="s">
        <v>17</v>
      </c>
      <c r="Q69" s="28" t="s">
        <v>108</v>
      </c>
    </row>
    <row r="70" spans="1:17">
      <c r="A70" s="14">
        <v>66</v>
      </c>
      <c r="B70" s="15" t="s">
        <v>109</v>
      </c>
      <c r="C70" s="16">
        <f>'Медикаменты Ноябрь'!L70</f>
        <v>0</v>
      </c>
      <c r="D70" s="17"/>
      <c r="E70" s="14"/>
      <c r="F70" s="18"/>
      <c r="G70" s="19"/>
      <c r="H70" s="20"/>
      <c r="I70" s="21"/>
      <c r="J70" s="14"/>
      <c r="K70" s="14">
        <f t="shared" si="2"/>
        <v>0</v>
      </c>
      <c r="L70" s="16">
        <f t="shared" si="3"/>
        <v>0</v>
      </c>
      <c r="M70" s="22"/>
      <c r="N70" s="44"/>
      <c r="O70" s="23" t="s">
        <v>16</v>
      </c>
      <c r="P70" s="24"/>
      <c r="Q70" s="45"/>
    </row>
    <row r="71" spans="1:17">
      <c r="A71" s="14">
        <v>67</v>
      </c>
      <c r="B71" s="15" t="s">
        <v>110</v>
      </c>
      <c r="C71" s="16">
        <f>'Медикаменты Ноябрь'!L71</f>
        <v>0</v>
      </c>
      <c r="D71" s="17"/>
      <c r="E71" s="14"/>
      <c r="F71" s="18"/>
      <c r="G71" s="19"/>
      <c r="H71" s="20"/>
      <c r="I71" s="21"/>
      <c r="J71" s="14"/>
      <c r="K71" s="14">
        <f t="shared" si="2"/>
        <v>0</v>
      </c>
      <c r="L71" s="16">
        <f t="shared" si="3"/>
        <v>0</v>
      </c>
      <c r="M71" s="22">
        <v>44682</v>
      </c>
      <c r="N71" s="44"/>
      <c r="O71" s="23" t="s">
        <v>16</v>
      </c>
      <c r="P71" s="24"/>
      <c r="Q71" s="45"/>
    </row>
    <row r="72" spans="1:17">
      <c r="A72" s="14">
        <v>68</v>
      </c>
      <c r="B72" s="15" t="s">
        <v>111</v>
      </c>
      <c r="C72" s="16">
        <f>'Медикаменты Ноябрь'!L72</f>
        <v>0</v>
      </c>
      <c r="D72" s="17"/>
      <c r="E72" s="14"/>
      <c r="F72" s="18"/>
      <c r="G72" s="19"/>
      <c r="H72" s="20"/>
      <c r="I72" s="21"/>
      <c r="J72" s="14"/>
      <c r="K72" s="14">
        <f t="shared" si="2"/>
        <v>0</v>
      </c>
      <c r="L72" s="16">
        <f t="shared" si="3"/>
        <v>0</v>
      </c>
      <c r="M72" s="22">
        <v>44958</v>
      </c>
      <c r="N72" s="44" t="s">
        <v>45</v>
      </c>
      <c r="O72" s="23" t="s">
        <v>16</v>
      </c>
      <c r="P72" s="24" t="s">
        <v>17</v>
      </c>
      <c r="Q72" s="28" t="s">
        <v>112</v>
      </c>
    </row>
    <row r="73" spans="1:17">
      <c r="A73" s="14">
        <v>69</v>
      </c>
      <c r="B73" s="15" t="s">
        <v>111</v>
      </c>
      <c r="C73" s="16">
        <f>'Медикаменты Ноябрь'!L73</f>
        <v>267</v>
      </c>
      <c r="D73" s="17"/>
      <c r="E73" s="14"/>
      <c r="F73" s="18">
        <f>20</f>
        <v>20</v>
      </c>
      <c r="G73" s="19"/>
      <c r="H73" s="20"/>
      <c r="I73" s="21"/>
      <c r="J73" s="14"/>
      <c r="K73" s="14">
        <f t="shared" si="2"/>
        <v>20</v>
      </c>
      <c r="L73" s="16">
        <f t="shared" si="3"/>
        <v>247</v>
      </c>
      <c r="M73" s="22">
        <v>45323</v>
      </c>
      <c r="N73" s="44" t="s">
        <v>551</v>
      </c>
      <c r="O73" s="23" t="s">
        <v>16</v>
      </c>
      <c r="P73" s="24" t="s">
        <v>17</v>
      </c>
      <c r="Q73" s="28" t="s">
        <v>112</v>
      </c>
    </row>
    <row r="74" spans="1:17">
      <c r="A74" s="14">
        <v>70</v>
      </c>
      <c r="B74" s="15" t="s">
        <v>113</v>
      </c>
      <c r="C74" s="16">
        <f>'Медикаменты Ноябрь'!L74</f>
        <v>85</v>
      </c>
      <c r="D74" s="17"/>
      <c r="E74" s="14"/>
      <c r="F74" s="18"/>
      <c r="G74" s="19">
        <f>40</f>
        <v>40</v>
      </c>
      <c r="H74" s="20"/>
      <c r="I74" s="21"/>
      <c r="J74" s="14"/>
      <c r="K74" s="14">
        <f t="shared" si="2"/>
        <v>40</v>
      </c>
      <c r="L74" s="16">
        <f t="shared" si="3"/>
        <v>45</v>
      </c>
      <c r="M74" s="22">
        <v>44986</v>
      </c>
      <c r="N74" s="44" t="s">
        <v>45</v>
      </c>
      <c r="O74" s="23" t="s">
        <v>16</v>
      </c>
      <c r="P74" s="24" t="s">
        <v>17</v>
      </c>
      <c r="Q74" s="28" t="s">
        <v>114</v>
      </c>
    </row>
    <row r="75" spans="1:17">
      <c r="A75" s="14">
        <v>71</v>
      </c>
      <c r="B75" s="15" t="s">
        <v>113</v>
      </c>
      <c r="C75" s="16">
        <f>'Медикаменты Ноябрь'!L75</f>
        <v>0</v>
      </c>
      <c r="D75" s="17"/>
      <c r="E75" s="14"/>
      <c r="F75" s="18"/>
      <c r="G75" s="19"/>
      <c r="H75" s="20"/>
      <c r="I75" s="21"/>
      <c r="J75" s="14"/>
      <c r="K75" s="14">
        <f t="shared" si="2"/>
        <v>0</v>
      </c>
      <c r="L75" s="16">
        <f t="shared" si="3"/>
        <v>0</v>
      </c>
      <c r="M75" s="22">
        <v>44986</v>
      </c>
      <c r="N75" s="44"/>
      <c r="O75" s="23" t="s">
        <v>26</v>
      </c>
      <c r="P75" s="24"/>
      <c r="Q75" s="28" t="s">
        <v>114</v>
      </c>
    </row>
    <row r="76" spans="1:17" ht="26.25">
      <c r="A76" s="14">
        <v>72</v>
      </c>
      <c r="B76" s="15" t="s">
        <v>115</v>
      </c>
      <c r="C76" s="16">
        <f>'Медикаменты Ноябрь'!L76</f>
        <v>5</v>
      </c>
      <c r="D76" s="17"/>
      <c r="E76" s="14"/>
      <c r="F76" s="18"/>
      <c r="G76" s="19"/>
      <c r="H76" s="20"/>
      <c r="I76" s="21"/>
      <c r="J76" s="14"/>
      <c r="K76" s="14">
        <f t="shared" si="2"/>
        <v>0</v>
      </c>
      <c r="L76" s="16">
        <f t="shared" si="3"/>
        <v>5</v>
      </c>
      <c r="M76" s="22">
        <v>46082</v>
      </c>
      <c r="N76" s="44" t="s">
        <v>551</v>
      </c>
      <c r="O76" s="23" t="s">
        <v>16</v>
      </c>
      <c r="P76" s="24" t="s">
        <v>17</v>
      </c>
      <c r="Q76" s="28" t="s">
        <v>116</v>
      </c>
    </row>
    <row r="77" spans="1:17" ht="26.25">
      <c r="A77" s="14">
        <v>73</v>
      </c>
      <c r="B77" s="15" t="s">
        <v>115</v>
      </c>
      <c r="C77" s="16">
        <f>'Медикаменты Ноябрь'!L77</f>
        <v>0</v>
      </c>
      <c r="D77" s="17"/>
      <c r="E77" s="14"/>
      <c r="F77" s="18"/>
      <c r="G77" s="19"/>
      <c r="H77" s="20"/>
      <c r="I77" s="21"/>
      <c r="J77" s="14"/>
      <c r="K77" s="14">
        <f t="shared" si="2"/>
        <v>0</v>
      </c>
      <c r="L77" s="16">
        <f t="shared" si="3"/>
        <v>0</v>
      </c>
      <c r="M77" s="22">
        <v>45901</v>
      </c>
      <c r="N77" s="44" t="s">
        <v>551</v>
      </c>
      <c r="O77" s="23" t="s">
        <v>26</v>
      </c>
      <c r="P77" s="24" t="s">
        <v>17</v>
      </c>
      <c r="Q77" s="28" t="s">
        <v>116</v>
      </c>
    </row>
    <row r="78" spans="1:17">
      <c r="A78" s="14">
        <v>74</v>
      </c>
      <c r="B78" s="15" t="s">
        <v>117</v>
      </c>
      <c r="C78" s="16">
        <f>'Медикаменты Ноябрь'!L78</f>
        <v>200</v>
      </c>
      <c r="D78" s="17"/>
      <c r="E78" s="14"/>
      <c r="F78" s="18"/>
      <c r="G78" s="19"/>
      <c r="H78" s="20"/>
      <c r="I78" s="21"/>
      <c r="J78" s="14"/>
      <c r="K78" s="14">
        <f t="shared" si="2"/>
        <v>0</v>
      </c>
      <c r="L78" s="16">
        <f t="shared" si="3"/>
        <v>200</v>
      </c>
      <c r="M78" s="22">
        <v>45046</v>
      </c>
      <c r="N78" s="44" t="s">
        <v>551</v>
      </c>
      <c r="O78" s="23" t="s">
        <v>16</v>
      </c>
      <c r="P78" s="24" t="s">
        <v>17</v>
      </c>
      <c r="Q78" s="28" t="s">
        <v>118</v>
      </c>
    </row>
    <row r="79" spans="1:17">
      <c r="A79" s="14">
        <v>75</v>
      </c>
      <c r="B79" s="15" t="s">
        <v>117</v>
      </c>
      <c r="C79" s="16">
        <f>'Медикаменты Ноябрь'!L79</f>
        <v>95</v>
      </c>
      <c r="D79" s="17"/>
      <c r="E79" s="14"/>
      <c r="F79" s="18">
        <f>15+7</f>
        <v>22</v>
      </c>
      <c r="G79" s="19"/>
      <c r="H79" s="20"/>
      <c r="I79" s="21"/>
      <c r="J79" s="14"/>
      <c r="K79" s="14">
        <f t="shared" si="2"/>
        <v>22</v>
      </c>
      <c r="L79" s="16">
        <f t="shared" si="3"/>
        <v>73</v>
      </c>
      <c r="M79" s="22">
        <v>44682</v>
      </c>
      <c r="N79" s="44" t="s">
        <v>45</v>
      </c>
      <c r="O79" s="23" t="s">
        <v>16</v>
      </c>
      <c r="P79" s="24" t="s">
        <v>17</v>
      </c>
      <c r="Q79" s="28" t="s">
        <v>118</v>
      </c>
    </row>
    <row r="80" spans="1:17">
      <c r="A80" s="14">
        <v>76</v>
      </c>
      <c r="B80" s="15" t="s">
        <v>117</v>
      </c>
      <c r="C80" s="16">
        <f>'Медикаменты Ноябрь'!L80</f>
        <v>0</v>
      </c>
      <c r="D80" s="17"/>
      <c r="E80" s="14"/>
      <c r="F80" s="18"/>
      <c r="G80" s="19"/>
      <c r="H80" s="20"/>
      <c r="I80" s="21"/>
      <c r="J80" s="14"/>
      <c r="K80" s="14">
        <f t="shared" si="2"/>
        <v>0</v>
      </c>
      <c r="L80" s="16">
        <f t="shared" si="3"/>
        <v>0</v>
      </c>
      <c r="M80" s="22">
        <v>45017</v>
      </c>
      <c r="N80" s="44" t="s">
        <v>551</v>
      </c>
      <c r="O80" s="23" t="s">
        <v>26</v>
      </c>
      <c r="P80" s="24" t="s">
        <v>17</v>
      </c>
      <c r="Q80" s="28" t="s">
        <v>118</v>
      </c>
    </row>
    <row r="81" spans="1:17">
      <c r="A81" s="14">
        <v>77</v>
      </c>
      <c r="B81" s="15" t="s">
        <v>119</v>
      </c>
      <c r="C81" s="16">
        <f>'Медикаменты Ноябрь'!L81</f>
        <v>0</v>
      </c>
      <c r="D81" s="17"/>
      <c r="E81" s="14"/>
      <c r="F81" s="18"/>
      <c r="G81" s="19"/>
      <c r="H81" s="20"/>
      <c r="I81" s="21"/>
      <c r="J81" s="14"/>
      <c r="K81" s="14">
        <f t="shared" si="2"/>
        <v>0</v>
      </c>
      <c r="L81" s="16">
        <f t="shared" si="3"/>
        <v>0</v>
      </c>
      <c r="M81" s="22"/>
      <c r="N81" s="44"/>
      <c r="O81" s="23" t="s">
        <v>16</v>
      </c>
      <c r="P81" s="24"/>
      <c r="Q81" s="45"/>
    </row>
    <row r="82" spans="1:17">
      <c r="A82" s="14">
        <v>78</v>
      </c>
      <c r="B82" s="15" t="s">
        <v>120</v>
      </c>
      <c r="C82" s="16">
        <f>'Медикаменты Ноябрь'!L82</f>
        <v>0</v>
      </c>
      <c r="D82" s="17"/>
      <c r="E82" s="14"/>
      <c r="F82" s="18"/>
      <c r="G82" s="19"/>
      <c r="H82" s="20"/>
      <c r="I82" s="21"/>
      <c r="J82" s="14"/>
      <c r="K82" s="14">
        <f t="shared" si="2"/>
        <v>0</v>
      </c>
      <c r="L82" s="16">
        <f t="shared" si="3"/>
        <v>0</v>
      </c>
      <c r="M82" s="22">
        <v>45444</v>
      </c>
      <c r="N82" s="44"/>
      <c r="O82" s="23" t="s">
        <v>26</v>
      </c>
      <c r="P82" s="24"/>
      <c r="Q82" s="28" t="s">
        <v>121</v>
      </c>
    </row>
    <row r="83" spans="1:17">
      <c r="A83" s="14">
        <v>79</v>
      </c>
      <c r="B83" s="29" t="s">
        <v>122</v>
      </c>
      <c r="C83" s="16">
        <f>'Медикаменты Ноябрь'!L83</f>
        <v>0</v>
      </c>
      <c r="D83" s="17"/>
      <c r="E83" s="14"/>
      <c r="F83" s="18"/>
      <c r="G83" s="19"/>
      <c r="H83" s="20"/>
      <c r="I83" s="21"/>
      <c r="J83" s="14"/>
      <c r="K83" s="14">
        <f t="shared" si="2"/>
        <v>0</v>
      </c>
      <c r="L83" s="16">
        <f t="shared" si="3"/>
        <v>0</v>
      </c>
      <c r="M83" s="22">
        <v>44986</v>
      </c>
      <c r="N83" s="44" t="s">
        <v>45</v>
      </c>
      <c r="O83" s="23" t="s">
        <v>16</v>
      </c>
      <c r="P83" s="24" t="s">
        <v>17</v>
      </c>
      <c r="Q83" s="28" t="s">
        <v>123</v>
      </c>
    </row>
    <row r="84" spans="1:17">
      <c r="A84" s="14">
        <v>80</v>
      </c>
      <c r="B84" s="15" t="s">
        <v>124</v>
      </c>
      <c r="C84" s="16">
        <f>'Медикаменты Ноябрь'!L84</f>
        <v>0</v>
      </c>
      <c r="D84" s="17"/>
      <c r="E84" s="14"/>
      <c r="F84" s="18"/>
      <c r="G84" s="19"/>
      <c r="H84" s="20"/>
      <c r="I84" s="21"/>
      <c r="J84" s="14"/>
      <c r="K84" s="14">
        <f t="shared" si="2"/>
        <v>0</v>
      </c>
      <c r="L84" s="16">
        <f t="shared" si="3"/>
        <v>0</v>
      </c>
      <c r="M84" s="22"/>
      <c r="N84" s="44"/>
      <c r="O84" s="23" t="s">
        <v>16</v>
      </c>
      <c r="P84" s="24"/>
      <c r="Q84" s="45"/>
    </row>
    <row r="85" spans="1:17">
      <c r="A85" s="14">
        <v>81</v>
      </c>
      <c r="B85" s="15" t="s">
        <v>125</v>
      </c>
      <c r="C85" s="16">
        <f>'Медикаменты Ноябрь'!L85</f>
        <v>0</v>
      </c>
      <c r="D85" s="17"/>
      <c r="E85" s="14"/>
      <c r="F85" s="18"/>
      <c r="G85" s="19"/>
      <c r="H85" s="20"/>
      <c r="I85" s="21"/>
      <c r="J85" s="14"/>
      <c r="K85" s="14">
        <f t="shared" si="2"/>
        <v>0</v>
      </c>
      <c r="L85" s="16">
        <f t="shared" si="3"/>
        <v>0</v>
      </c>
      <c r="M85" s="22">
        <v>44531</v>
      </c>
      <c r="N85" s="44" t="s">
        <v>45</v>
      </c>
      <c r="O85" s="23" t="s">
        <v>16</v>
      </c>
      <c r="P85" s="24" t="s">
        <v>17</v>
      </c>
      <c r="Q85" s="28" t="s">
        <v>126</v>
      </c>
    </row>
    <row r="86" spans="1:17">
      <c r="A86" s="14">
        <v>82</v>
      </c>
      <c r="B86" s="15" t="s">
        <v>127</v>
      </c>
      <c r="C86" s="16">
        <f>'Медикаменты Ноябрь'!L86</f>
        <v>0</v>
      </c>
      <c r="D86" s="17"/>
      <c r="E86" s="14"/>
      <c r="F86" s="18"/>
      <c r="G86" s="19"/>
      <c r="H86" s="20"/>
      <c r="I86" s="21"/>
      <c r="J86" s="14"/>
      <c r="K86" s="14">
        <f t="shared" si="2"/>
        <v>0</v>
      </c>
      <c r="L86" s="16">
        <f t="shared" si="3"/>
        <v>0</v>
      </c>
      <c r="M86" s="22">
        <v>44501</v>
      </c>
      <c r="N86" s="44" t="s">
        <v>45</v>
      </c>
      <c r="O86" s="23" t="s">
        <v>16</v>
      </c>
      <c r="P86" s="24" t="s">
        <v>45</v>
      </c>
      <c r="Q86" s="28" t="s">
        <v>128</v>
      </c>
    </row>
    <row r="87" spans="1:17" ht="25.5">
      <c r="A87" s="14">
        <v>83</v>
      </c>
      <c r="B87" s="15" t="s">
        <v>129</v>
      </c>
      <c r="C87" s="16">
        <f>'Медикаменты Ноябрь'!L87</f>
        <v>0</v>
      </c>
      <c r="D87" s="17"/>
      <c r="E87" s="14"/>
      <c r="F87" s="18"/>
      <c r="G87" s="19"/>
      <c r="H87" s="20"/>
      <c r="I87" s="21"/>
      <c r="J87" s="14"/>
      <c r="K87" s="14">
        <f t="shared" si="2"/>
        <v>0</v>
      </c>
      <c r="L87" s="16">
        <f t="shared" si="3"/>
        <v>0</v>
      </c>
      <c r="M87" s="22">
        <v>44713</v>
      </c>
      <c r="N87" s="44" t="s">
        <v>45</v>
      </c>
      <c r="O87" s="23" t="s">
        <v>16</v>
      </c>
      <c r="P87" s="24" t="s">
        <v>17</v>
      </c>
      <c r="Q87" s="28" t="s">
        <v>130</v>
      </c>
    </row>
    <row r="88" spans="1:17" ht="25.5">
      <c r="A88" s="14">
        <v>84</v>
      </c>
      <c r="B88" s="15" t="s">
        <v>129</v>
      </c>
      <c r="C88" s="16">
        <f>'Медикаменты Ноябрь'!L88</f>
        <v>0</v>
      </c>
      <c r="D88" s="17"/>
      <c r="E88" s="14"/>
      <c r="F88" s="18"/>
      <c r="G88" s="19"/>
      <c r="H88" s="20"/>
      <c r="I88" s="21"/>
      <c r="J88" s="14"/>
      <c r="K88" s="14">
        <f t="shared" si="2"/>
        <v>0</v>
      </c>
      <c r="L88" s="16">
        <f t="shared" si="3"/>
        <v>0</v>
      </c>
      <c r="M88" s="22">
        <v>44713</v>
      </c>
      <c r="N88" s="44"/>
      <c r="O88" s="23" t="s">
        <v>26</v>
      </c>
      <c r="P88" s="24"/>
      <c r="Q88" s="28" t="s">
        <v>130</v>
      </c>
    </row>
    <row r="89" spans="1:17" ht="25.5">
      <c r="A89" s="14">
        <v>85</v>
      </c>
      <c r="B89" s="15" t="s">
        <v>131</v>
      </c>
      <c r="C89" s="16">
        <f>'Медикаменты Ноябрь'!L89</f>
        <v>0</v>
      </c>
      <c r="D89" s="17"/>
      <c r="E89" s="14"/>
      <c r="F89" s="18"/>
      <c r="G89" s="19"/>
      <c r="H89" s="20"/>
      <c r="I89" s="21"/>
      <c r="J89" s="14"/>
      <c r="K89" s="14">
        <f t="shared" si="2"/>
        <v>0</v>
      </c>
      <c r="L89" s="16">
        <f t="shared" si="3"/>
        <v>0</v>
      </c>
      <c r="M89" s="22"/>
      <c r="N89" s="44"/>
      <c r="O89" s="23" t="s">
        <v>16</v>
      </c>
      <c r="P89" s="24"/>
      <c r="Q89" s="45"/>
    </row>
    <row r="90" spans="1:17">
      <c r="A90" s="14">
        <v>86</v>
      </c>
      <c r="B90" s="15" t="s">
        <v>626</v>
      </c>
      <c r="C90" s="16">
        <f>'Медикаменты Ноябрь'!L90</f>
        <v>211</v>
      </c>
      <c r="D90" s="17"/>
      <c r="E90" s="14"/>
      <c r="F90" s="18">
        <f>10+10</f>
        <v>20</v>
      </c>
      <c r="G90" s="19"/>
      <c r="H90" s="20"/>
      <c r="I90" s="21"/>
      <c r="J90" s="14"/>
      <c r="K90" s="14">
        <f t="shared" si="2"/>
        <v>20</v>
      </c>
      <c r="L90" s="16">
        <f t="shared" si="3"/>
        <v>191</v>
      </c>
      <c r="M90" s="22">
        <v>45017</v>
      </c>
      <c r="N90" s="44" t="s">
        <v>551</v>
      </c>
      <c r="O90" s="23" t="s">
        <v>16</v>
      </c>
      <c r="P90" s="24" t="s">
        <v>17</v>
      </c>
      <c r="Q90" s="28" t="s">
        <v>133</v>
      </c>
    </row>
    <row r="91" spans="1:17">
      <c r="A91" s="14">
        <v>87</v>
      </c>
      <c r="B91" s="15" t="s">
        <v>626</v>
      </c>
      <c r="C91" s="16">
        <f>'Медикаменты Ноябрь'!L91</f>
        <v>0</v>
      </c>
      <c r="D91" s="17"/>
      <c r="E91" s="14"/>
      <c r="F91" s="18"/>
      <c r="G91" s="19"/>
      <c r="H91" s="20"/>
      <c r="I91" s="21"/>
      <c r="J91" s="14"/>
      <c r="K91" s="14">
        <f t="shared" si="2"/>
        <v>0</v>
      </c>
      <c r="L91" s="16">
        <f t="shared" si="3"/>
        <v>0</v>
      </c>
      <c r="M91" s="22">
        <v>45017</v>
      </c>
      <c r="N91" s="44" t="s">
        <v>551</v>
      </c>
      <c r="O91" s="23" t="s">
        <v>26</v>
      </c>
      <c r="P91" s="24" t="s">
        <v>17</v>
      </c>
      <c r="Q91" s="28" t="s">
        <v>133</v>
      </c>
    </row>
    <row r="92" spans="1:17">
      <c r="A92" s="14">
        <v>88</v>
      </c>
      <c r="B92" s="15" t="s">
        <v>134</v>
      </c>
      <c r="C92" s="16">
        <f>'Медикаменты Ноябрь'!L92</f>
        <v>0</v>
      </c>
      <c r="D92" s="17"/>
      <c r="E92" s="14"/>
      <c r="F92" s="18"/>
      <c r="G92" s="19"/>
      <c r="H92" s="20"/>
      <c r="I92" s="21"/>
      <c r="J92" s="14"/>
      <c r="K92" s="14">
        <f t="shared" si="2"/>
        <v>0</v>
      </c>
      <c r="L92" s="16">
        <f t="shared" si="3"/>
        <v>0</v>
      </c>
      <c r="M92" s="22">
        <v>44228</v>
      </c>
      <c r="N92" s="44"/>
      <c r="O92" s="23" t="s">
        <v>16</v>
      </c>
      <c r="P92" s="24" t="s">
        <v>17</v>
      </c>
      <c r="Q92" s="28" t="s">
        <v>135</v>
      </c>
    </row>
    <row r="93" spans="1:17">
      <c r="A93" s="14">
        <v>89</v>
      </c>
      <c r="B93" s="15" t="s">
        <v>136</v>
      </c>
      <c r="C93" s="16">
        <f>'Медикаменты Ноябрь'!L93</f>
        <v>0</v>
      </c>
      <c r="D93" s="17"/>
      <c r="E93" s="14"/>
      <c r="F93" s="18"/>
      <c r="G93" s="19"/>
      <c r="H93" s="20"/>
      <c r="I93" s="21"/>
      <c r="J93" s="14"/>
      <c r="K93" s="14">
        <f t="shared" si="2"/>
        <v>0</v>
      </c>
      <c r="L93" s="16">
        <f t="shared" si="3"/>
        <v>0</v>
      </c>
      <c r="M93" s="22">
        <v>45778</v>
      </c>
      <c r="N93" s="44" t="s">
        <v>45</v>
      </c>
      <c r="O93" s="23" t="s">
        <v>16</v>
      </c>
      <c r="P93" s="24" t="s">
        <v>17</v>
      </c>
      <c r="Q93" s="28" t="s">
        <v>137</v>
      </c>
    </row>
    <row r="94" spans="1:17">
      <c r="A94" s="14">
        <v>90</v>
      </c>
      <c r="B94" s="15" t="s">
        <v>138</v>
      </c>
      <c r="C94" s="16">
        <f>'Медикаменты Ноябрь'!L94</f>
        <v>75</v>
      </c>
      <c r="D94" s="30"/>
      <c r="E94" s="14"/>
      <c r="F94" s="18">
        <f>3</f>
        <v>3</v>
      </c>
      <c r="G94" s="19"/>
      <c r="H94" s="20"/>
      <c r="I94" s="21"/>
      <c r="J94" s="14"/>
      <c r="K94" s="14">
        <f t="shared" si="2"/>
        <v>3</v>
      </c>
      <c r="L94" s="16">
        <f t="shared" si="3"/>
        <v>72</v>
      </c>
      <c r="M94" s="22">
        <v>44927</v>
      </c>
      <c r="N94" s="44" t="s">
        <v>551</v>
      </c>
      <c r="O94" s="23" t="s">
        <v>16</v>
      </c>
      <c r="P94" s="24" t="s">
        <v>17</v>
      </c>
      <c r="Q94" s="28" t="s">
        <v>568</v>
      </c>
    </row>
    <row r="95" spans="1:17">
      <c r="A95" s="14">
        <v>91</v>
      </c>
      <c r="B95" s="15" t="s">
        <v>138</v>
      </c>
      <c r="C95" s="16">
        <f>'Медикаменты Ноябрь'!L95</f>
        <v>0</v>
      </c>
      <c r="D95" s="30"/>
      <c r="E95" s="14"/>
      <c r="F95" s="18"/>
      <c r="G95" s="19"/>
      <c r="H95" s="20"/>
      <c r="I95" s="21"/>
      <c r="J95" s="14"/>
      <c r="K95" s="14">
        <f t="shared" si="2"/>
        <v>0</v>
      </c>
      <c r="L95" s="16">
        <f t="shared" si="3"/>
        <v>0</v>
      </c>
      <c r="M95" s="22">
        <v>44927</v>
      </c>
      <c r="N95" s="44" t="s">
        <v>551</v>
      </c>
      <c r="O95" s="23" t="s">
        <v>26</v>
      </c>
      <c r="P95" s="24" t="s">
        <v>17</v>
      </c>
      <c r="Q95" s="28" t="s">
        <v>568</v>
      </c>
    </row>
    <row r="96" spans="1:17">
      <c r="A96" s="14">
        <v>92</v>
      </c>
      <c r="B96" s="15" t="s">
        <v>569</v>
      </c>
      <c r="C96" s="16">
        <f>'Медикаменты Ноябрь'!L96</f>
        <v>0</v>
      </c>
      <c r="D96" s="17"/>
      <c r="E96" s="14"/>
      <c r="F96" s="18"/>
      <c r="G96" s="19"/>
      <c r="H96" s="20"/>
      <c r="I96" s="21"/>
      <c r="J96" s="14"/>
      <c r="K96" s="14">
        <f t="shared" si="2"/>
        <v>0</v>
      </c>
      <c r="L96" s="16">
        <f t="shared" si="3"/>
        <v>0</v>
      </c>
      <c r="M96" s="22">
        <v>45108</v>
      </c>
      <c r="N96" s="44" t="s">
        <v>551</v>
      </c>
      <c r="O96" s="23" t="s">
        <v>16</v>
      </c>
      <c r="P96" s="24" t="s">
        <v>17</v>
      </c>
      <c r="Q96" s="28" t="s">
        <v>585</v>
      </c>
    </row>
    <row r="97" spans="1:17">
      <c r="A97" s="14">
        <v>93</v>
      </c>
      <c r="B97" s="15" t="s">
        <v>569</v>
      </c>
      <c r="C97" s="16">
        <f>'Медикаменты Ноябрь'!L97</f>
        <v>0</v>
      </c>
      <c r="D97" s="17"/>
      <c r="E97" s="14"/>
      <c r="F97" s="18"/>
      <c r="G97" s="19"/>
      <c r="H97" s="20"/>
      <c r="I97" s="21"/>
      <c r="J97" s="14"/>
      <c r="K97" s="14">
        <f t="shared" si="2"/>
        <v>0</v>
      </c>
      <c r="L97" s="16">
        <f t="shared" si="3"/>
        <v>0</v>
      </c>
      <c r="M97" s="22">
        <v>45108</v>
      </c>
      <c r="N97" s="44" t="s">
        <v>551</v>
      </c>
      <c r="O97" s="23" t="s">
        <v>26</v>
      </c>
      <c r="P97" s="24" t="s">
        <v>17</v>
      </c>
      <c r="Q97" s="28" t="s">
        <v>585</v>
      </c>
    </row>
    <row r="98" spans="1:17">
      <c r="A98" s="14">
        <v>94</v>
      </c>
      <c r="B98" s="15" t="s">
        <v>140</v>
      </c>
      <c r="C98" s="16">
        <f>'Медикаменты Ноябрь'!L98</f>
        <v>0</v>
      </c>
      <c r="D98" s="17"/>
      <c r="E98" s="14"/>
      <c r="F98" s="18"/>
      <c r="G98" s="19"/>
      <c r="H98" s="20"/>
      <c r="I98" s="21"/>
      <c r="J98" s="14"/>
      <c r="K98" s="14">
        <f t="shared" si="2"/>
        <v>0</v>
      </c>
      <c r="L98" s="16">
        <f t="shared" si="3"/>
        <v>0</v>
      </c>
      <c r="M98" s="22">
        <v>44682</v>
      </c>
      <c r="N98" s="44" t="s">
        <v>45</v>
      </c>
      <c r="O98" s="23" t="s">
        <v>16</v>
      </c>
      <c r="P98" s="24" t="s">
        <v>45</v>
      </c>
      <c r="Q98" s="28" t="s">
        <v>141</v>
      </c>
    </row>
    <row r="99" spans="1:17">
      <c r="A99" s="14">
        <v>95</v>
      </c>
      <c r="B99" s="15" t="s">
        <v>142</v>
      </c>
      <c r="C99" s="16">
        <f>'Медикаменты Ноябрь'!L99</f>
        <v>0</v>
      </c>
      <c r="D99" s="17"/>
      <c r="E99" s="14"/>
      <c r="F99" s="18"/>
      <c r="G99" s="19"/>
      <c r="H99" s="20"/>
      <c r="I99" s="21"/>
      <c r="J99" s="14"/>
      <c r="K99" s="14">
        <f t="shared" si="2"/>
        <v>0</v>
      </c>
      <c r="L99" s="16">
        <f t="shared" si="3"/>
        <v>0</v>
      </c>
      <c r="M99" s="22">
        <v>45352</v>
      </c>
      <c r="N99" s="44"/>
      <c r="O99" s="23" t="s">
        <v>16</v>
      </c>
      <c r="P99" s="24"/>
      <c r="Q99" s="28" t="s">
        <v>143</v>
      </c>
    </row>
    <row r="100" spans="1:17">
      <c r="A100" s="14">
        <v>96</v>
      </c>
      <c r="B100" s="15" t="s">
        <v>144</v>
      </c>
      <c r="C100" s="16">
        <f>'Медикаменты Ноябрь'!L100</f>
        <v>0</v>
      </c>
      <c r="D100" s="17"/>
      <c r="E100" s="14"/>
      <c r="F100" s="18"/>
      <c r="G100" s="19"/>
      <c r="H100" s="20"/>
      <c r="I100" s="21"/>
      <c r="J100" s="14"/>
      <c r="K100" s="14">
        <f t="shared" si="2"/>
        <v>0</v>
      </c>
      <c r="L100" s="16">
        <f t="shared" si="3"/>
        <v>0</v>
      </c>
      <c r="M100" s="22">
        <v>44228</v>
      </c>
      <c r="N100" s="44"/>
      <c r="O100" s="23" t="s">
        <v>16</v>
      </c>
      <c r="P100" s="24"/>
      <c r="Q100" s="28" t="s">
        <v>145</v>
      </c>
    </row>
    <row r="101" spans="1:17">
      <c r="A101" s="14">
        <v>97</v>
      </c>
      <c r="B101" s="15" t="s">
        <v>146</v>
      </c>
      <c r="C101" s="16">
        <f>'Медикаменты Ноябрь'!L101</f>
        <v>0</v>
      </c>
      <c r="D101" s="17"/>
      <c r="E101" s="14"/>
      <c r="F101" s="18"/>
      <c r="G101" s="19"/>
      <c r="H101" s="20"/>
      <c r="I101" s="21"/>
      <c r="J101" s="14"/>
      <c r="K101" s="14">
        <f t="shared" si="2"/>
        <v>0</v>
      </c>
      <c r="L101" s="16">
        <f t="shared" si="3"/>
        <v>0</v>
      </c>
      <c r="M101" s="22">
        <v>45474</v>
      </c>
      <c r="N101" s="44"/>
      <c r="O101" s="23" t="s">
        <v>16</v>
      </c>
      <c r="P101" s="24" t="s">
        <v>45</v>
      </c>
      <c r="Q101" s="28" t="s">
        <v>147</v>
      </c>
    </row>
    <row r="102" spans="1:17">
      <c r="A102" s="14">
        <v>98</v>
      </c>
      <c r="B102" s="15" t="s">
        <v>148</v>
      </c>
      <c r="C102" s="16">
        <f>'Медикаменты Ноябрь'!L102</f>
        <v>0</v>
      </c>
      <c r="D102" s="17"/>
      <c r="E102" s="14"/>
      <c r="F102" s="18"/>
      <c r="G102" s="19"/>
      <c r="H102" s="20"/>
      <c r="I102" s="21"/>
      <c r="J102" s="14"/>
      <c r="K102" s="14">
        <f t="shared" si="2"/>
        <v>0</v>
      </c>
      <c r="L102" s="16">
        <f t="shared" si="3"/>
        <v>0</v>
      </c>
      <c r="M102" s="22"/>
      <c r="N102" s="44"/>
      <c r="O102" s="23" t="s">
        <v>16</v>
      </c>
      <c r="P102" s="24"/>
      <c r="Q102" s="45"/>
    </row>
    <row r="103" spans="1:17">
      <c r="A103" s="14">
        <v>99</v>
      </c>
      <c r="B103" s="15" t="s">
        <v>149</v>
      </c>
      <c r="C103" s="16">
        <f>'Медикаменты Ноябрь'!L103</f>
        <v>0</v>
      </c>
      <c r="D103" s="17"/>
      <c r="E103" s="14"/>
      <c r="F103" s="18"/>
      <c r="G103" s="19"/>
      <c r="H103" s="20"/>
      <c r="I103" s="21"/>
      <c r="J103" s="14"/>
      <c r="K103" s="14">
        <f t="shared" si="2"/>
        <v>0</v>
      </c>
      <c r="L103" s="16">
        <f t="shared" si="3"/>
        <v>0</v>
      </c>
      <c r="M103" s="22">
        <v>44348</v>
      </c>
      <c r="N103" s="44"/>
      <c r="O103" s="23" t="s">
        <v>16</v>
      </c>
      <c r="P103" s="24"/>
      <c r="Q103" s="28" t="s">
        <v>150</v>
      </c>
    </row>
    <row r="104" spans="1:17">
      <c r="A104" s="14">
        <v>100</v>
      </c>
      <c r="B104" s="15" t="s">
        <v>151</v>
      </c>
      <c r="C104" s="16">
        <f>'Медикаменты Ноябрь'!L104</f>
        <v>0</v>
      </c>
      <c r="D104" s="17"/>
      <c r="E104" s="14"/>
      <c r="F104" s="18"/>
      <c r="G104" s="19"/>
      <c r="H104" s="20"/>
      <c r="I104" s="21"/>
      <c r="J104" s="14"/>
      <c r="K104" s="14">
        <f t="shared" si="2"/>
        <v>0</v>
      </c>
      <c r="L104" s="16">
        <f t="shared" si="3"/>
        <v>0</v>
      </c>
      <c r="M104" s="22">
        <v>44743</v>
      </c>
      <c r="N104" s="44" t="s">
        <v>45</v>
      </c>
      <c r="O104" s="23" t="s">
        <v>16</v>
      </c>
      <c r="P104" s="24" t="s">
        <v>45</v>
      </c>
      <c r="Q104" s="28" t="s">
        <v>152</v>
      </c>
    </row>
    <row r="105" spans="1:17">
      <c r="A105" s="14">
        <v>101</v>
      </c>
      <c r="B105" s="15" t="s">
        <v>153</v>
      </c>
      <c r="C105" s="16">
        <f>'Медикаменты Ноябрь'!L105</f>
        <v>0</v>
      </c>
      <c r="D105" s="17"/>
      <c r="E105" s="14"/>
      <c r="F105" s="18"/>
      <c r="G105" s="19"/>
      <c r="H105" s="20"/>
      <c r="I105" s="21"/>
      <c r="J105" s="14"/>
      <c r="K105" s="14">
        <f t="shared" si="2"/>
        <v>0</v>
      </c>
      <c r="L105" s="16">
        <f t="shared" si="3"/>
        <v>0</v>
      </c>
      <c r="M105" s="22">
        <v>44256</v>
      </c>
      <c r="N105" s="44"/>
      <c r="O105" s="23" t="s">
        <v>16</v>
      </c>
      <c r="P105" s="24"/>
      <c r="Q105" s="28" t="s">
        <v>154</v>
      </c>
    </row>
    <row r="106" spans="1:17">
      <c r="A106" s="14">
        <v>102</v>
      </c>
      <c r="B106" s="15" t="s">
        <v>155</v>
      </c>
      <c r="C106" s="16">
        <f>'Медикаменты Ноябрь'!L106</f>
        <v>0</v>
      </c>
      <c r="D106" s="17"/>
      <c r="E106" s="14"/>
      <c r="F106" s="18"/>
      <c r="G106" s="19"/>
      <c r="H106" s="20"/>
      <c r="I106" s="21"/>
      <c r="J106" s="14"/>
      <c r="K106" s="14">
        <f t="shared" si="2"/>
        <v>0</v>
      </c>
      <c r="L106" s="16">
        <f t="shared" si="3"/>
        <v>0</v>
      </c>
      <c r="M106" s="22"/>
      <c r="N106" s="44"/>
      <c r="O106" s="23" t="s">
        <v>16</v>
      </c>
      <c r="P106" s="24"/>
      <c r="Q106" s="45"/>
    </row>
    <row r="107" spans="1:17">
      <c r="A107" s="14">
        <v>103</v>
      </c>
      <c r="B107" s="15" t="s">
        <v>156</v>
      </c>
      <c r="C107" s="16">
        <f>'Медикаменты Ноябрь'!L107</f>
        <v>0</v>
      </c>
      <c r="D107" s="17"/>
      <c r="E107" s="14"/>
      <c r="F107" s="18"/>
      <c r="G107" s="19"/>
      <c r="H107" s="20"/>
      <c r="I107" s="21"/>
      <c r="J107" s="14"/>
      <c r="K107" s="14">
        <f t="shared" si="2"/>
        <v>0</v>
      </c>
      <c r="L107" s="16">
        <f t="shared" si="3"/>
        <v>0</v>
      </c>
      <c r="M107" s="22">
        <v>44197</v>
      </c>
      <c r="N107" s="44"/>
      <c r="O107" s="23" t="s">
        <v>16</v>
      </c>
      <c r="P107" s="24"/>
      <c r="Q107" s="28" t="s">
        <v>157</v>
      </c>
    </row>
    <row r="108" spans="1:17">
      <c r="A108" s="14">
        <v>104</v>
      </c>
      <c r="B108" s="15" t="s">
        <v>158</v>
      </c>
      <c r="C108" s="16">
        <f>'Медикаменты Ноябрь'!L108</f>
        <v>5</v>
      </c>
      <c r="D108" s="17"/>
      <c r="E108" s="14"/>
      <c r="F108" s="18"/>
      <c r="G108" s="19"/>
      <c r="H108" s="20"/>
      <c r="I108" s="21"/>
      <c r="J108" s="14"/>
      <c r="K108" s="14">
        <f t="shared" si="2"/>
        <v>0</v>
      </c>
      <c r="L108" s="16">
        <f t="shared" si="3"/>
        <v>5</v>
      </c>
      <c r="M108" s="22">
        <v>44774</v>
      </c>
      <c r="N108" s="44" t="s">
        <v>45</v>
      </c>
      <c r="O108" s="23" t="s">
        <v>16</v>
      </c>
      <c r="P108" s="24" t="s">
        <v>17</v>
      </c>
      <c r="Q108" s="28" t="s">
        <v>159</v>
      </c>
    </row>
    <row r="109" spans="1:17">
      <c r="A109" s="14">
        <v>105</v>
      </c>
      <c r="B109" s="15" t="s">
        <v>160</v>
      </c>
      <c r="C109" s="16">
        <f>'Медикаменты Ноябрь'!L109</f>
        <v>68</v>
      </c>
      <c r="D109" s="17"/>
      <c r="E109" s="14"/>
      <c r="F109" s="18"/>
      <c r="G109" s="19"/>
      <c r="H109" s="20"/>
      <c r="I109" s="21"/>
      <c r="J109" s="14"/>
      <c r="K109" s="14">
        <f t="shared" si="2"/>
        <v>0</v>
      </c>
      <c r="L109" s="16">
        <f t="shared" si="3"/>
        <v>68</v>
      </c>
      <c r="M109" s="22">
        <v>44805</v>
      </c>
      <c r="N109" s="44" t="s">
        <v>45</v>
      </c>
      <c r="O109" s="23" t="s">
        <v>16</v>
      </c>
      <c r="P109" s="24" t="s">
        <v>17</v>
      </c>
      <c r="Q109" s="28" t="s">
        <v>161</v>
      </c>
    </row>
    <row r="110" spans="1:17">
      <c r="A110" s="14">
        <v>106</v>
      </c>
      <c r="B110" s="15" t="s">
        <v>162</v>
      </c>
      <c r="C110" s="16">
        <f>'Медикаменты Ноябрь'!L110</f>
        <v>73</v>
      </c>
      <c r="D110" s="17"/>
      <c r="E110" s="14"/>
      <c r="F110" s="18"/>
      <c r="G110" s="19"/>
      <c r="H110" s="20"/>
      <c r="I110" s="21"/>
      <c r="J110" s="14"/>
      <c r="K110" s="14">
        <f t="shared" si="2"/>
        <v>0</v>
      </c>
      <c r="L110" s="16">
        <f t="shared" si="3"/>
        <v>73</v>
      </c>
      <c r="M110" s="22">
        <v>44742</v>
      </c>
      <c r="N110" s="44" t="s">
        <v>45</v>
      </c>
      <c r="O110" s="23" t="s">
        <v>16</v>
      </c>
      <c r="P110" s="24" t="s">
        <v>17</v>
      </c>
      <c r="Q110" s="28" t="s">
        <v>163</v>
      </c>
    </row>
    <row r="111" spans="1:17">
      <c r="A111" s="14">
        <v>107</v>
      </c>
      <c r="B111" s="15" t="s">
        <v>645</v>
      </c>
      <c r="C111" s="16">
        <f>'Медикаменты Ноябрь'!L111</f>
        <v>22</v>
      </c>
      <c r="D111" s="17"/>
      <c r="E111" s="14"/>
      <c r="F111" s="18">
        <f>5</f>
        <v>5</v>
      </c>
      <c r="G111" s="19"/>
      <c r="H111" s="20"/>
      <c r="I111" s="21"/>
      <c r="J111" s="14"/>
      <c r="K111" s="14">
        <f t="shared" si="2"/>
        <v>5</v>
      </c>
      <c r="L111" s="16">
        <f t="shared" si="3"/>
        <v>17</v>
      </c>
      <c r="M111" s="22">
        <v>45261</v>
      </c>
      <c r="N111" s="44" t="s">
        <v>551</v>
      </c>
      <c r="O111" s="23" t="s">
        <v>16</v>
      </c>
      <c r="P111" s="24" t="s">
        <v>17</v>
      </c>
      <c r="Q111" s="28" t="s">
        <v>646</v>
      </c>
    </row>
    <row r="112" spans="1:17">
      <c r="A112" s="14">
        <v>108</v>
      </c>
      <c r="B112" s="15" t="s">
        <v>660</v>
      </c>
      <c r="C112" s="16">
        <f>'Медикаменты Ноябрь'!L112</f>
        <v>8</v>
      </c>
      <c r="D112" s="17"/>
      <c r="E112" s="14"/>
      <c r="F112" s="18"/>
      <c r="G112" s="19"/>
      <c r="H112" s="20"/>
      <c r="I112" s="21"/>
      <c r="J112" s="14"/>
      <c r="K112" s="14">
        <f t="shared" si="2"/>
        <v>0</v>
      </c>
      <c r="L112" s="16">
        <f t="shared" si="3"/>
        <v>8</v>
      </c>
      <c r="M112" s="22">
        <v>45046</v>
      </c>
      <c r="N112" s="44" t="s">
        <v>551</v>
      </c>
      <c r="O112" s="23" t="s">
        <v>16</v>
      </c>
      <c r="P112" s="24" t="s">
        <v>17</v>
      </c>
      <c r="Q112" s="28" t="s">
        <v>661</v>
      </c>
    </row>
    <row r="113" spans="1:17">
      <c r="A113" s="14">
        <v>109</v>
      </c>
      <c r="B113" s="15" t="s">
        <v>169</v>
      </c>
      <c r="C113" s="16">
        <f>'Медикаменты Ноябрь'!L113</f>
        <v>0</v>
      </c>
      <c r="D113" s="17"/>
      <c r="E113" s="14"/>
      <c r="F113" s="18"/>
      <c r="G113" s="19"/>
      <c r="H113" s="20"/>
      <c r="I113" s="21"/>
      <c r="J113" s="14"/>
      <c r="K113" s="14">
        <f t="shared" si="2"/>
        <v>0</v>
      </c>
      <c r="L113" s="16">
        <f t="shared" si="3"/>
        <v>0</v>
      </c>
      <c r="M113" s="22">
        <v>44197</v>
      </c>
      <c r="N113" s="44"/>
      <c r="O113" s="23" t="s">
        <v>16</v>
      </c>
      <c r="P113" s="24"/>
      <c r="Q113" s="28" t="s">
        <v>170</v>
      </c>
    </row>
    <row r="114" spans="1:17">
      <c r="A114" s="14">
        <v>110</v>
      </c>
      <c r="B114" s="15" t="s">
        <v>171</v>
      </c>
      <c r="C114" s="16">
        <f>'Медикаменты Ноябрь'!L114</f>
        <v>0</v>
      </c>
      <c r="D114" s="17"/>
      <c r="E114" s="14"/>
      <c r="F114" s="18"/>
      <c r="G114" s="19"/>
      <c r="H114" s="20"/>
      <c r="I114" s="21"/>
      <c r="J114" s="14"/>
      <c r="K114" s="14">
        <f t="shared" si="2"/>
        <v>0</v>
      </c>
      <c r="L114" s="16">
        <f t="shared" si="3"/>
        <v>0</v>
      </c>
      <c r="M114" s="22"/>
      <c r="N114" s="44"/>
      <c r="O114" s="23" t="s">
        <v>16</v>
      </c>
      <c r="P114" s="24"/>
      <c r="Q114" s="45"/>
    </row>
    <row r="115" spans="1:17">
      <c r="A115" s="14">
        <v>111</v>
      </c>
      <c r="B115" s="15" t="s">
        <v>172</v>
      </c>
      <c r="C115" s="16">
        <f>'Медикаменты Ноябрь'!L115</f>
        <v>0</v>
      </c>
      <c r="D115" s="17"/>
      <c r="E115" s="14"/>
      <c r="F115" s="18"/>
      <c r="G115" s="19"/>
      <c r="H115" s="20"/>
      <c r="I115" s="21"/>
      <c r="J115" s="14"/>
      <c r="K115" s="14">
        <f t="shared" si="2"/>
        <v>0</v>
      </c>
      <c r="L115" s="16">
        <f t="shared" si="3"/>
        <v>0</v>
      </c>
      <c r="M115" s="22">
        <v>44287</v>
      </c>
      <c r="N115" s="44"/>
      <c r="O115" s="23" t="s">
        <v>26</v>
      </c>
      <c r="P115" s="24" t="s">
        <v>17</v>
      </c>
      <c r="Q115" s="28" t="s">
        <v>173</v>
      </c>
    </row>
    <row r="116" spans="1:17">
      <c r="A116" s="14">
        <v>112</v>
      </c>
      <c r="B116" s="15" t="s">
        <v>172</v>
      </c>
      <c r="C116" s="16">
        <f>'Медикаменты Ноябрь'!L116</f>
        <v>0</v>
      </c>
      <c r="D116" s="17"/>
      <c r="E116" s="14"/>
      <c r="F116" s="18"/>
      <c r="G116" s="19"/>
      <c r="H116" s="20"/>
      <c r="I116" s="21"/>
      <c r="J116" s="14"/>
      <c r="K116" s="14">
        <f t="shared" si="2"/>
        <v>0</v>
      </c>
      <c r="L116" s="16">
        <f t="shared" si="3"/>
        <v>0</v>
      </c>
      <c r="M116" s="22">
        <v>44805</v>
      </c>
      <c r="N116" s="44" t="s">
        <v>45</v>
      </c>
      <c r="O116" s="23" t="s">
        <v>26</v>
      </c>
      <c r="P116" s="24" t="s">
        <v>17</v>
      </c>
      <c r="Q116" s="28" t="s">
        <v>173</v>
      </c>
    </row>
    <row r="117" spans="1:17">
      <c r="A117" s="14">
        <v>113</v>
      </c>
      <c r="B117" s="15" t="s">
        <v>174</v>
      </c>
      <c r="C117" s="16">
        <f>'Медикаменты Ноябрь'!L117</f>
        <v>11</v>
      </c>
      <c r="D117" s="17"/>
      <c r="E117" s="14"/>
      <c r="F117" s="18"/>
      <c r="G117" s="19"/>
      <c r="H117" s="20"/>
      <c r="I117" s="21"/>
      <c r="J117" s="14"/>
      <c r="K117" s="14">
        <f t="shared" si="2"/>
        <v>0</v>
      </c>
      <c r="L117" s="16">
        <f t="shared" si="3"/>
        <v>11</v>
      </c>
      <c r="M117" s="22">
        <v>46054</v>
      </c>
      <c r="N117" s="44" t="s">
        <v>551</v>
      </c>
      <c r="O117" s="23" t="s">
        <v>26</v>
      </c>
      <c r="P117" s="24" t="s">
        <v>17</v>
      </c>
      <c r="Q117" s="28" t="s">
        <v>571</v>
      </c>
    </row>
    <row r="118" spans="1:17">
      <c r="A118" s="14">
        <v>114</v>
      </c>
      <c r="B118" s="15" t="s">
        <v>547</v>
      </c>
      <c r="C118" s="16">
        <f>'Медикаменты Ноябрь'!L118</f>
        <v>0</v>
      </c>
      <c r="D118" s="17"/>
      <c r="E118" s="14"/>
      <c r="F118" s="18"/>
      <c r="G118" s="19"/>
      <c r="H118" s="20"/>
      <c r="I118" s="21"/>
      <c r="J118" s="14"/>
      <c r="K118" s="14">
        <f t="shared" si="2"/>
        <v>0</v>
      </c>
      <c r="L118" s="16">
        <f t="shared" si="3"/>
        <v>0</v>
      </c>
      <c r="M118" s="22">
        <v>44317</v>
      </c>
      <c r="N118" s="44" t="s">
        <v>45</v>
      </c>
      <c r="O118" s="23" t="s">
        <v>16</v>
      </c>
      <c r="P118" s="24" t="s">
        <v>17</v>
      </c>
      <c r="Q118" s="28" t="s">
        <v>176</v>
      </c>
    </row>
    <row r="119" spans="1:17">
      <c r="A119" s="14">
        <v>115</v>
      </c>
      <c r="B119" s="15" t="s">
        <v>177</v>
      </c>
      <c r="C119" s="16">
        <f>'Медикаменты Ноябрь'!L119</f>
        <v>0</v>
      </c>
      <c r="D119" s="17"/>
      <c r="E119" s="14"/>
      <c r="F119" s="18"/>
      <c r="G119" s="19"/>
      <c r="H119" s="20"/>
      <c r="I119" s="21"/>
      <c r="J119" s="14"/>
      <c r="K119" s="14">
        <f t="shared" si="2"/>
        <v>0</v>
      </c>
      <c r="L119" s="16">
        <f t="shared" si="3"/>
        <v>0</v>
      </c>
      <c r="M119" s="22"/>
      <c r="N119" s="44"/>
      <c r="O119" s="23" t="s">
        <v>16</v>
      </c>
      <c r="P119" s="24"/>
      <c r="Q119" s="45"/>
    </row>
    <row r="120" spans="1:17">
      <c r="A120" s="14">
        <v>116</v>
      </c>
      <c r="B120" s="15" t="s">
        <v>627</v>
      </c>
      <c r="C120" s="16">
        <f>'Медикаменты Ноябрь'!L120</f>
        <v>145</v>
      </c>
      <c r="D120" s="17"/>
      <c r="E120" s="14"/>
      <c r="F120" s="18">
        <f>5+15</f>
        <v>20</v>
      </c>
      <c r="G120" s="19"/>
      <c r="H120" s="20"/>
      <c r="I120" s="21"/>
      <c r="J120" s="14"/>
      <c r="K120" s="14">
        <f t="shared" si="2"/>
        <v>20</v>
      </c>
      <c r="L120" s="16">
        <f t="shared" si="3"/>
        <v>125</v>
      </c>
      <c r="M120" s="22">
        <v>45474</v>
      </c>
      <c r="N120" s="44" t="s">
        <v>551</v>
      </c>
      <c r="O120" s="23" t="s">
        <v>16</v>
      </c>
      <c r="P120" s="24" t="s">
        <v>17</v>
      </c>
      <c r="Q120" s="28" t="s">
        <v>628</v>
      </c>
    </row>
    <row r="121" spans="1:17">
      <c r="A121" s="14">
        <v>117</v>
      </c>
      <c r="B121" s="15" t="s">
        <v>668</v>
      </c>
      <c r="C121" s="16">
        <f>'Медикаменты Ноябрь'!L121</f>
        <v>0</v>
      </c>
      <c r="D121" s="17"/>
      <c r="E121" s="14">
        <f>133</f>
        <v>133</v>
      </c>
      <c r="F121" s="18">
        <f>18</f>
        <v>18</v>
      </c>
      <c r="G121" s="19"/>
      <c r="H121" s="20"/>
      <c r="I121" s="21"/>
      <c r="J121" s="14"/>
      <c r="K121" s="14">
        <f t="shared" si="2"/>
        <v>18</v>
      </c>
      <c r="L121" s="16">
        <f t="shared" si="3"/>
        <v>115</v>
      </c>
      <c r="M121" s="22">
        <v>45261</v>
      </c>
      <c r="N121" s="44" t="s">
        <v>551</v>
      </c>
      <c r="O121" s="23" t="s">
        <v>16</v>
      </c>
      <c r="P121" s="24" t="s">
        <v>17</v>
      </c>
      <c r="Q121" s="28" t="s">
        <v>669</v>
      </c>
    </row>
    <row r="122" spans="1:17">
      <c r="A122" s="14">
        <v>118</v>
      </c>
      <c r="B122" s="15" t="s">
        <v>182</v>
      </c>
      <c r="C122" s="16">
        <f>'Медикаменты Ноябрь'!L122</f>
        <v>0</v>
      </c>
      <c r="D122" s="17"/>
      <c r="E122" s="14"/>
      <c r="F122" s="18"/>
      <c r="G122" s="19"/>
      <c r="H122" s="20"/>
      <c r="I122" s="21"/>
      <c r="J122" s="14"/>
      <c r="K122" s="14">
        <f t="shared" si="2"/>
        <v>0</v>
      </c>
      <c r="L122" s="16">
        <f t="shared" si="3"/>
        <v>0</v>
      </c>
      <c r="M122" s="22">
        <v>44409</v>
      </c>
      <c r="N122" s="44"/>
      <c r="O122" s="23" t="s">
        <v>16</v>
      </c>
      <c r="P122" s="24"/>
      <c r="Q122" s="28" t="s">
        <v>183</v>
      </c>
    </row>
    <row r="123" spans="1:17">
      <c r="A123" s="14">
        <v>119</v>
      </c>
      <c r="B123" s="15" t="s">
        <v>184</v>
      </c>
      <c r="C123" s="16">
        <f>'Медикаменты Ноябрь'!L123</f>
        <v>27</v>
      </c>
      <c r="D123" s="17"/>
      <c r="E123" s="14"/>
      <c r="F123" s="18"/>
      <c r="G123" s="19"/>
      <c r="H123" s="20">
        <f>3</f>
        <v>3</v>
      </c>
      <c r="I123" s="21"/>
      <c r="J123" s="14"/>
      <c r="K123" s="14">
        <f t="shared" si="2"/>
        <v>3</v>
      </c>
      <c r="L123" s="16">
        <f t="shared" si="3"/>
        <v>24</v>
      </c>
      <c r="M123" s="22">
        <v>45323</v>
      </c>
      <c r="N123" s="44" t="s">
        <v>551</v>
      </c>
      <c r="O123" s="23" t="s">
        <v>16</v>
      </c>
      <c r="P123" s="24" t="s">
        <v>17</v>
      </c>
      <c r="Q123" s="28" t="s">
        <v>598</v>
      </c>
    </row>
    <row r="124" spans="1:17">
      <c r="A124" s="14">
        <v>120</v>
      </c>
      <c r="B124" s="15" t="s">
        <v>186</v>
      </c>
      <c r="C124" s="16">
        <f>'Медикаменты Ноябрь'!L124</f>
        <v>0</v>
      </c>
      <c r="D124" s="17"/>
      <c r="E124" s="14">
        <f>35</f>
        <v>35</v>
      </c>
      <c r="F124" s="18">
        <f>10</f>
        <v>10</v>
      </c>
      <c r="G124" s="19"/>
      <c r="H124" s="20"/>
      <c r="I124" s="21"/>
      <c r="J124" s="14"/>
      <c r="K124" s="14">
        <f t="shared" si="2"/>
        <v>10</v>
      </c>
      <c r="L124" s="16">
        <f t="shared" si="3"/>
        <v>25</v>
      </c>
      <c r="M124" s="22">
        <v>44743</v>
      </c>
      <c r="N124" s="44" t="s">
        <v>551</v>
      </c>
      <c r="O124" s="23" t="s">
        <v>16</v>
      </c>
      <c r="P124" s="24" t="s">
        <v>17</v>
      </c>
      <c r="Q124" s="28" t="s">
        <v>187</v>
      </c>
    </row>
    <row r="125" spans="1:17">
      <c r="A125" s="14">
        <v>121</v>
      </c>
      <c r="B125" s="15" t="s">
        <v>188</v>
      </c>
      <c r="C125" s="16">
        <f>'Медикаменты Ноябрь'!L125</f>
        <v>0</v>
      </c>
      <c r="D125" s="17"/>
      <c r="E125" s="14"/>
      <c r="F125" s="18"/>
      <c r="G125" s="19"/>
      <c r="H125" s="20"/>
      <c r="I125" s="21"/>
      <c r="J125" s="14"/>
      <c r="K125" s="14">
        <f t="shared" si="2"/>
        <v>0</v>
      </c>
      <c r="L125" s="16">
        <f t="shared" si="3"/>
        <v>0</v>
      </c>
      <c r="M125" s="22"/>
      <c r="N125" s="44"/>
      <c r="O125" s="23" t="s">
        <v>16</v>
      </c>
      <c r="P125" s="24"/>
      <c r="Q125" s="45"/>
    </row>
    <row r="126" spans="1:17">
      <c r="A126" s="14">
        <v>122</v>
      </c>
      <c r="B126" s="15" t="s">
        <v>189</v>
      </c>
      <c r="C126" s="16">
        <f>'Медикаменты Ноябрь'!L126</f>
        <v>0</v>
      </c>
      <c r="D126" s="17"/>
      <c r="E126" s="14"/>
      <c r="F126" s="18"/>
      <c r="G126" s="19"/>
      <c r="H126" s="20"/>
      <c r="I126" s="21"/>
      <c r="J126" s="14"/>
      <c r="K126" s="14">
        <f t="shared" si="2"/>
        <v>0</v>
      </c>
      <c r="L126" s="16">
        <f t="shared" si="3"/>
        <v>0</v>
      </c>
      <c r="M126" s="22">
        <v>44348</v>
      </c>
      <c r="N126" s="44"/>
      <c r="O126" s="23" t="s">
        <v>16</v>
      </c>
      <c r="P126" s="24" t="s">
        <v>45</v>
      </c>
      <c r="Q126" s="28" t="s">
        <v>190</v>
      </c>
    </row>
    <row r="127" spans="1:17">
      <c r="A127" s="14">
        <v>123</v>
      </c>
      <c r="B127" s="15" t="s">
        <v>191</v>
      </c>
      <c r="C127" s="16">
        <f>'Медикаменты Ноябрь'!L127</f>
        <v>0</v>
      </c>
      <c r="D127" s="17"/>
      <c r="E127" s="14"/>
      <c r="F127" s="18"/>
      <c r="G127" s="19"/>
      <c r="H127" s="20"/>
      <c r="I127" s="21"/>
      <c r="J127" s="14"/>
      <c r="K127" s="14">
        <f t="shared" si="2"/>
        <v>0</v>
      </c>
      <c r="L127" s="16">
        <f t="shared" si="3"/>
        <v>0</v>
      </c>
      <c r="M127" s="22"/>
      <c r="N127" s="44"/>
      <c r="O127" s="23" t="s">
        <v>16</v>
      </c>
      <c r="P127" s="24"/>
      <c r="Q127" s="45"/>
    </row>
    <row r="128" spans="1:17">
      <c r="A128" s="14">
        <v>124</v>
      </c>
      <c r="B128" s="15" t="s">
        <v>192</v>
      </c>
      <c r="C128" s="16">
        <f>'Медикаменты Ноябрь'!L128</f>
        <v>95</v>
      </c>
      <c r="D128" s="17"/>
      <c r="E128" s="14"/>
      <c r="F128" s="18"/>
      <c r="G128" s="19"/>
      <c r="H128" s="20"/>
      <c r="I128" s="21"/>
      <c r="J128" s="14"/>
      <c r="K128" s="14">
        <f t="shared" si="2"/>
        <v>0</v>
      </c>
      <c r="L128" s="16">
        <f t="shared" si="3"/>
        <v>95</v>
      </c>
      <c r="M128" s="22">
        <v>45047</v>
      </c>
      <c r="N128" s="44" t="s">
        <v>45</v>
      </c>
      <c r="O128" s="23" t="s">
        <v>16</v>
      </c>
      <c r="P128" s="24" t="s">
        <v>17</v>
      </c>
      <c r="Q128" s="28" t="s">
        <v>193</v>
      </c>
    </row>
    <row r="129" spans="1:17">
      <c r="A129" s="14">
        <v>125</v>
      </c>
      <c r="B129" s="15" t="s">
        <v>192</v>
      </c>
      <c r="C129" s="16">
        <f>'Медикаменты Ноябрь'!L129</f>
        <v>0</v>
      </c>
      <c r="D129" s="17"/>
      <c r="E129" s="14"/>
      <c r="F129" s="18"/>
      <c r="G129" s="19"/>
      <c r="H129" s="20"/>
      <c r="I129" s="21"/>
      <c r="J129" s="14"/>
      <c r="K129" s="14">
        <f t="shared" si="2"/>
        <v>0</v>
      </c>
      <c r="L129" s="16">
        <f t="shared" si="3"/>
        <v>0</v>
      </c>
      <c r="M129" s="22">
        <v>45047</v>
      </c>
      <c r="N129" s="44"/>
      <c r="O129" s="23" t="s">
        <v>26</v>
      </c>
      <c r="P129" s="24"/>
      <c r="Q129" s="28" t="s">
        <v>193</v>
      </c>
    </row>
    <row r="130" spans="1:17">
      <c r="A130" s="14">
        <v>126</v>
      </c>
      <c r="B130" s="15" t="s">
        <v>194</v>
      </c>
      <c r="C130" s="16">
        <f>'Медикаменты Ноябрь'!L130</f>
        <v>10</v>
      </c>
      <c r="D130" s="17"/>
      <c r="E130" s="14"/>
      <c r="F130" s="18"/>
      <c r="G130" s="19"/>
      <c r="H130" s="20"/>
      <c r="I130" s="21"/>
      <c r="J130" s="14"/>
      <c r="K130" s="14">
        <f t="shared" si="2"/>
        <v>0</v>
      </c>
      <c r="L130" s="16">
        <f t="shared" si="3"/>
        <v>10</v>
      </c>
      <c r="M130" s="22">
        <v>45658</v>
      </c>
      <c r="N130" s="44" t="s">
        <v>45</v>
      </c>
      <c r="O130" s="23" t="s">
        <v>16</v>
      </c>
      <c r="P130" s="24" t="s">
        <v>45</v>
      </c>
      <c r="Q130" s="28" t="s">
        <v>195</v>
      </c>
    </row>
    <row r="131" spans="1:17">
      <c r="A131" s="14">
        <v>127</v>
      </c>
      <c r="B131" s="15" t="s">
        <v>196</v>
      </c>
      <c r="C131" s="16">
        <f>'Медикаменты Ноябрь'!L131</f>
        <v>46</v>
      </c>
      <c r="D131" s="17"/>
      <c r="E131" s="14"/>
      <c r="F131" s="18">
        <f>30</f>
        <v>30</v>
      </c>
      <c r="G131" s="19">
        <f>6</f>
        <v>6</v>
      </c>
      <c r="H131" s="20">
        <f>10</f>
        <v>10</v>
      </c>
      <c r="I131" s="21"/>
      <c r="J131" s="14"/>
      <c r="K131" s="14">
        <f t="shared" si="2"/>
        <v>46</v>
      </c>
      <c r="L131" s="16">
        <f t="shared" si="3"/>
        <v>0</v>
      </c>
      <c r="M131" s="22">
        <v>44593</v>
      </c>
      <c r="N131" s="44" t="s">
        <v>45</v>
      </c>
      <c r="O131" s="23" t="s">
        <v>16</v>
      </c>
      <c r="P131" s="24" t="s">
        <v>17</v>
      </c>
      <c r="Q131" s="28" t="s">
        <v>197</v>
      </c>
    </row>
    <row r="132" spans="1:17">
      <c r="A132" s="14">
        <v>128</v>
      </c>
      <c r="B132" s="15" t="s">
        <v>198</v>
      </c>
      <c r="C132" s="16">
        <f>'Медикаменты Ноябрь'!L132</f>
        <v>0</v>
      </c>
      <c r="D132" s="17"/>
      <c r="E132" s="14"/>
      <c r="F132" s="18"/>
      <c r="G132" s="19"/>
      <c r="H132" s="20"/>
      <c r="I132" s="21"/>
      <c r="J132" s="14"/>
      <c r="K132" s="14">
        <f t="shared" si="2"/>
        <v>0</v>
      </c>
      <c r="L132" s="16">
        <f t="shared" si="3"/>
        <v>0</v>
      </c>
      <c r="M132" s="22"/>
      <c r="N132" s="44"/>
      <c r="O132" s="23" t="s">
        <v>16</v>
      </c>
      <c r="P132" s="24"/>
      <c r="Q132" s="45"/>
    </row>
    <row r="133" spans="1:17">
      <c r="A133" s="14">
        <v>129</v>
      </c>
      <c r="B133" s="15" t="s">
        <v>599</v>
      </c>
      <c r="C133" s="16">
        <f>'Медикаменты Ноябрь'!L133</f>
        <v>78</v>
      </c>
      <c r="D133" s="17"/>
      <c r="E133" s="14"/>
      <c r="F133" s="18"/>
      <c r="G133" s="19"/>
      <c r="H133" s="20"/>
      <c r="I133" s="21"/>
      <c r="J133" s="14"/>
      <c r="K133" s="14">
        <f t="shared" ref="K133:K196" si="4">SUM(F133:J133)</f>
        <v>0</v>
      </c>
      <c r="L133" s="16">
        <f t="shared" ref="L133:L196" si="5">(C133+E133)-K133</f>
        <v>78</v>
      </c>
      <c r="M133" s="22">
        <v>45383</v>
      </c>
      <c r="N133" s="44" t="s">
        <v>551</v>
      </c>
      <c r="O133" s="23" t="s">
        <v>16</v>
      </c>
      <c r="P133" s="24" t="s">
        <v>17</v>
      </c>
      <c r="Q133" s="28" t="s">
        <v>600</v>
      </c>
    </row>
    <row r="134" spans="1:17">
      <c r="A134" s="14">
        <v>130</v>
      </c>
      <c r="B134" s="15" t="s">
        <v>666</v>
      </c>
      <c r="C134" s="16">
        <f>'Медикаменты Ноябрь'!L134</f>
        <v>695</v>
      </c>
      <c r="D134" s="17"/>
      <c r="E134" s="14"/>
      <c r="F134" s="18">
        <f>5+25</f>
        <v>30</v>
      </c>
      <c r="G134" s="19"/>
      <c r="H134" s="20">
        <v>10</v>
      </c>
      <c r="I134" s="21"/>
      <c r="J134" s="14"/>
      <c r="K134" s="14">
        <f t="shared" si="4"/>
        <v>40</v>
      </c>
      <c r="L134" s="16">
        <f t="shared" si="5"/>
        <v>655</v>
      </c>
      <c r="M134" s="22">
        <v>45444</v>
      </c>
      <c r="N134" s="44" t="s">
        <v>551</v>
      </c>
      <c r="O134" s="23" t="s">
        <v>16</v>
      </c>
      <c r="P134" s="24" t="s">
        <v>17</v>
      </c>
      <c r="Q134" s="28" t="s">
        <v>667</v>
      </c>
    </row>
    <row r="135" spans="1:17">
      <c r="A135" s="14">
        <v>131</v>
      </c>
      <c r="B135" s="15" t="s">
        <v>666</v>
      </c>
      <c r="C135" s="16">
        <f>'Медикаменты Ноябрь'!L135</f>
        <v>0</v>
      </c>
      <c r="D135" s="17"/>
      <c r="E135" s="14"/>
      <c r="F135" s="18"/>
      <c r="G135" s="19"/>
      <c r="H135" s="20"/>
      <c r="I135" s="21"/>
      <c r="J135" s="14"/>
      <c r="K135" s="14">
        <f t="shared" si="4"/>
        <v>0</v>
      </c>
      <c r="L135" s="16">
        <f t="shared" si="5"/>
        <v>0</v>
      </c>
      <c r="M135" s="22">
        <v>45444</v>
      </c>
      <c r="N135" s="44" t="s">
        <v>551</v>
      </c>
      <c r="O135" s="23" t="s">
        <v>26</v>
      </c>
      <c r="P135" s="24" t="s">
        <v>17</v>
      </c>
      <c r="Q135" s="28" t="s">
        <v>667</v>
      </c>
    </row>
    <row r="136" spans="1:17">
      <c r="A136" s="14">
        <v>132</v>
      </c>
      <c r="B136" s="15" t="s">
        <v>202</v>
      </c>
      <c r="C136" s="16">
        <f>'Медикаменты Ноябрь'!L136</f>
        <v>0</v>
      </c>
      <c r="D136" s="17"/>
      <c r="E136" s="14"/>
      <c r="F136" s="18"/>
      <c r="G136" s="19"/>
      <c r="H136" s="20"/>
      <c r="I136" s="21"/>
      <c r="J136" s="14"/>
      <c r="K136" s="14">
        <f t="shared" si="4"/>
        <v>0</v>
      </c>
      <c r="L136" s="16">
        <f t="shared" si="5"/>
        <v>0</v>
      </c>
      <c r="M136" s="22"/>
      <c r="N136" s="44"/>
      <c r="O136" s="23" t="s">
        <v>16</v>
      </c>
      <c r="P136" s="24"/>
      <c r="Q136" s="45"/>
    </row>
    <row r="137" spans="1:17">
      <c r="A137" s="14">
        <v>133</v>
      </c>
      <c r="B137" s="15" t="s">
        <v>203</v>
      </c>
      <c r="C137" s="16">
        <f>'Медикаменты Ноябрь'!L137</f>
        <v>0</v>
      </c>
      <c r="D137" s="17"/>
      <c r="E137" s="14"/>
      <c r="F137" s="18"/>
      <c r="G137" s="19"/>
      <c r="H137" s="20"/>
      <c r="I137" s="21"/>
      <c r="J137" s="14"/>
      <c r="K137" s="14">
        <f t="shared" si="4"/>
        <v>0</v>
      </c>
      <c r="L137" s="16">
        <f t="shared" si="5"/>
        <v>0</v>
      </c>
      <c r="M137" s="22">
        <v>44287</v>
      </c>
      <c r="N137" s="44"/>
      <c r="O137" s="23" t="s">
        <v>16</v>
      </c>
      <c r="P137" s="24"/>
      <c r="Q137" s="28" t="s">
        <v>204</v>
      </c>
    </row>
    <row r="138" spans="1:17">
      <c r="A138" s="14">
        <v>134</v>
      </c>
      <c r="B138" s="15" t="s">
        <v>205</v>
      </c>
      <c r="C138" s="16">
        <f>'Медикаменты Ноябрь'!L138</f>
        <v>0</v>
      </c>
      <c r="D138" s="17"/>
      <c r="E138" s="14"/>
      <c r="F138" s="18"/>
      <c r="G138" s="19"/>
      <c r="H138" s="20"/>
      <c r="I138" s="21"/>
      <c r="J138" s="14"/>
      <c r="K138" s="14">
        <f t="shared" si="4"/>
        <v>0</v>
      </c>
      <c r="L138" s="16">
        <f t="shared" si="5"/>
        <v>0</v>
      </c>
      <c r="M138" s="22"/>
      <c r="N138" s="44"/>
      <c r="O138" s="23" t="s">
        <v>16</v>
      </c>
      <c r="P138" s="24"/>
      <c r="Q138" s="45"/>
    </row>
    <row r="139" spans="1:17">
      <c r="A139" s="14">
        <v>135</v>
      </c>
      <c r="B139" s="15" t="s">
        <v>206</v>
      </c>
      <c r="C139" s="16">
        <f>'Медикаменты Ноябрь'!L139</f>
        <v>0</v>
      </c>
      <c r="D139" s="17"/>
      <c r="E139" s="14"/>
      <c r="F139" s="18"/>
      <c r="G139" s="19"/>
      <c r="H139" s="20"/>
      <c r="I139" s="21"/>
      <c r="J139" s="14"/>
      <c r="K139" s="14">
        <f t="shared" si="4"/>
        <v>0</v>
      </c>
      <c r="L139" s="16">
        <f t="shared" si="5"/>
        <v>0</v>
      </c>
      <c r="M139" s="22"/>
      <c r="N139" s="44"/>
      <c r="O139" s="23" t="s">
        <v>16</v>
      </c>
      <c r="P139" s="24"/>
      <c r="Q139" s="45"/>
    </row>
    <row r="140" spans="1:17">
      <c r="A140" s="14">
        <v>136</v>
      </c>
      <c r="B140" s="15" t="s">
        <v>207</v>
      </c>
      <c r="C140" s="16">
        <f>'Медикаменты Ноябрь'!L140</f>
        <v>0</v>
      </c>
      <c r="D140" s="17"/>
      <c r="E140" s="14"/>
      <c r="F140" s="18"/>
      <c r="G140" s="19"/>
      <c r="H140" s="20"/>
      <c r="I140" s="21"/>
      <c r="J140" s="14"/>
      <c r="K140" s="14">
        <f t="shared" si="4"/>
        <v>0</v>
      </c>
      <c r="L140" s="16">
        <f t="shared" si="5"/>
        <v>0</v>
      </c>
      <c r="M140" s="22"/>
      <c r="N140" s="44"/>
      <c r="O140" s="23" t="s">
        <v>16</v>
      </c>
      <c r="P140" s="24"/>
      <c r="Q140" s="45"/>
    </row>
    <row r="141" spans="1:17">
      <c r="A141" s="14">
        <v>137</v>
      </c>
      <c r="B141" s="15" t="s">
        <v>208</v>
      </c>
      <c r="C141" s="16">
        <f>'Медикаменты Ноябрь'!L141</f>
        <v>0</v>
      </c>
      <c r="D141" s="17"/>
      <c r="E141" s="14"/>
      <c r="F141" s="18"/>
      <c r="G141" s="19"/>
      <c r="H141" s="20"/>
      <c r="I141" s="21"/>
      <c r="J141" s="14"/>
      <c r="K141" s="14">
        <f t="shared" si="4"/>
        <v>0</v>
      </c>
      <c r="L141" s="16">
        <f t="shared" si="5"/>
        <v>0</v>
      </c>
      <c r="M141" s="22">
        <v>44986</v>
      </c>
      <c r="N141" s="44" t="s">
        <v>551</v>
      </c>
      <c r="O141" s="23" t="s">
        <v>16</v>
      </c>
      <c r="P141" s="24" t="s">
        <v>17</v>
      </c>
      <c r="Q141" s="28" t="s">
        <v>209</v>
      </c>
    </row>
    <row r="142" spans="1:17">
      <c r="A142" s="14">
        <v>138</v>
      </c>
      <c r="B142" s="15" t="s">
        <v>210</v>
      </c>
      <c r="C142" s="16">
        <f>'Медикаменты Ноябрь'!L142</f>
        <v>0</v>
      </c>
      <c r="D142" s="17"/>
      <c r="E142" s="14"/>
      <c r="F142" s="18"/>
      <c r="G142" s="19"/>
      <c r="H142" s="20"/>
      <c r="I142" s="21"/>
      <c r="J142" s="14"/>
      <c r="K142" s="14">
        <f t="shared" si="4"/>
        <v>0</v>
      </c>
      <c r="L142" s="16">
        <f t="shared" si="5"/>
        <v>0</v>
      </c>
      <c r="M142" s="22">
        <v>45413</v>
      </c>
      <c r="N142" s="44" t="s">
        <v>45</v>
      </c>
      <c r="O142" s="23" t="s">
        <v>16</v>
      </c>
      <c r="P142" s="24" t="s">
        <v>17</v>
      </c>
      <c r="Q142" s="28" t="s">
        <v>211</v>
      </c>
    </row>
    <row r="143" spans="1:17">
      <c r="A143" s="14">
        <v>139</v>
      </c>
      <c r="B143" s="15" t="s">
        <v>210</v>
      </c>
      <c r="C143" s="16">
        <f>'Медикаменты Ноябрь'!L143</f>
        <v>0</v>
      </c>
      <c r="D143" s="17"/>
      <c r="E143" s="14"/>
      <c r="F143" s="18"/>
      <c r="G143" s="19"/>
      <c r="H143" s="20"/>
      <c r="I143" s="21"/>
      <c r="J143" s="14"/>
      <c r="K143" s="14">
        <f t="shared" si="4"/>
        <v>0</v>
      </c>
      <c r="L143" s="16">
        <f t="shared" si="5"/>
        <v>0</v>
      </c>
      <c r="M143" s="22">
        <v>45413</v>
      </c>
      <c r="N143" s="44" t="s">
        <v>45</v>
      </c>
      <c r="O143" s="23" t="s">
        <v>26</v>
      </c>
      <c r="P143" s="24" t="s">
        <v>17</v>
      </c>
      <c r="Q143" s="28" t="s">
        <v>211</v>
      </c>
    </row>
    <row r="144" spans="1:17">
      <c r="A144" s="14">
        <v>140</v>
      </c>
      <c r="B144" s="15" t="s">
        <v>212</v>
      </c>
      <c r="C144" s="16">
        <f>'Медикаменты Ноябрь'!L144</f>
        <v>0</v>
      </c>
      <c r="D144" s="17"/>
      <c r="E144" s="14"/>
      <c r="F144" s="18"/>
      <c r="G144" s="19"/>
      <c r="H144" s="20"/>
      <c r="I144" s="21"/>
      <c r="J144" s="14"/>
      <c r="K144" s="14">
        <f t="shared" si="4"/>
        <v>0</v>
      </c>
      <c r="L144" s="16">
        <f t="shared" si="5"/>
        <v>0</v>
      </c>
      <c r="M144" s="22"/>
      <c r="N144" s="44"/>
      <c r="O144" s="23" t="s">
        <v>16</v>
      </c>
      <c r="P144" s="24"/>
      <c r="Q144" s="45"/>
    </row>
    <row r="145" spans="1:17" ht="26.25">
      <c r="A145" s="14">
        <v>141</v>
      </c>
      <c r="B145" s="15" t="s">
        <v>215</v>
      </c>
      <c r="C145" s="16">
        <f>'Медикаменты Ноябрь'!L145</f>
        <v>8</v>
      </c>
      <c r="D145" s="17"/>
      <c r="E145" s="14"/>
      <c r="F145" s="18">
        <f>8</f>
        <v>8</v>
      </c>
      <c r="G145" s="19"/>
      <c r="H145" s="20"/>
      <c r="I145" s="21"/>
      <c r="J145" s="14"/>
      <c r="K145" s="14">
        <f t="shared" si="4"/>
        <v>8</v>
      </c>
      <c r="L145" s="16">
        <f t="shared" si="5"/>
        <v>0</v>
      </c>
      <c r="M145" s="22">
        <v>44986</v>
      </c>
      <c r="N145" s="44" t="s">
        <v>551</v>
      </c>
      <c r="O145" s="23" t="s">
        <v>16</v>
      </c>
      <c r="P145" s="24" t="s">
        <v>17</v>
      </c>
      <c r="Q145" s="28" t="s">
        <v>214</v>
      </c>
    </row>
    <row r="146" spans="1:17" ht="26.25">
      <c r="A146" s="14">
        <v>142</v>
      </c>
      <c r="B146" s="15" t="s">
        <v>215</v>
      </c>
      <c r="C146" s="16">
        <f>'Медикаменты Ноябрь'!L146</f>
        <v>0</v>
      </c>
      <c r="D146" s="17"/>
      <c r="E146" s="14"/>
      <c r="F146" s="18"/>
      <c r="G146" s="19"/>
      <c r="H146" s="20"/>
      <c r="I146" s="21"/>
      <c r="J146" s="14"/>
      <c r="K146" s="14">
        <f t="shared" si="4"/>
        <v>0</v>
      </c>
      <c r="L146" s="16">
        <f t="shared" si="5"/>
        <v>0</v>
      </c>
      <c r="M146" s="22">
        <v>44986</v>
      </c>
      <c r="N146" s="44" t="s">
        <v>551</v>
      </c>
      <c r="O146" s="23" t="s">
        <v>26</v>
      </c>
      <c r="P146" s="24" t="s">
        <v>17</v>
      </c>
      <c r="Q146" s="28" t="s">
        <v>214</v>
      </c>
    </row>
    <row r="147" spans="1:17" ht="26.25">
      <c r="A147" s="14">
        <v>143</v>
      </c>
      <c r="B147" s="15" t="s">
        <v>216</v>
      </c>
      <c r="C147" s="16">
        <f>'Медикаменты Ноябрь'!L147</f>
        <v>0</v>
      </c>
      <c r="D147" s="17"/>
      <c r="E147" s="14"/>
      <c r="F147" s="18"/>
      <c r="G147" s="19"/>
      <c r="H147" s="20"/>
      <c r="I147" s="21"/>
      <c r="J147" s="14"/>
      <c r="K147" s="14">
        <f t="shared" si="4"/>
        <v>0</v>
      </c>
      <c r="L147" s="16">
        <f t="shared" si="5"/>
        <v>0</v>
      </c>
      <c r="M147" s="22">
        <v>44805</v>
      </c>
      <c r="N147" s="44" t="s">
        <v>45</v>
      </c>
      <c r="O147" s="23" t="s">
        <v>16</v>
      </c>
      <c r="P147" s="24" t="s">
        <v>17</v>
      </c>
      <c r="Q147" s="28" t="s">
        <v>217</v>
      </c>
    </row>
    <row r="148" spans="1:17" ht="26.25">
      <c r="A148" s="14">
        <v>144</v>
      </c>
      <c r="B148" s="15" t="s">
        <v>216</v>
      </c>
      <c r="C148" s="16">
        <f>'Медикаменты Ноябрь'!L148</f>
        <v>5</v>
      </c>
      <c r="D148" s="17"/>
      <c r="E148" s="14"/>
      <c r="F148" s="18">
        <f>5</f>
        <v>5</v>
      </c>
      <c r="G148" s="19"/>
      <c r="H148" s="20"/>
      <c r="I148" s="21"/>
      <c r="J148" s="14"/>
      <c r="K148" s="14">
        <f t="shared" si="4"/>
        <v>5</v>
      </c>
      <c r="L148" s="16">
        <f t="shared" si="5"/>
        <v>0</v>
      </c>
      <c r="M148" s="22">
        <v>45292</v>
      </c>
      <c r="N148" s="44" t="s">
        <v>551</v>
      </c>
      <c r="O148" s="23" t="s">
        <v>16</v>
      </c>
      <c r="P148" s="24" t="s">
        <v>17</v>
      </c>
      <c r="Q148" s="28" t="s">
        <v>217</v>
      </c>
    </row>
    <row r="149" spans="1:17">
      <c r="A149" s="14">
        <v>145</v>
      </c>
      <c r="B149" s="15" t="s">
        <v>218</v>
      </c>
      <c r="C149" s="16">
        <f>'Медикаменты Ноябрь'!L149</f>
        <v>0</v>
      </c>
      <c r="D149" s="17"/>
      <c r="E149" s="14"/>
      <c r="F149" s="18"/>
      <c r="G149" s="19"/>
      <c r="H149" s="20"/>
      <c r="I149" s="21"/>
      <c r="J149" s="14"/>
      <c r="K149" s="14">
        <f t="shared" si="4"/>
        <v>0</v>
      </c>
      <c r="L149" s="16">
        <f t="shared" si="5"/>
        <v>0</v>
      </c>
      <c r="M149" s="22"/>
      <c r="N149" s="44"/>
      <c r="O149" s="23" t="s">
        <v>16</v>
      </c>
      <c r="P149" s="24"/>
      <c r="Q149" s="45"/>
    </row>
    <row r="150" spans="1:17">
      <c r="A150" s="14">
        <v>146</v>
      </c>
      <c r="B150" s="15" t="s">
        <v>219</v>
      </c>
      <c r="C150" s="16">
        <f>'Медикаменты Ноябрь'!L150</f>
        <v>0</v>
      </c>
      <c r="D150" s="17"/>
      <c r="E150" s="14"/>
      <c r="F150" s="18"/>
      <c r="G150" s="19"/>
      <c r="H150" s="20"/>
      <c r="I150" s="21"/>
      <c r="J150" s="14"/>
      <c r="K150" s="14">
        <f t="shared" si="4"/>
        <v>0</v>
      </c>
      <c r="L150" s="16">
        <f t="shared" si="5"/>
        <v>0</v>
      </c>
      <c r="M150" s="22"/>
      <c r="N150" s="44"/>
      <c r="O150" s="23" t="s">
        <v>16</v>
      </c>
      <c r="P150" s="24"/>
      <c r="Q150" s="45"/>
    </row>
    <row r="151" spans="1:17">
      <c r="A151" s="14">
        <v>147</v>
      </c>
      <c r="B151" s="15" t="s">
        <v>220</v>
      </c>
      <c r="C151" s="16">
        <f>'Медикаменты Ноябрь'!L151</f>
        <v>70</v>
      </c>
      <c r="D151" s="17"/>
      <c r="E151" s="14"/>
      <c r="F151" s="18">
        <f>5</f>
        <v>5</v>
      </c>
      <c r="G151" s="19"/>
      <c r="H151" s="20"/>
      <c r="I151" s="21"/>
      <c r="J151" s="14"/>
      <c r="K151" s="14">
        <f t="shared" si="4"/>
        <v>5</v>
      </c>
      <c r="L151" s="16">
        <f t="shared" si="5"/>
        <v>65</v>
      </c>
      <c r="M151" s="22">
        <v>44927</v>
      </c>
      <c r="N151" s="44" t="s">
        <v>551</v>
      </c>
      <c r="O151" s="23" t="s">
        <v>16</v>
      </c>
      <c r="P151" s="24" t="s">
        <v>17</v>
      </c>
      <c r="Q151" s="28" t="s">
        <v>221</v>
      </c>
    </row>
    <row r="152" spans="1:17">
      <c r="A152" s="14">
        <v>148</v>
      </c>
      <c r="B152" s="15" t="s">
        <v>222</v>
      </c>
      <c r="C152" s="16">
        <f>'Медикаменты Ноябрь'!L152</f>
        <v>30</v>
      </c>
      <c r="D152" s="17"/>
      <c r="E152" s="14"/>
      <c r="F152" s="18"/>
      <c r="G152" s="19"/>
      <c r="H152" s="20"/>
      <c r="I152" s="21"/>
      <c r="J152" s="14"/>
      <c r="K152" s="14">
        <f t="shared" si="4"/>
        <v>0</v>
      </c>
      <c r="L152" s="16">
        <f t="shared" si="5"/>
        <v>30</v>
      </c>
      <c r="M152" s="22">
        <v>44866</v>
      </c>
      <c r="N152" s="44" t="s">
        <v>551</v>
      </c>
      <c r="O152" s="23" t="s">
        <v>16</v>
      </c>
      <c r="P152" s="24" t="s">
        <v>17</v>
      </c>
      <c r="Q152" s="28" t="s">
        <v>223</v>
      </c>
    </row>
    <row r="153" spans="1:17">
      <c r="A153" s="14">
        <v>149</v>
      </c>
      <c r="B153" s="15" t="s">
        <v>224</v>
      </c>
      <c r="C153" s="16">
        <f>'Медикаменты Ноябрь'!L153</f>
        <v>30</v>
      </c>
      <c r="D153" s="17"/>
      <c r="E153" s="14"/>
      <c r="F153" s="18"/>
      <c r="G153" s="19"/>
      <c r="H153" s="20"/>
      <c r="I153" s="21"/>
      <c r="J153" s="14"/>
      <c r="K153" s="14">
        <f t="shared" si="4"/>
        <v>0</v>
      </c>
      <c r="L153" s="16">
        <f t="shared" si="5"/>
        <v>30</v>
      </c>
      <c r="M153" s="22">
        <v>46023</v>
      </c>
      <c r="N153" s="44" t="s">
        <v>551</v>
      </c>
      <c r="O153" s="23" t="s">
        <v>16</v>
      </c>
      <c r="P153" s="24" t="s">
        <v>17</v>
      </c>
      <c r="Q153" s="28" t="s">
        <v>225</v>
      </c>
    </row>
    <row r="154" spans="1:17">
      <c r="A154" s="14">
        <v>150</v>
      </c>
      <c r="B154" s="15" t="s">
        <v>226</v>
      </c>
      <c r="C154" s="16">
        <f>'Медикаменты Ноябрь'!L154</f>
        <v>0</v>
      </c>
      <c r="D154" s="17"/>
      <c r="E154" s="14"/>
      <c r="F154" s="18"/>
      <c r="G154" s="19"/>
      <c r="H154" s="20"/>
      <c r="I154" s="21"/>
      <c r="J154" s="14"/>
      <c r="K154" s="14">
        <f t="shared" si="4"/>
        <v>0</v>
      </c>
      <c r="L154" s="16">
        <f t="shared" si="5"/>
        <v>0</v>
      </c>
      <c r="M154" s="22"/>
      <c r="N154" s="44"/>
      <c r="O154" s="23" t="s">
        <v>16</v>
      </c>
      <c r="P154" s="24"/>
      <c r="Q154" s="45"/>
    </row>
    <row r="155" spans="1:17">
      <c r="A155" s="14">
        <v>151</v>
      </c>
      <c r="B155" s="15" t="s">
        <v>227</v>
      </c>
      <c r="C155" s="16">
        <f>'Медикаменты Ноябрь'!L155</f>
        <v>0</v>
      </c>
      <c r="D155" s="17"/>
      <c r="E155" s="14"/>
      <c r="F155" s="18"/>
      <c r="G155" s="19"/>
      <c r="H155" s="20"/>
      <c r="I155" s="21"/>
      <c r="J155" s="14"/>
      <c r="K155" s="14">
        <f t="shared" si="4"/>
        <v>0</v>
      </c>
      <c r="L155" s="16">
        <f t="shared" si="5"/>
        <v>0</v>
      </c>
      <c r="M155" s="22">
        <v>44562</v>
      </c>
      <c r="N155" s="44"/>
      <c r="O155" s="23" t="s">
        <v>16</v>
      </c>
      <c r="P155" s="24"/>
      <c r="Q155" s="28" t="s">
        <v>228</v>
      </c>
    </row>
    <row r="156" spans="1:17">
      <c r="A156" s="14">
        <v>152</v>
      </c>
      <c r="B156" s="15" t="s">
        <v>229</v>
      </c>
      <c r="C156" s="16">
        <f>'Медикаменты Ноябрь'!L156</f>
        <v>10</v>
      </c>
      <c r="D156" s="17"/>
      <c r="E156" s="14"/>
      <c r="F156" s="18"/>
      <c r="G156" s="19"/>
      <c r="H156" s="20"/>
      <c r="I156" s="21"/>
      <c r="J156" s="14"/>
      <c r="K156" s="14">
        <f t="shared" si="4"/>
        <v>0</v>
      </c>
      <c r="L156" s="16">
        <f t="shared" si="5"/>
        <v>10</v>
      </c>
      <c r="M156" s="22">
        <v>44986</v>
      </c>
      <c r="N156" s="44" t="s">
        <v>45</v>
      </c>
      <c r="O156" s="23" t="s">
        <v>16</v>
      </c>
      <c r="P156" s="24" t="s">
        <v>17</v>
      </c>
      <c r="Q156" s="28" t="s">
        <v>230</v>
      </c>
    </row>
    <row r="157" spans="1:17">
      <c r="A157" s="14">
        <v>153</v>
      </c>
      <c r="B157" s="15" t="s">
        <v>231</v>
      </c>
      <c r="C157" s="16">
        <f>'Медикаменты Ноябрь'!L157</f>
        <v>0</v>
      </c>
      <c r="D157" s="17"/>
      <c r="E157" s="14"/>
      <c r="F157" s="18"/>
      <c r="G157" s="19"/>
      <c r="H157" s="20"/>
      <c r="I157" s="21"/>
      <c r="J157" s="14"/>
      <c r="K157" s="14">
        <f t="shared" si="4"/>
        <v>0</v>
      </c>
      <c r="L157" s="16">
        <f t="shared" si="5"/>
        <v>0</v>
      </c>
      <c r="M157" s="22"/>
      <c r="N157" s="44"/>
      <c r="O157" s="23" t="s">
        <v>16</v>
      </c>
      <c r="P157" s="24"/>
      <c r="Q157" s="45"/>
    </row>
    <row r="158" spans="1:17">
      <c r="A158" s="14">
        <v>154</v>
      </c>
      <c r="B158" s="15" t="s">
        <v>232</v>
      </c>
      <c r="C158" s="16">
        <f>'Медикаменты Ноябрь'!L158</f>
        <v>0</v>
      </c>
      <c r="D158" s="17"/>
      <c r="E158" s="14"/>
      <c r="F158" s="18"/>
      <c r="G158" s="19"/>
      <c r="H158" s="20"/>
      <c r="I158" s="21"/>
      <c r="J158" s="14"/>
      <c r="K158" s="14">
        <f t="shared" si="4"/>
        <v>0</v>
      </c>
      <c r="L158" s="16">
        <f t="shared" si="5"/>
        <v>0</v>
      </c>
      <c r="M158" s="22"/>
      <c r="N158" s="44"/>
      <c r="O158" s="23" t="s">
        <v>16</v>
      </c>
      <c r="P158" s="24"/>
      <c r="Q158" s="45"/>
    </row>
    <row r="159" spans="1:17">
      <c r="A159" s="14">
        <v>155</v>
      </c>
      <c r="B159" s="15" t="s">
        <v>233</v>
      </c>
      <c r="C159" s="16">
        <f>'Медикаменты Ноябрь'!L159</f>
        <v>0</v>
      </c>
      <c r="D159" s="17"/>
      <c r="E159" s="14"/>
      <c r="F159" s="18"/>
      <c r="G159" s="19"/>
      <c r="H159" s="20"/>
      <c r="I159" s="21"/>
      <c r="J159" s="14"/>
      <c r="K159" s="14">
        <f t="shared" si="4"/>
        <v>0</v>
      </c>
      <c r="L159" s="16">
        <f t="shared" si="5"/>
        <v>0</v>
      </c>
      <c r="M159" s="22">
        <v>44287</v>
      </c>
      <c r="N159" s="44"/>
      <c r="O159" s="23" t="s">
        <v>16</v>
      </c>
      <c r="P159" s="24" t="s">
        <v>45</v>
      </c>
      <c r="Q159" s="28" t="s">
        <v>234</v>
      </c>
    </row>
    <row r="160" spans="1:17">
      <c r="A160" s="14">
        <v>156</v>
      </c>
      <c r="B160" s="15" t="s">
        <v>235</v>
      </c>
      <c r="C160" s="16">
        <f>'Медикаменты Ноябрь'!L160</f>
        <v>0</v>
      </c>
      <c r="D160" s="17"/>
      <c r="E160" s="14"/>
      <c r="F160" s="18"/>
      <c r="G160" s="19"/>
      <c r="H160" s="20"/>
      <c r="I160" s="21"/>
      <c r="J160" s="14"/>
      <c r="K160" s="14">
        <f t="shared" si="4"/>
        <v>0</v>
      </c>
      <c r="L160" s="16">
        <f t="shared" si="5"/>
        <v>0</v>
      </c>
      <c r="M160" s="22"/>
      <c r="N160" s="44"/>
      <c r="O160" s="23" t="s">
        <v>16</v>
      </c>
      <c r="P160" s="24"/>
      <c r="Q160" s="45"/>
    </row>
    <row r="161" spans="1:17">
      <c r="A161" s="14">
        <v>157</v>
      </c>
      <c r="B161" s="15" t="s">
        <v>236</v>
      </c>
      <c r="C161" s="16">
        <f>'Медикаменты Ноябрь'!L161</f>
        <v>62</v>
      </c>
      <c r="D161" s="17"/>
      <c r="E161" s="14"/>
      <c r="F161" s="18">
        <f>45</f>
        <v>45</v>
      </c>
      <c r="G161" s="19">
        <f>2</f>
        <v>2</v>
      </c>
      <c r="H161" s="20">
        <f>15</f>
        <v>15</v>
      </c>
      <c r="I161" s="21"/>
      <c r="J161" s="14"/>
      <c r="K161" s="14">
        <f t="shared" si="4"/>
        <v>62</v>
      </c>
      <c r="L161" s="16">
        <f t="shared" si="5"/>
        <v>0</v>
      </c>
      <c r="M161" s="22">
        <v>44593</v>
      </c>
      <c r="N161" s="44" t="s">
        <v>45</v>
      </c>
      <c r="O161" s="23" t="s">
        <v>16</v>
      </c>
      <c r="P161" s="24" t="s">
        <v>45</v>
      </c>
      <c r="Q161" s="28" t="s">
        <v>237</v>
      </c>
    </row>
    <row r="162" spans="1:17">
      <c r="A162" s="14">
        <v>158</v>
      </c>
      <c r="B162" s="15" t="s">
        <v>238</v>
      </c>
      <c r="C162" s="16">
        <f>'Медикаменты Ноябрь'!L162</f>
        <v>0</v>
      </c>
      <c r="D162" s="17"/>
      <c r="E162" s="14"/>
      <c r="F162" s="18"/>
      <c r="G162" s="19"/>
      <c r="H162" s="20"/>
      <c r="I162" s="21"/>
      <c r="J162" s="14"/>
      <c r="K162" s="14">
        <f t="shared" si="4"/>
        <v>0</v>
      </c>
      <c r="L162" s="16">
        <f t="shared" si="5"/>
        <v>0</v>
      </c>
      <c r="M162" s="22"/>
      <c r="N162" s="44"/>
      <c r="O162" s="23" t="s">
        <v>16</v>
      </c>
      <c r="P162" s="24"/>
      <c r="Q162" s="45"/>
    </row>
    <row r="163" spans="1:17">
      <c r="A163" s="14">
        <v>159</v>
      </c>
      <c r="B163" s="15" t="s">
        <v>239</v>
      </c>
      <c r="C163" s="16">
        <f>'Медикаменты Ноябрь'!L163</f>
        <v>5</v>
      </c>
      <c r="D163" s="17"/>
      <c r="E163" s="14"/>
      <c r="F163" s="18">
        <f>5</f>
        <v>5</v>
      </c>
      <c r="G163" s="19"/>
      <c r="H163" s="20"/>
      <c r="I163" s="21"/>
      <c r="J163" s="14"/>
      <c r="K163" s="14">
        <f t="shared" si="4"/>
        <v>5</v>
      </c>
      <c r="L163" s="16">
        <f t="shared" si="5"/>
        <v>0</v>
      </c>
      <c r="M163" s="22">
        <v>45413</v>
      </c>
      <c r="N163" s="44" t="s">
        <v>551</v>
      </c>
      <c r="O163" s="23" t="s">
        <v>16</v>
      </c>
      <c r="P163" s="24" t="s">
        <v>17</v>
      </c>
      <c r="Q163" s="28" t="s">
        <v>629</v>
      </c>
    </row>
    <row r="164" spans="1:17">
      <c r="A164" s="14">
        <v>160</v>
      </c>
      <c r="B164" s="15" t="s">
        <v>239</v>
      </c>
      <c r="C164" s="16">
        <f>'Медикаменты Ноябрь'!L164</f>
        <v>0</v>
      </c>
      <c r="D164" s="17"/>
      <c r="E164" s="14"/>
      <c r="F164" s="18"/>
      <c r="G164" s="19"/>
      <c r="H164" s="20"/>
      <c r="I164" s="21"/>
      <c r="J164" s="14"/>
      <c r="K164" s="14">
        <f t="shared" si="4"/>
        <v>0</v>
      </c>
      <c r="L164" s="16">
        <f t="shared" si="5"/>
        <v>0</v>
      </c>
      <c r="M164" s="22">
        <v>45413</v>
      </c>
      <c r="N164" s="44" t="s">
        <v>551</v>
      </c>
      <c r="O164" s="23" t="s">
        <v>26</v>
      </c>
      <c r="P164" s="24" t="s">
        <v>17</v>
      </c>
      <c r="Q164" s="28" t="s">
        <v>629</v>
      </c>
    </row>
    <row r="165" spans="1:17">
      <c r="A165" s="14">
        <v>161</v>
      </c>
      <c r="B165" s="15" t="s">
        <v>240</v>
      </c>
      <c r="C165" s="16">
        <f>'Медикаменты Ноябрь'!L165</f>
        <v>50</v>
      </c>
      <c r="D165" s="17"/>
      <c r="E165" s="14"/>
      <c r="F165" s="18">
        <f>10</f>
        <v>10</v>
      </c>
      <c r="G165" s="19"/>
      <c r="H165" s="20"/>
      <c r="I165" s="21"/>
      <c r="J165" s="14"/>
      <c r="K165" s="14">
        <f t="shared" si="4"/>
        <v>10</v>
      </c>
      <c r="L165" s="16">
        <f t="shared" si="5"/>
        <v>40</v>
      </c>
      <c r="M165" s="22">
        <v>44652</v>
      </c>
      <c r="N165" s="44" t="s">
        <v>45</v>
      </c>
      <c r="O165" s="23" t="s">
        <v>16</v>
      </c>
      <c r="P165" s="24" t="s">
        <v>17</v>
      </c>
      <c r="Q165" s="28" t="s">
        <v>241</v>
      </c>
    </row>
    <row r="166" spans="1:17">
      <c r="A166" s="14">
        <v>162</v>
      </c>
      <c r="B166" s="15" t="s">
        <v>240</v>
      </c>
      <c r="C166" s="16">
        <f>'Медикаменты Ноябрь'!L166</f>
        <v>150</v>
      </c>
      <c r="D166" s="17"/>
      <c r="E166" s="14"/>
      <c r="F166" s="18"/>
      <c r="G166" s="19"/>
      <c r="H166" s="20"/>
      <c r="I166" s="21"/>
      <c r="J166" s="14"/>
      <c r="K166" s="14">
        <f t="shared" si="4"/>
        <v>0</v>
      </c>
      <c r="L166" s="16">
        <f t="shared" si="5"/>
        <v>150</v>
      </c>
      <c r="M166" s="22">
        <v>44866</v>
      </c>
      <c r="N166" s="44" t="s">
        <v>551</v>
      </c>
      <c r="O166" s="23" t="s">
        <v>16</v>
      </c>
      <c r="P166" s="24" t="s">
        <v>17</v>
      </c>
      <c r="Q166" s="28" t="s">
        <v>241</v>
      </c>
    </row>
    <row r="167" spans="1:17">
      <c r="A167" s="14">
        <v>163</v>
      </c>
      <c r="B167" s="15" t="s">
        <v>242</v>
      </c>
      <c r="C167" s="16">
        <f>'Медикаменты Ноябрь'!L167</f>
        <v>0</v>
      </c>
      <c r="D167" s="17"/>
      <c r="E167" s="14"/>
      <c r="F167" s="18"/>
      <c r="G167" s="19"/>
      <c r="H167" s="20"/>
      <c r="I167" s="21"/>
      <c r="J167" s="14"/>
      <c r="K167" s="14">
        <f t="shared" si="4"/>
        <v>0</v>
      </c>
      <c r="L167" s="16">
        <f t="shared" si="5"/>
        <v>0</v>
      </c>
      <c r="M167" s="22"/>
      <c r="N167" s="44"/>
      <c r="O167" s="23" t="s">
        <v>16</v>
      </c>
      <c r="P167" s="24"/>
      <c r="Q167" s="45"/>
    </row>
    <row r="168" spans="1:17" ht="26.25">
      <c r="A168" s="14">
        <v>164</v>
      </c>
      <c r="B168" s="15" t="s">
        <v>243</v>
      </c>
      <c r="C168" s="16">
        <f>'Медикаменты Ноябрь'!L168</f>
        <v>121</v>
      </c>
      <c r="D168" s="17"/>
      <c r="E168" s="14"/>
      <c r="F168" s="18">
        <f>5</f>
        <v>5</v>
      </c>
      <c r="G168" s="19"/>
      <c r="H168" s="20"/>
      <c r="I168" s="21"/>
      <c r="J168" s="14"/>
      <c r="K168" s="14">
        <f t="shared" si="4"/>
        <v>5</v>
      </c>
      <c r="L168" s="16">
        <f t="shared" si="5"/>
        <v>116</v>
      </c>
      <c r="M168" s="22">
        <v>44621</v>
      </c>
      <c r="N168" s="44" t="s">
        <v>45</v>
      </c>
      <c r="O168" s="23" t="s">
        <v>16</v>
      </c>
      <c r="P168" s="24" t="s">
        <v>17</v>
      </c>
      <c r="Q168" s="28" t="s">
        <v>244</v>
      </c>
    </row>
    <row r="169" spans="1:17">
      <c r="A169" s="14">
        <v>165</v>
      </c>
      <c r="B169" s="15" t="s">
        <v>245</v>
      </c>
      <c r="C169" s="16">
        <f>'Медикаменты Ноябрь'!L169</f>
        <v>0</v>
      </c>
      <c r="D169" s="17"/>
      <c r="E169" s="14"/>
      <c r="F169" s="18"/>
      <c r="G169" s="19"/>
      <c r="H169" s="20"/>
      <c r="I169" s="21"/>
      <c r="J169" s="14"/>
      <c r="K169" s="14">
        <f t="shared" si="4"/>
        <v>0</v>
      </c>
      <c r="L169" s="16">
        <f t="shared" si="5"/>
        <v>0</v>
      </c>
      <c r="M169" s="22"/>
      <c r="N169" s="44"/>
      <c r="O169" s="23" t="s">
        <v>16</v>
      </c>
      <c r="P169" s="24"/>
      <c r="Q169" s="45"/>
    </row>
    <row r="170" spans="1:17">
      <c r="A170" s="14">
        <v>166</v>
      </c>
      <c r="B170" s="15" t="s">
        <v>246</v>
      </c>
      <c r="C170" s="16">
        <f>'Медикаменты Ноябрь'!L170</f>
        <v>0</v>
      </c>
      <c r="D170" s="17"/>
      <c r="E170" s="14"/>
      <c r="F170" s="18"/>
      <c r="G170" s="19"/>
      <c r="H170" s="20"/>
      <c r="I170" s="21"/>
      <c r="J170" s="14"/>
      <c r="K170" s="14">
        <f t="shared" si="4"/>
        <v>0</v>
      </c>
      <c r="L170" s="16">
        <f t="shared" si="5"/>
        <v>0</v>
      </c>
      <c r="M170" s="22"/>
      <c r="N170" s="44"/>
      <c r="O170" s="23" t="s">
        <v>16</v>
      </c>
      <c r="P170" s="24"/>
      <c r="Q170" s="45"/>
    </row>
    <row r="171" spans="1:17">
      <c r="A171" s="14">
        <v>167</v>
      </c>
      <c r="B171" s="15" t="s">
        <v>247</v>
      </c>
      <c r="C171" s="16">
        <f>'Медикаменты Ноябрь'!L171</f>
        <v>0</v>
      </c>
      <c r="D171" s="17"/>
      <c r="E171" s="14"/>
      <c r="F171" s="18"/>
      <c r="G171" s="19"/>
      <c r="H171" s="20"/>
      <c r="I171" s="21"/>
      <c r="J171" s="14"/>
      <c r="K171" s="14">
        <f t="shared" si="4"/>
        <v>0</v>
      </c>
      <c r="L171" s="16">
        <f t="shared" si="5"/>
        <v>0</v>
      </c>
      <c r="M171" s="22"/>
      <c r="N171" s="44"/>
      <c r="O171" s="23" t="s">
        <v>16</v>
      </c>
      <c r="P171" s="24"/>
      <c r="Q171" s="45"/>
    </row>
    <row r="172" spans="1:17">
      <c r="A172" s="14">
        <v>168</v>
      </c>
      <c r="B172" s="15" t="s">
        <v>248</v>
      </c>
      <c r="C172" s="16">
        <f>'Медикаменты Ноябрь'!L172</f>
        <v>0</v>
      </c>
      <c r="D172" s="17"/>
      <c r="E172" s="14"/>
      <c r="F172" s="18"/>
      <c r="G172" s="19"/>
      <c r="H172" s="20"/>
      <c r="I172" s="21"/>
      <c r="J172" s="14"/>
      <c r="K172" s="14">
        <f t="shared" si="4"/>
        <v>0</v>
      </c>
      <c r="L172" s="16">
        <f t="shared" si="5"/>
        <v>0</v>
      </c>
      <c r="M172" s="22"/>
      <c r="N172" s="44"/>
      <c r="O172" s="23" t="s">
        <v>16</v>
      </c>
      <c r="P172" s="24"/>
      <c r="Q172" s="45"/>
    </row>
    <row r="173" spans="1:17">
      <c r="A173" s="14">
        <v>169</v>
      </c>
      <c r="B173" s="15" t="s">
        <v>249</v>
      </c>
      <c r="C173" s="16">
        <f>'Медикаменты Ноябрь'!L173</f>
        <v>0</v>
      </c>
      <c r="D173" s="17"/>
      <c r="E173" s="14"/>
      <c r="F173" s="18"/>
      <c r="G173" s="19"/>
      <c r="H173" s="20"/>
      <c r="I173" s="21"/>
      <c r="J173" s="14"/>
      <c r="K173" s="14">
        <f t="shared" si="4"/>
        <v>0</v>
      </c>
      <c r="L173" s="16">
        <f t="shared" si="5"/>
        <v>0</v>
      </c>
      <c r="M173" s="22"/>
      <c r="N173" s="44"/>
      <c r="O173" s="23" t="s">
        <v>16</v>
      </c>
      <c r="P173" s="24"/>
      <c r="Q173" s="45"/>
    </row>
    <row r="174" spans="1:17">
      <c r="A174" s="14">
        <v>170</v>
      </c>
      <c r="B174" s="15" t="s">
        <v>250</v>
      </c>
      <c r="C174" s="16">
        <f>'Медикаменты Ноябрь'!L174</f>
        <v>0</v>
      </c>
      <c r="D174" s="17"/>
      <c r="E174" s="14"/>
      <c r="F174" s="18"/>
      <c r="G174" s="19"/>
      <c r="H174" s="20"/>
      <c r="I174" s="21"/>
      <c r="J174" s="14"/>
      <c r="K174" s="14">
        <f t="shared" si="4"/>
        <v>0</v>
      </c>
      <c r="L174" s="16">
        <f t="shared" si="5"/>
        <v>0</v>
      </c>
      <c r="M174" s="22"/>
      <c r="N174" s="44"/>
      <c r="O174" s="23" t="s">
        <v>16</v>
      </c>
      <c r="P174" s="24"/>
      <c r="Q174" s="45"/>
    </row>
    <row r="175" spans="1:17">
      <c r="A175" s="14">
        <v>171</v>
      </c>
      <c r="B175" s="15" t="s">
        <v>251</v>
      </c>
      <c r="C175" s="16">
        <f>'Медикаменты Ноябрь'!L175</f>
        <v>0</v>
      </c>
      <c r="D175" s="17"/>
      <c r="E175" s="14"/>
      <c r="F175" s="18"/>
      <c r="G175" s="19"/>
      <c r="H175" s="20"/>
      <c r="I175" s="21"/>
      <c r="J175" s="14"/>
      <c r="K175" s="14">
        <f t="shared" si="4"/>
        <v>0</v>
      </c>
      <c r="L175" s="16">
        <f t="shared" si="5"/>
        <v>0</v>
      </c>
      <c r="M175" s="22">
        <v>44682</v>
      </c>
      <c r="N175" s="44" t="s">
        <v>45</v>
      </c>
      <c r="O175" s="23" t="s">
        <v>16</v>
      </c>
      <c r="P175" s="24" t="s">
        <v>45</v>
      </c>
      <c r="Q175" s="28" t="s">
        <v>252</v>
      </c>
    </row>
    <row r="176" spans="1:17">
      <c r="A176" s="14">
        <v>172</v>
      </c>
      <c r="B176" s="15" t="s">
        <v>253</v>
      </c>
      <c r="C176" s="16">
        <f>'Медикаменты Ноябрь'!L176</f>
        <v>100</v>
      </c>
      <c r="D176" s="17"/>
      <c r="E176" s="14"/>
      <c r="F176" s="18"/>
      <c r="G176" s="19"/>
      <c r="H176" s="20"/>
      <c r="I176" s="21"/>
      <c r="J176" s="14"/>
      <c r="K176" s="14">
        <f t="shared" si="4"/>
        <v>0</v>
      </c>
      <c r="L176" s="16">
        <f t="shared" si="5"/>
        <v>100</v>
      </c>
      <c r="M176" s="22">
        <v>45047</v>
      </c>
      <c r="N176" s="44" t="s">
        <v>45</v>
      </c>
      <c r="O176" s="23" t="s">
        <v>16</v>
      </c>
      <c r="P176" s="24" t="s">
        <v>17</v>
      </c>
      <c r="Q176" s="28" t="s">
        <v>254</v>
      </c>
    </row>
    <row r="177" spans="1:17">
      <c r="A177" s="14">
        <v>173</v>
      </c>
      <c r="B177" s="15" t="s">
        <v>255</v>
      </c>
      <c r="C177" s="16">
        <f>'Медикаменты Ноябрь'!L177</f>
        <v>0</v>
      </c>
      <c r="D177" s="17"/>
      <c r="E177" s="14"/>
      <c r="F177" s="18"/>
      <c r="G177" s="19"/>
      <c r="H177" s="20"/>
      <c r="I177" s="21"/>
      <c r="J177" s="14"/>
      <c r="K177" s="14">
        <f t="shared" si="4"/>
        <v>0</v>
      </c>
      <c r="L177" s="16">
        <f t="shared" si="5"/>
        <v>0</v>
      </c>
      <c r="M177" s="22">
        <v>44562</v>
      </c>
      <c r="N177" s="44"/>
      <c r="O177" s="23" t="s">
        <v>26</v>
      </c>
      <c r="P177" s="24"/>
      <c r="Q177" s="28"/>
    </row>
    <row r="178" spans="1:17">
      <c r="A178" s="14">
        <v>174</v>
      </c>
      <c r="B178" s="15" t="s">
        <v>256</v>
      </c>
      <c r="C178" s="16">
        <f>'Медикаменты Ноябрь'!L178</f>
        <v>0</v>
      </c>
      <c r="D178" s="17"/>
      <c r="E178" s="14"/>
      <c r="F178" s="18"/>
      <c r="G178" s="19"/>
      <c r="H178" s="20"/>
      <c r="I178" s="21"/>
      <c r="J178" s="14"/>
      <c r="K178" s="14">
        <f t="shared" si="4"/>
        <v>0</v>
      </c>
      <c r="L178" s="16">
        <f t="shared" si="5"/>
        <v>0</v>
      </c>
      <c r="M178" s="22">
        <v>44044</v>
      </c>
      <c r="N178" s="44"/>
      <c r="O178" s="23" t="s">
        <v>16</v>
      </c>
      <c r="P178" s="24"/>
      <c r="Q178" s="45"/>
    </row>
    <row r="179" spans="1:17">
      <c r="A179" s="14">
        <v>175</v>
      </c>
      <c r="B179" s="15" t="s">
        <v>257</v>
      </c>
      <c r="C179" s="16">
        <f>'Медикаменты Ноябрь'!L179</f>
        <v>15</v>
      </c>
      <c r="D179" s="17"/>
      <c r="E179" s="14"/>
      <c r="F179" s="18">
        <f>5</f>
        <v>5</v>
      </c>
      <c r="G179" s="19"/>
      <c r="H179" s="20"/>
      <c r="I179" s="21"/>
      <c r="J179" s="14"/>
      <c r="K179" s="14">
        <f t="shared" si="4"/>
        <v>5</v>
      </c>
      <c r="L179" s="16">
        <f t="shared" si="5"/>
        <v>10</v>
      </c>
      <c r="M179" s="22">
        <v>45108</v>
      </c>
      <c r="N179" s="44" t="s">
        <v>551</v>
      </c>
      <c r="O179" s="23" t="s">
        <v>16</v>
      </c>
      <c r="P179" s="24" t="s">
        <v>17</v>
      </c>
      <c r="Q179" s="28" t="s">
        <v>258</v>
      </c>
    </row>
    <row r="180" spans="1:17">
      <c r="A180" s="14">
        <v>176</v>
      </c>
      <c r="B180" s="15" t="s">
        <v>259</v>
      </c>
      <c r="C180" s="16">
        <f>'Медикаменты Ноябрь'!L180</f>
        <v>0</v>
      </c>
      <c r="D180" s="17"/>
      <c r="E180" s="14"/>
      <c r="F180" s="18"/>
      <c r="G180" s="19"/>
      <c r="H180" s="20"/>
      <c r="I180" s="21"/>
      <c r="J180" s="14"/>
      <c r="K180" s="14">
        <f t="shared" si="4"/>
        <v>0</v>
      </c>
      <c r="L180" s="16">
        <f t="shared" si="5"/>
        <v>0</v>
      </c>
      <c r="M180" s="22">
        <v>44531</v>
      </c>
      <c r="N180" s="44" t="s">
        <v>45</v>
      </c>
      <c r="O180" s="23" t="s">
        <v>16</v>
      </c>
      <c r="P180" s="24" t="s">
        <v>17</v>
      </c>
      <c r="Q180" s="28" t="s">
        <v>260</v>
      </c>
    </row>
    <row r="181" spans="1:17">
      <c r="A181" s="14">
        <v>177</v>
      </c>
      <c r="B181" s="15" t="s">
        <v>261</v>
      </c>
      <c r="C181" s="16">
        <f>'Медикаменты Ноябрь'!L181</f>
        <v>55</v>
      </c>
      <c r="D181" s="17"/>
      <c r="E181" s="14"/>
      <c r="F181" s="18">
        <f>30</f>
        <v>30</v>
      </c>
      <c r="G181" s="19"/>
      <c r="H181" s="20"/>
      <c r="I181" s="21"/>
      <c r="J181" s="14"/>
      <c r="K181" s="14">
        <f t="shared" si="4"/>
        <v>30</v>
      </c>
      <c r="L181" s="16">
        <f t="shared" si="5"/>
        <v>25</v>
      </c>
      <c r="M181" s="22">
        <v>45078</v>
      </c>
      <c r="N181" s="44" t="s">
        <v>551</v>
      </c>
      <c r="O181" s="23" t="s">
        <v>16</v>
      </c>
      <c r="P181" s="24" t="s">
        <v>17</v>
      </c>
      <c r="Q181" s="28" t="s">
        <v>262</v>
      </c>
    </row>
    <row r="182" spans="1:17">
      <c r="A182" s="14">
        <v>178</v>
      </c>
      <c r="B182" s="15" t="s">
        <v>261</v>
      </c>
      <c r="C182" s="16">
        <f>'Медикаменты Ноябрь'!L182</f>
        <v>0</v>
      </c>
      <c r="D182" s="17"/>
      <c r="E182" s="14"/>
      <c r="F182" s="18"/>
      <c r="G182" s="19"/>
      <c r="H182" s="20"/>
      <c r="I182" s="21"/>
      <c r="J182" s="14"/>
      <c r="K182" s="14">
        <f t="shared" si="4"/>
        <v>0</v>
      </c>
      <c r="L182" s="16">
        <f t="shared" si="5"/>
        <v>0</v>
      </c>
      <c r="M182" s="22">
        <v>45078</v>
      </c>
      <c r="N182" s="44" t="s">
        <v>551</v>
      </c>
      <c r="O182" s="23" t="s">
        <v>26</v>
      </c>
      <c r="P182" s="24" t="s">
        <v>17</v>
      </c>
      <c r="Q182" s="28" t="s">
        <v>262</v>
      </c>
    </row>
    <row r="183" spans="1:17">
      <c r="A183" s="14">
        <v>179</v>
      </c>
      <c r="B183" s="15" t="s">
        <v>263</v>
      </c>
      <c r="C183" s="16">
        <f>'Медикаменты Ноябрь'!L183</f>
        <v>0</v>
      </c>
      <c r="D183" s="17"/>
      <c r="E183" s="14"/>
      <c r="F183" s="18"/>
      <c r="G183" s="19"/>
      <c r="H183" s="20"/>
      <c r="I183" s="21"/>
      <c r="J183" s="14"/>
      <c r="K183" s="14">
        <f t="shared" si="4"/>
        <v>0</v>
      </c>
      <c r="L183" s="16">
        <f t="shared" si="5"/>
        <v>0</v>
      </c>
      <c r="M183" s="22"/>
      <c r="N183" s="44"/>
      <c r="O183" s="23" t="s">
        <v>16</v>
      </c>
      <c r="P183" s="24"/>
      <c r="Q183" s="45"/>
    </row>
    <row r="184" spans="1:17">
      <c r="A184" s="14">
        <v>180</v>
      </c>
      <c r="B184" s="15" t="s">
        <v>264</v>
      </c>
      <c r="C184" s="16">
        <f>'Медикаменты Ноябрь'!L184</f>
        <v>0</v>
      </c>
      <c r="D184" s="17"/>
      <c r="E184" s="14"/>
      <c r="F184" s="18"/>
      <c r="G184" s="19"/>
      <c r="H184" s="20"/>
      <c r="I184" s="21"/>
      <c r="J184" s="14"/>
      <c r="K184" s="14">
        <f t="shared" si="4"/>
        <v>0</v>
      </c>
      <c r="L184" s="16">
        <f t="shared" si="5"/>
        <v>0</v>
      </c>
      <c r="M184" s="22"/>
      <c r="N184" s="44"/>
      <c r="O184" s="23" t="s">
        <v>16</v>
      </c>
      <c r="P184" s="24"/>
      <c r="Q184" s="45"/>
    </row>
    <row r="185" spans="1:17">
      <c r="A185" s="14">
        <v>181</v>
      </c>
      <c r="B185" s="15" t="s">
        <v>265</v>
      </c>
      <c r="C185" s="16">
        <f>'Медикаменты Ноябрь'!L185</f>
        <v>0</v>
      </c>
      <c r="D185" s="17"/>
      <c r="E185" s="14"/>
      <c r="F185" s="18"/>
      <c r="G185" s="19"/>
      <c r="H185" s="20"/>
      <c r="I185" s="21"/>
      <c r="J185" s="14"/>
      <c r="K185" s="14">
        <f t="shared" si="4"/>
        <v>0</v>
      </c>
      <c r="L185" s="16">
        <f t="shared" si="5"/>
        <v>0</v>
      </c>
      <c r="M185" s="22"/>
      <c r="N185" s="44"/>
      <c r="O185" s="23" t="s">
        <v>16</v>
      </c>
      <c r="P185" s="24"/>
      <c r="Q185" s="45"/>
    </row>
    <row r="186" spans="1:17">
      <c r="A186" s="14">
        <v>182</v>
      </c>
      <c r="B186" s="15" t="s">
        <v>266</v>
      </c>
      <c r="C186" s="16">
        <f>'Медикаменты Ноябрь'!L186</f>
        <v>0</v>
      </c>
      <c r="D186" s="17"/>
      <c r="E186" s="14"/>
      <c r="F186" s="18"/>
      <c r="G186" s="19"/>
      <c r="H186" s="20"/>
      <c r="I186" s="21"/>
      <c r="J186" s="14"/>
      <c r="K186" s="14">
        <f t="shared" si="4"/>
        <v>0</v>
      </c>
      <c r="L186" s="16">
        <f t="shared" si="5"/>
        <v>0</v>
      </c>
      <c r="M186" s="22"/>
      <c r="N186" s="44"/>
      <c r="O186" s="23" t="s">
        <v>16</v>
      </c>
      <c r="P186" s="24"/>
      <c r="Q186" s="45"/>
    </row>
    <row r="187" spans="1:17">
      <c r="A187" s="14">
        <v>183</v>
      </c>
      <c r="B187" s="15" t="s">
        <v>267</v>
      </c>
      <c r="C187" s="16">
        <f>'Медикаменты Ноябрь'!L187</f>
        <v>0</v>
      </c>
      <c r="D187" s="17"/>
      <c r="E187" s="14"/>
      <c r="F187" s="18"/>
      <c r="G187" s="19"/>
      <c r="H187" s="20"/>
      <c r="I187" s="21"/>
      <c r="J187" s="14"/>
      <c r="K187" s="14">
        <f t="shared" si="4"/>
        <v>0</v>
      </c>
      <c r="L187" s="16">
        <f t="shared" si="5"/>
        <v>0</v>
      </c>
      <c r="M187" s="22"/>
      <c r="N187" s="44"/>
      <c r="O187" s="23" t="s">
        <v>16</v>
      </c>
      <c r="P187" s="24"/>
      <c r="Q187" s="45"/>
    </row>
    <row r="188" spans="1:17">
      <c r="A188" s="14">
        <v>184</v>
      </c>
      <c r="B188" s="15" t="s">
        <v>268</v>
      </c>
      <c r="C188" s="16">
        <f>'Медикаменты Ноябрь'!L188</f>
        <v>15</v>
      </c>
      <c r="D188" s="17"/>
      <c r="E188" s="14"/>
      <c r="F188" s="18">
        <f>5</f>
        <v>5</v>
      </c>
      <c r="G188" s="19"/>
      <c r="H188" s="20"/>
      <c r="I188" s="21"/>
      <c r="J188" s="14"/>
      <c r="K188" s="14">
        <f t="shared" si="4"/>
        <v>5</v>
      </c>
      <c r="L188" s="16">
        <f t="shared" si="5"/>
        <v>10</v>
      </c>
      <c r="M188" s="22">
        <v>45748</v>
      </c>
      <c r="N188" s="44" t="s">
        <v>551</v>
      </c>
      <c r="O188" s="23" t="s">
        <v>16</v>
      </c>
      <c r="P188" s="24" t="s">
        <v>17</v>
      </c>
      <c r="Q188" s="28" t="s">
        <v>269</v>
      </c>
    </row>
    <row r="189" spans="1:17">
      <c r="A189" s="14">
        <v>185</v>
      </c>
      <c r="B189" s="15" t="s">
        <v>268</v>
      </c>
      <c r="C189" s="16">
        <f>'Медикаменты Ноябрь'!L189</f>
        <v>0</v>
      </c>
      <c r="D189" s="17"/>
      <c r="E189" s="14"/>
      <c r="F189" s="18"/>
      <c r="G189" s="19"/>
      <c r="H189" s="20"/>
      <c r="I189" s="21"/>
      <c r="J189" s="14"/>
      <c r="K189" s="14">
        <f t="shared" si="4"/>
        <v>0</v>
      </c>
      <c r="L189" s="16">
        <f t="shared" si="5"/>
        <v>0</v>
      </c>
      <c r="M189" s="22">
        <v>45748</v>
      </c>
      <c r="N189" s="44" t="s">
        <v>551</v>
      </c>
      <c r="O189" s="23" t="s">
        <v>26</v>
      </c>
      <c r="P189" s="24" t="s">
        <v>17</v>
      </c>
      <c r="Q189" s="28" t="s">
        <v>269</v>
      </c>
    </row>
    <row r="190" spans="1:17">
      <c r="A190" s="14">
        <v>186</v>
      </c>
      <c r="B190" s="15" t="s">
        <v>601</v>
      </c>
      <c r="C190" s="16">
        <f>'Медикаменты Ноябрь'!L190</f>
        <v>53</v>
      </c>
      <c r="D190" s="17"/>
      <c r="E190" s="14"/>
      <c r="F190" s="18">
        <f>10+3</f>
        <v>13</v>
      </c>
      <c r="G190" s="19"/>
      <c r="H190" s="20"/>
      <c r="I190" s="21"/>
      <c r="J190" s="14"/>
      <c r="K190" s="14">
        <f t="shared" si="4"/>
        <v>13</v>
      </c>
      <c r="L190" s="16">
        <f t="shared" si="5"/>
        <v>40</v>
      </c>
      <c r="M190" s="22">
        <v>45383</v>
      </c>
      <c r="N190" s="44" t="s">
        <v>551</v>
      </c>
      <c r="O190" s="23" t="s">
        <v>16</v>
      </c>
      <c r="P190" s="24" t="s">
        <v>17</v>
      </c>
      <c r="Q190" s="28" t="s">
        <v>602</v>
      </c>
    </row>
    <row r="191" spans="1:17">
      <c r="A191" s="14">
        <v>187</v>
      </c>
      <c r="B191" s="15" t="s">
        <v>270</v>
      </c>
      <c r="C191" s="16">
        <f>'Медикаменты Ноябрь'!L191</f>
        <v>0</v>
      </c>
      <c r="D191" s="17"/>
      <c r="E191" s="14"/>
      <c r="F191" s="18"/>
      <c r="G191" s="19"/>
      <c r="H191" s="20"/>
      <c r="I191" s="21"/>
      <c r="J191" s="14"/>
      <c r="K191" s="14">
        <f t="shared" si="4"/>
        <v>0</v>
      </c>
      <c r="L191" s="16">
        <f t="shared" si="5"/>
        <v>0</v>
      </c>
      <c r="M191" s="22">
        <v>44075</v>
      </c>
      <c r="N191" s="44"/>
      <c r="O191" s="23" t="s">
        <v>16</v>
      </c>
      <c r="P191" s="24"/>
      <c r="Q191" s="28" t="s">
        <v>271</v>
      </c>
    </row>
    <row r="192" spans="1:17">
      <c r="A192" s="14">
        <v>188</v>
      </c>
      <c r="B192" s="15" t="s">
        <v>630</v>
      </c>
      <c r="C192" s="16">
        <f>'Медикаменты Ноябрь'!L192</f>
        <v>0</v>
      </c>
      <c r="D192" s="17"/>
      <c r="E192" s="14"/>
      <c r="F192" s="18"/>
      <c r="G192" s="19"/>
      <c r="H192" s="20"/>
      <c r="I192" s="21"/>
      <c r="J192" s="14"/>
      <c r="K192" s="14">
        <f t="shared" si="4"/>
        <v>0</v>
      </c>
      <c r="L192" s="16">
        <f t="shared" si="5"/>
        <v>0</v>
      </c>
      <c r="M192" s="22">
        <v>45352</v>
      </c>
      <c r="N192" s="44" t="s">
        <v>551</v>
      </c>
      <c r="O192" s="23" t="s">
        <v>16</v>
      </c>
      <c r="P192" s="24" t="s">
        <v>17</v>
      </c>
      <c r="Q192" s="28" t="s">
        <v>273</v>
      </c>
    </row>
    <row r="193" spans="1:17">
      <c r="A193" s="14">
        <v>189</v>
      </c>
      <c r="B193" s="15" t="s">
        <v>647</v>
      </c>
      <c r="C193" s="16">
        <f>'Медикаменты Ноябрь'!L193</f>
        <v>146</v>
      </c>
      <c r="D193" s="17"/>
      <c r="E193" s="14"/>
      <c r="F193" s="18">
        <f>3</f>
        <v>3</v>
      </c>
      <c r="G193" s="19"/>
      <c r="H193" s="20"/>
      <c r="I193" s="21"/>
      <c r="J193" s="14"/>
      <c r="K193" s="14">
        <f t="shared" si="4"/>
        <v>3</v>
      </c>
      <c r="L193" s="16">
        <f t="shared" si="5"/>
        <v>143</v>
      </c>
      <c r="M193" s="22">
        <v>45323</v>
      </c>
      <c r="N193" s="44" t="s">
        <v>551</v>
      </c>
      <c r="O193" s="23" t="s">
        <v>16</v>
      </c>
      <c r="P193" s="24" t="s">
        <v>17</v>
      </c>
      <c r="Q193" s="28" t="s">
        <v>648</v>
      </c>
    </row>
    <row r="194" spans="1:17">
      <c r="A194" s="14">
        <v>190</v>
      </c>
      <c r="B194" s="15" t="s">
        <v>274</v>
      </c>
      <c r="C194" s="16">
        <f>'Медикаменты Ноябрь'!L194</f>
        <v>570</v>
      </c>
      <c r="D194" s="17"/>
      <c r="E194" s="14"/>
      <c r="F194" s="18">
        <f>20</f>
        <v>20</v>
      </c>
      <c r="G194" s="19"/>
      <c r="H194" s="20"/>
      <c r="I194" s="21"/>
      <c r="J194" s="14"/>
      <c r="K194" s="14">
        <f t="shared" si="4"/>
        <v>20</v>
      </c>
      <c r="L194" s="16">
        <f t="shared" si="5"/>
        <v>550</v>
      </c>
      <c r="M194" s="22">
        <v>45931</v>
      </c>
      <c r="N194" s="44" t="s">
        <v>551</v>
      </c>
      <c r="O194" s="23" t="s">
        <v>16</v>
      </c>
      <c r="P194" s="24" t="s">
        <v>17</v>
      </c>
      <c r="Q194" s="28" t="s">
        <v>275</v>
      </c>
    </row>
    <row r="195" spans="1:17">
      <c r="A195" s="14">
        <v>191</v>
      </c>
      <c r="B195" s="15" t="s">
        <v>276</v>
      </c>
      <c r="C195" s="16">
        <f>'Медикаменты Ноябрь'!L195</f>
        <v>0</v>
      </c>
      <c r="D195" s="17"/>
      <c r="E195" s="14"/>
      <c r="F195" s="18"/>
      <c r="G195" s="19"/>
      <c r="H195" s="20"/>
      <c r="I195" s="21"/>
      <c r="J195" s="14"/>
      <c r="K195" s="14">
        <f t="shared" si="4"/>
        <v>0</v>
      </c>
      <c r="L195" s="16">
        <f t="shared" si="5"/>
        <v>0</v>
      </c>
      <c r="M195" s="22"/>
      <c r="N195" s="44"/>
      <c r="O195" s="23" t="s">
        <v>16</v>
      </c>
      <c r="P195" s="24"/>
      <c r="Q195" s="45"/>
    </row>
    <row r="196" spans="1:17">
      <c r="A196" s="14">
        <v>192</v>
      </c>
      <c r="B196" s="15" t="s">
        <v>277</v>
      </c>
      <c r="C196" s="16">
        <f>'Медикаменты Ноябрь'!L196</f>
        <v>7</v>
      </c>
      <c r="D196" s="17"/>
      <c r="E196" s="14"/>
      <c r="F196" s="18">
        <f>5</f>
        <v>5</v>
      </c>
      <c r="G196" s="19">
        <f>1</f>
        <v>1</v>
      </c>
      <c r="H196" s="20">
        <f>1</f>
        <v>1</v>
      </c>
      <c r="I196" s="21"/>
      <c r="J196" s="14"/>
      <c r="K196" s="14">
        <f t="shared" si="4"/>
        <v>7</v>
      </c>
      <c r="L196" s="16">
        <f t="shared" si="5"/>
        <v>0</v>
      </c>
      <c r="M196" s="22">
        <v>44621</v>
      </c>
      <c r="N196" s="44" t="s">
        <v>45</v>
      </c>
      <c r="O196" s="23" t="s">
        <v>16</v>
      </c>
      <c r="P196" s="24" t="s">
        <v>17</v>
      </c>
      <c r="Q196" s="28" t="s">
        <v>278</v>
      </c>
    </row>
    <row r="197" spans="1:17">
      <c r="A197" s="14">
        <v>193</v>
      </c>
      <c r="B197" s="15" t="s">
        <v>279</v>
      </c>
      <c r="C197" s="16">
        <f>'Медикаменты Ноябрь'!L197</f>
        <v>0</v>
      </c>
      <c r="D197" s="17"/>
      <c r="E197" s="14"/>
      <c r="F197" s="18"/>
      <c r="G197" s="19"/>
      <c r="H197" s="20"/>
      <c r="I197" s="21"/>
      <c r="J197" s="14"/>
      <c r="K197" s="14">
        <f t="shared" ref="K197:K260" si="6">SUM(F197:J197)</f>
        <v>0</v>
      </c>
      <c r="L197" s="16">
        <f t="shared" ref="L197:L260" si="7">(C197+E197)-K197</f>
        <v>0</v>
      </c>
      <c r="M197" s="22">
        <v>44378</v>
      </c>
      <c r="N197" s="44" t="s">
        <v>45</v>
      </c>
      <c r="O197" s="23" t="s">
        <v>16</v>
      </c>
      <c r="P197" s="24" t="s">
        <v>17</v>
      </c>
      <c r="Q197" s="28" t="s">
        <v>280</v>
      </c>
    </row>
    <row r="198" spans="1:17">
      <c r="A198" s="14">
        <v>194</v>
      </c>
      <c r="B198" s="15" t="s">
        <v>281</v>
      </c>
      <c r="C198" s="16">
        <f>'Медикаменты Ноябрь'!L198</f>
        <v>65</v>
      </c>
      <c r="D198" s="17"/>
      <c r="E198" s="14"/>
      <c r="F198" s="18"/>
      <c r="G198" s="19"/>
      <c r="H198" s="20"/>
      <c r="I198" s="21"/>
      <c r="J198" s="14"/>
      <c r="K198" s="14">
        <f t="shared" si="6"/>
        <v>0</v>
      </c>
      <c r="L198" s="16">
        <f t="shared" si="7"/>
        <v>65</v>
      </c>
      <c r="M198" s="22">
        <v>45200</v>
      </c>
      <c r="N198" s="44" t="s">
        <v>551</v>
      </c>
      <c r="O198" s="23" t="s">
        <v>16</v>
      </c>
      <c r="P198" s="24" t="s">
        <v>17</v>
      </c>
      <c r="Q198" s="28" t="s">
        <v>282</v>
      </c>
    </row>
    <row r="199" spans="1:17">
      <c r="A199" s="14">
        <v>195</v>
      </c>
      <c r="B199" s="15" t="s">
        <v>553</v>
      </c>
      <c r="C199" s="16">
        <f>'Медикаменты Ноябрь'!L199</f>
        <v>0</v>
      </c>
      <c r="D199" s="17"/>
      <c r="E199" s="14"/>
      <c r="F199" s="18"/>
      <c r="G199" s="19"/>
      <c r="H199" s="20"/>
      <c r="I199" s="21"/>
      <c r="J199" s="14"/>
      <c r="K199" s="14">
        <f t="shared" si="6"/>
        <v>0</v>
      </c>
      <c r="L199" s="16">
        <f t="shared" si="7"/>
        <v>0</v>
      </c>
      <c r="M199" s="22">
        <v>44835</v>
      </c>
      <c r="N199" s="44" t="s">
        <v>45</v>
      </c>
      <c r="O199" s="23" t="s">
        <v>16</v>
      </c>
      <c r="P199" s="24" t="s">
        <v>17</v>
      </c>
      <c r="Q199" s="28" t="s">
        <v>554</v>
      </c>
    </row>
    <row r="200" spans="1:17">
      <c r="A200" s="14">
        <v>196</v>
      </c>
      <c r="B200" s="15" t="s">
        <v>283</v>
      </c>
      <c r="C200" s="16">
        <f>'Медикаменты Ноябрь'!L200</f>
        <v>50</v>
      </c>
      <c r="D200" s="17"/>
      <c r="E200" s="14"/>
      <c r="F200" s="18"/>
      <c r="G200" s="19"/>
      <c r="H200" s="20"/>
      <c r="I200" s="21"/>
      <c r="J200" s="14"/>
      <c r="K200" s="14">
        <f t="shared" si="6"/>
        <v>0</v>
      </c>
      <c r="L200" s="16">
        <f t="shared" si="7"/>
        <v>50</v>
      </c>
      <c r="M200" s="22">
        <v>44773</v>
      </c>
      <c r="N200" s="44" t="s">
        <v>551</v>
      </c>
      <c r="O200" s="23" t="s">
        <v>16</v>
      </c>
      <c r="P200" s="24" t="s">
        <v>17</v>
      </c>
      <c r="Q200" s="28" t="s">
        <v>284</v>
      </c>
    </row>
    <row r="201" spans="1:17">
      <c r="A201" s="14">
        <v>197</v>
      </c>
      <c r="B201" s="15" t="s">
        <v>631</v>
      </c>
      <c r="C201" s="16">
        <f>'Медикаменты Ноябрь'!L201</f>
        <v>2</v>
      </c>
      <c r="D201" s="17"/>
      <c r="E201" s="14"/>
      <c r="F201" s="18"/>
      <c r="G201" s="19"/>
      <c r="H201" s="20"/>
      <c r="I201" s="21"/>
      <c r="J201" s="14"/>
      <c r="K201" s="14">
        <f t="shared" si="6"/>
        <v>0</v>
      </c>
      <c r="L201" s="16">
        <f t="shared" si="7"/>
        <v>2</v>
      </c>
      <c r="M201" s="22">
        <v>45170</v>
      </c>
      <c r="N201" s="44" t="s">
        <v>45</v>
      </c>
      <c r="O201" s="23" t="s">
        <v>16</v>
      </c>
      <c r="P201" s="24" t="s">
        <v>17</v>
      </c>
      <c r="Q201" s="28" t="s">
        <v>632</v>
      </c>
    </row>
    <row r="202" spans="1:17">
      <c r="A202" s="14">
        <v>198</v>
      </c>
      <c r="B202" s="15" t="s">
        <v>649</v>
      </c>
      <c r="C202" s="16">
        <f>'Медикаменты Ноябрь'!L202</f>
        <v>22</v>
      </c>
      <c r="D202" s="17"/>
      <c r="E202" s="14"/>
      <c r="F202" s="18"/>
      <c r="G202" s="19"/>
      <c r="H202" s="20"/>
      <c r="I202" s="21"/>
      <c r="J202" s="14"/>
      <c r="K202" s="14">
        <f t="shared" si="6"/>
        <v>0</v>
      </c>
      <c r="L202" s="16">
        <f t="shared" si="7"/>
        <v>22</v>
      </c>
      <c r="M202" s="22">
        <v>44896</v>
      </c>
      <c r="N202" s="44" t="s">
        <v>551</v>
      </c>
      <c r="O202" s="23" t="s">
        <v>16</v>
      </c>
      <c r="P202" s="24" t="s">
        <v>17</v>
      </c>
      <c r="Q202" s="28" t="s">
        <v>650</v>
      </c>
    </row>
    <row r="203" spans="1:17">
      <c r="A203" s="14">
        <v>199</v>
      </c>
      <c r="B203" s="15" t="s">
        <v>670</v>
      </c>
      <c r="C203" s="16">
        <f>'Медикаменты Ноябрь'!L203</f>
        <v>22</v>
      </c>
      <c r="D203" s="17"/>
      <c r="E203" s="14"/>
      <c r="F203" s="18">
        <f>2</f>
        <v>2</v>
      </c>
      <c r="G203" s="19"/>
      <c r="H203" s="20"/>
      <c r="I203" s="21"/>
      <c r="J203" s="14"/>
      <c r="K203" s="14">
        <f t="shared" si="6"/>
        <v>2</v>
      </c>
      <c r="L203" s="16">
        <f t="shared" si="7"/>
        <v>20</v>
      </c>
      <c r="M203" s="22">
        <v>45627</v>
      </c>
      <c r="N203" s="44" t="s">
        <v>551</v>
      </c>
      <c r="O203" s="23" t="s">
        <v>16</v>
      </c>
      <c r="P203" s="24" t="s">
        <v>17</v>
      </c>
      <c r="Q203" s="28" t="s">
        <v>650</v>
      </c>
    </row>
    <row r="204" spans="1:17">
      <c r="A204" s="14">
        <v>200</v>
      </c>
      <c r="B204" s="15" t="s">
        <v>603</v>
      </c>
      <c r="C204" s="16">
        <f>'Медикаменты Ноябрь'!L204</f>
        <v>44</v>
      </c>
      <c r="D204" s="17"/>
      <c r="E204" s="14"/>
      <c r="F204" s="18">
        <f>5</f>
        <v>5</v>
      </c>
      <c r="G204" s="19"/>
      <c r="H204" s="20"/>
      <c r="I204" s="21"/>
      <c r="J204" s="14"/>
      <c r="K204" s="14">
        <f t="shared" si="6"/>
        <v>5</v>
      </c>
      <c r="L204" s="16">
        <f t="shared" si="7"/>
        <v>39</v>
      </c>
      <c r="M204" s="22">
        <v>44896</v>
      </c>
      <c r="N204" s="44" t="s">
        <v>551</v>
      </c>
      <c r="O204" s="23" t="s">
        <v>16</v>
      </c>
      <c r="P204" s="24" t="s">
        <v>17</v>
      </c>
      <c r="Q204" s="28" t="s">
        <v>604</v>
      </c>
    </row>
    <row r="205" spans="1:17">
      <c r="A205" s="14">
        <v>201</v>
      </c>
      <c r="B205" s="15" t="s">
        <v>288</v>
      </c>
      <c r="C205" s="16">
        <f>'Медикаменты Ноябрь'!L205</f>
        <v>0</v>
      </c>
      <c r="D205" s="17"/>
      <c r="E205" s="14"/>
      <c r="F205" s="18"/>
      <c r="G205" s="19"/>
      <c r="H205" s="20"/>
      <c r="I205" s="21"/>
      <c r="J205" s="14"/>
      <c r="K205" s="14">
        <f t="shared" si="6"/>
        <v>0</v>
      </c>
      <c r="L205" s="16">
        <f t="shared" si="7"/>
        <v>0</v>
      </c>
      <c r="M205" s="22">
        <v>44105</v>
      </c>
      <c r="N205" s="44"/>
      <c r="O205" s="23" t="s">
        <v>16</v>
      </c>
      <c r="P205" s="24"/>
      <c r="Q205" s="28" t="s">
        <v>289</v>
      </c>
    </row>
    <row r="206" spans="1:17">
      <c r="A206" s="14">
        <v>202</v>
      </c>
      <c r="B206" s="15" t="s">
        <v>290</v>
      </c>
      <c r="C206" s="16">
        <f>'Медикаменты Ноябрь'!L206</f>
        <v>0</v>
      </c>
      <c r="D206" s="17"/>
      <c r="E206" s="14"/>
      <c r="F206" s="18"/>
      <c r="G206" s="19"/>
      <c r="H206" s="20"/>
      <c r="I206" s="21"/>
      <c r="J206" s="14"/>
      <c r="K206" s="14">
        <f t="shared" si="6"/>
        <v>0</v>
      </c>
      <c r="L206" s="16">
        <f t="shared" si="7"/>
        <v>0</v>
      </c>
      <c r="M206" s="22">
        <v>44317</v>
      </c>
      <c r="N206" s="44" t="s">
        <v>45</v>
      </c>
      <c r="O206" s="23" t="s">
        <v>16</v>
      </c>
      <c r="P206" s="24" t="s">
        <v>17</v>
      </c>
      <c r="Q206" s="28" t="s">
        <v>291</v>
      </c>
    </row>
    <row r="207" spans="1:17">
      <c r="A207" s="14">
        <v>203</v>
      </c>
      <c r="B207" s="15" t="s">
        <v>292</v>
      </c>
      <c r="C207" s="16">
        <f>'Медикаменты Ноябрь'!L207</f>
        <v>0</v>
      </c>
      <c r="D207" s="17"/>
      <c r="E207" s="14"/>
      <c r="F207" s="18"/>
      <c r="G207" s="19"/>
      <c r="H207" s="20"/>
      <c r="I207" s="21"/>
      <c r="J207" s="14"/>
      <c r="K207" s="14">
        <f t="shared" si="6"/>
        <v>0</v>
      </c>
      <c r="L207" s="16">
        <f t="shared" si="7"/>
        <v>0</v>
      </c>
      <c r="M207" s="22">
        <v>44197</v>
      </c>
      <c r="N207" s="44"/>
      <c r="O207" s="23" t="s">
        <v>16</v>
      </c>
      <c r="P207" s="24"/>
      <c r="Q207" s="28" t="s">
        <v>293</v>
      </c>
    </row>
    <row r="208" spans="1:17">
      <c r="A208" s="14">
        <v>204</v>
      </c>
      <c r="B208" s="15" t="s">
        <v>292</v>
      </c>
      <c r="C208" s="16">
        <f>'Медикаменты Ноябрь'!L208</f>
        <v>6</v>
      </c>
      <c r="D208" s="17"/>
      <c r="E208" s="14"/>
      <c r="F208" s="18">
        <f>5</f>
        <v>5</v>
      </c>
      <c r="G208" s="19"/>
      <c r="H208" s="20"/>
      <c r="I208" s="21"/>
      <c r="J208" s="14"/>
      <c r="K208" s="14">
        <f t="shared" si="6"/>
        <v>5</v>
      </c>
      <c r="L208" s="16">
        <f t="shared" si="7"/>
        <v>1</v>
      </c>
      <c r="M208" s="22">
        <v>44713</v>
      </c>
      <c r="N208" s="44" t="s">
        <v>45</v>
      </c>
      <c r="O208" s="23" t="s">
        <v>16</v>
      </c>
      <c r="P208" s="24" t="s">
        <v>45</v>
      </c>
      <c r="Q208" s="28" t="s">
        <v>293</v>
      </c>
    </row>
    <row r="209" spans="1:17">
      <c r="A209" s="14">
        <v>205</v>
      </c>
      <c r="B209" s="15" t="s">
        <v>294</v>
      </c>
      <c r="C209" s="16">
        <f>'Медикаменты Ноябрь'!L209</f>
        <v>0</v>
      </c>
      <c r="D209" s="17"/>
      <c r="E209" s="14"/>
      <c r="F209" s="18"/>
      <c r="G209" s="19"/>
      <c r="H209" s="20"/>
      <c r="I209" s="21"/>
      <c r="J209" s="14"/>
      <c r="K209" s="14">
        <f t="shared" si="6"/>
        <v>0</v>
      </c>
      <c r="L209" s="16">
        <f t="shared" si="7"/>
        <v>0</v>
      </c>
      <c r="M209" s="22">
        <v>44409</v>
      </c>
      <c r="N209" s="44" t="s">
        <v>45</v>
      </c>
      <c r="O209" s="23" t="s">
        <v>16</v>
      </c>
      <c r="P209" s="24" t="s">
        <v>45</v>
      </c>
      <c r="Q209" s="28" t="s">
        <v>295</v>
      </c>
    </row>
    <row r="210" spans="1:17">
      <c r="A210" s="14">
        <v>206</v>
      </c>
      <c r="B210" s="15" t="s">
        <v>296</v>
      </c>
      <c r="C210" s="16">
        <f>'Медикаменты Ноябрь'!L210</f>
        <v>0</v>
      </c>
      <c r="D210" s="17"/>
      <c r="E210" s="14"/>
      <c r="F210" s="18"/>
      <c r="G210" s="19"/>
      <c r="H210" s="20"/>
      <c r="I210" s="21"/>
      <c r="J210" s="14"/>
      <c r="K210" s="14">
        <f t="shared" si="6"/>
        <v>0</v>
      </c>
      <c r="L210" s="16">
        <f t="shared" si="7"/>
        <v>0</v>
      </c>
      <c r="M210" s="22"/>
      <c r="N210" s="44"/>
      <c r="O210" s="23" t="s">
        <v>16</v>
      </c>
      <c r="P210" s="24"/>
      <c r="Q210" s="45"/>
    </row>
    <row r="211" spans="1:17">
      <c r="A211" s="14">
        <v>207</v>
      </c>
      <c r="B211" s="15" t="s">
        <v>297</v>
      </c>
      <c r="C211" s="16">
        <f>'Медикаменты Ноябрь'!L211</f>
        <v>0</v>
      </c>
      <c r="D211" s="17"/>
      <c r="E211" s="14"/>
      <c r="F211" s="18"/>
      <c r="G211" s="19"/>
      <c r="H211" s="20"/>
      <c r="I211" s="21"/>
      <c r="J211" s="14"/>
      <c r="K211" s="14">
        <f t="shared" si="6"/>
        <v>0</v>
      </c>
      <c r="L211" s="16">
        <f t="shared" si="7"/>
        <v>0</v>
      </c>
      <c r="M211" s="22"/>
      <c r="N211" s="44"/>
      <c r="O211" s="23" t="s">
        <v>16</v>
      </c>
      <c r="P211" s="24"/>
      <c r="Q211" s="45"/>
    </row>
    <row r="212" spans="1:17" ht="25.5">
      <c r="A212" s="14">
        <v>208</v>
      </c>
      <c r="B212" s="15" t="s">
        <v>298</v>
      </c>
      <c r="C212" s="16">
        <f>'Медикаменты Ноябрь'!L212</f>
        <v>0</v>
      </c>
      <c r="D212" s="17"/>
      <c r="E212" s="14"/>
      <c r="F212" s="18"/>
      <c r="G212" s="19"/>
      <c r="H212" s="20"/>
      <c r="I212" s="21"/>
      <c r="J212" s="14"/>
      <c r="K212" s="14">
        <f t="shared" si="6"/>
        <v>0</v>
      </c>
      <c r="L212" s="16">
        <f t="shared" si="7"/>
        <v>0</v>
      </c>
      <c r="M212" s="22">
        <v>44593</v>
      </c>
      <c r="N212" s="44"/>
      <c r="O212" s="23" t="s">
        <v>26</v>
      </c>
      <c r="P212" s="24"/>
      <c r="Q212" s="28"/>
    </row>
    <row r="213" spans="1:17">
      <c r="A213" s="14">
        <v>209</v>
      </c>
      <c r="B213" s="15" t="s">
        <v>299</v>
      </c>
      <c r="C213" s="16">
        <f>'Медикаменты Ноябрь'!L213</f>
        <v>0</v>
      </c>
      <c r="D213" s="17"/>
      <c r="E213" s="14"/>
      <c r="F213" s="18"/>
      <c r="G213" s="19"/>
      <c r="H213" s="20"/>
      <c r="I213" s="21"/>
      <c r="J213" s="14"/>
      <c r="K213" s="14">
        <f t="shared" si="6"/>
        <v>0</v>
      </c>
      <c r="L213" s="16">
        <f t="shared" si="7"/>
        <v>0</v>
      </c>
      <c r="M213" s="22">
        <v>44256</v>
      </c>
      <c r="N213" s="44"/>
      <c r="O213" s="23" t="s">
        <v>16</v>
      </c>
      <c r="P213" s="24"/>
      <c r="Q213" s="28" t="s">
        <v>300</v>
      </c>
    </row>
    <row r="214" spans="1:17">
      <c r="A214" s="14">
        <v>210</v>
      </c>
      <c r="B214" s="15" t="s">
        <v>301</v>
      </c>
      <c r="C214" s="16">
        <f>'Медикаменты Ноябрь'!L214</f>
        <v>0</v>
      </c>
      <c r="D214" s="17"/>
      <c r="E214" s="14"/>
      <c r="F214" s="18"/>
      <c r="G214" s="19"/>
      <c r="H214" s="20"/>
      <c r="I214" s="21"/>
      <c r="J214" s="14"/>
      <c r="K214" s="14">
        <f t="shared" si="6"/>
        <v>0</v>
      </c>
      <c r="L214" s="16">
        <f t="shared" si="7"/>
        <v>0</v>
      </c>
      <c r="M214" s="22"/>
      <c r="N214" s="44"/>
      <c r="O214" s="23" t="s">
        <v>16</v>
      </c>
      <c r="P214" s="24"/>
      <c r="Q214" s="45"/>
    </row>
    <row r="215" spans="1:17">
      <c r="A215" s="14">
        <v>211</v>
      </c>
      <c r="B215" s="15" t="s">
        <v>559</v>
      </c>
      <c r="C215" s="16">
        <f>'Медикаменты Ноябрь'!L215</f>
        <v>50</v>
      </c>
      <c r="D215" s="17"/>
      <c r="E215" s="14"/>
      <c r="F215" s="18">
        <f>3</f>
        <v>3</v>
      </c>
      <c r="G215" s="19"/>
      <c r="H215" s="20"/>
      <c r="I215" s="21"/>
      <c r="J215" s="14"/>
      <c r="K215" s="14">
        <f t="shared" si="6"/>
        <v>3</v>
      </c>
      <c r="L215" s="16">
        <f t="shared" si="7"/>
        <v>47</v>
      </c>
      <c r="M215" s="22">
        <v>45323</v>
      </c>
      <c r="N215" s="44" t="s">
        <v>551</v>
      </c>
      <c r="O215" s="23" t="s">
        <v>16</v>
      </c>
      <c r="P215" s="24" t="s">
        <v>17</v>
      </c>
      <c r="Q215" s="28" t="s">
        <v>560</v>
      </c>
    </row>
    <row r="216" spans="1:17">
      <c r="A216" s="14">
        <v>212</v>
      </c>
      <c r="B216" s="15" t="s">
        <v>303</v>
      </c>
      <c r="C216" s="16">
        <f>'Медикаменты Ноябрь'!L216</f>
        <v>0</v>
      </c>
      <c r="D216" s="17"/>
      <c r="E216" s="14"/>
      <c r="F216" s="18"/>
      <c r="G216" s="19"/>
      <c r="H216" s="20"/>
      <c r="I216" s="21"/>
      <c r="J216" s="14"/>
      <c r="K216" s="14">
        <f t="shared" si="6"/>
        <v>0</v>
      </c>
      <c r="L216" s="16">
        <f t="shared" si="7"/>
        <v>0</v>
      </c>
      <c r="M216" s="22"/>
      <c r="N216" s="44"/>
      <c r="O216" s="23" t="s">
        <v>16</v>
      </c>
      <c r="P216" s="24"/>
      <c r="Q216" s="45"/>
    </row>
    <row r="217" spans="1:17">
      <c r="A217" s="14">
        <v>213</v>
      </c>
      <c r="B217" s="15" t="s">
        <v>304</v>
      </c>
      <c r="C217" s="16">
        <f>'Медикаменты Ноябрь'!L217</f>
        <v>0</v>
      </c>
      <c r="D217" s="17"/>
      <c r="E217" s="14"/>
      <c r="F217" s="18"/>
      <c r="G217" s="19"/>
      <c r="H217" s="20"/>
      <c r="I217" s="21"/>
      <c r="J217" s="14"/>
      <c r="K217" s="14">
        <f t="shared" si="6"/>
        <v>0</v>
      </c>
      <c r="L217" s="16">
        <f t="shared" si="7"/>
        <v>0</v>
      </c>
      <c r="M217" s="22">
        <v>45261</v>
      </c>
      <c r="N217" s="44"/>
      <c r="O217" s="23" t="s">
        <v>16</v>
      </c>
      <c r="P217" s="24"/>
      <c r="Q217" s="28" t="s">
        <v>305</v>
      </c>
    </row>
    <row r="218" spans="1:17">
      <c r="A218" s="14">
        <v>214</v>
      </c>
      <c r="B218" s="15" t="s">
        <v>304</v>
      </c>
      <c r="C218" s="16">
        <f>'Медикаменты Ноябрь'!L218</f>
        <v>0</v>
      </c>
      <c r="D218" s="17"/>
      <c r="E218" s="14"/>
      <c r="F218" s="18"/>
      <c r="G218" s="19"/>
      <c r="H218" s="20"/>
      <c r="I218" s="21"/>
      <c r="J218" s="14"/>
      <c r="K218" s="14">
        <f t="shared" si="6"/>
        <v>0</v>
      </c>
      <c r="L218" s="16">
        <f t="shared" si="7"/>
        <v>0</v>
      </c>
      <c r="M218" s="22">
        <v>45413</v>
      </c>
      <c r="N218" s="44" t="s">
        <v>45</v>
      </c>
      <c r="O218" s="23" t="s">
        <v>26</v>
      </c>
      <c r="P218" s="24" t="s">
        <v>17</v>
      </c>
      <c r="Q218" s="28" t="s">
        <v>305</v>
      </c>
    </row>
    <row r="219" spans="1:17">
      <c r="A219" s="14">
        <v>215</v>
      </c>
      <c r="B219" s="15" t="s">
        <v>561</v>
      </c>
      <c r="C219" s="16">
        <f>'Медикаменты Ноябрь'!L219</f>
        <v>80</v>
      </c>
      <c r="D219" s="17"/>
      <c r="E219" s="14"/>
      <c r="F219" s="18">
        <f>10+7</f>
        <v>17</v>
      </c>
      <c r="G219" s="19"/>
      <c r="H219" s="20"/>
      <c r="I219" s="21"/>
      <c r="J219" s="14"/>
      <c r="K219" s="14">
        <f t="shared" si="6"/>
        <v>17</v>
      </c>
      <c r="L219" s="16">
        <f t="shared" si="7"/>
        <v>63</v>
      </c>
      <c r="M219" s="22">
        <v>45870</v>
      </c>
      <c r="N219" s="44" t="s">
        <v>551</v>
      </c>
      <c r="O219" s="23" t="s">
        <v>16</v>
      </c>
      <c r="P219" s="24" t="s">
        <v>17</v>
      </c>
      <c r="Q219" s="28" t="s">
        <v>562</v>
      </c>
    </row>
    <row r="220" spans="1:17">
      <c r="A220" s="14">
        <v>216</v>
      </c>
      <c r="B220" s="15" t="s">
        <v>563</v>
      </c>
      <c r="C220" s="16">
        <f>'Медикаменты Ноябрь'!L220</f>
        <v>0</v>
      </c>
      <c r="D220" s="17"/>
      <c r="E220" s="14"/>
      <c r="F220" s="18"/>
      <c r="G220" s="19"/>
      <c r="H220" s="20"/>
      <c r="I220" s="21"/>
      <c r="J220" s="14"/>
      <c r="K220" s="14">
        <f t="shared" si="6"/>
        <v>0</v>
      </c>
      <c r="L220" s="16">
        <f t="shared" si="7"/>
        <v>0</v>
      </c>
      <c r="M220" s="22">
        <v>46023</v>
      </c>
      <c r="N220" s="44" t="s">
        <v>551</v>
      </c>
      <c r="O220" s="23" t="s">
        <v>16</v>
      </c>
      <c r="P220" s="24" t="s">
        <v>17</v>
      </c>
      <c r="Q220" s="28" t="s">
        <v>564</v>
      </c>
    </row>
    <row r="221" spans="1:17">
      <c r="A221" s="14">
        <v>217</v>
      </c>
      <c r="B221" s="15" t="s">
        <v>306</v>
      </c>
      <c r="C221" s="16">
        <f>'Медикаменты Ноябрь'!L221</f>
        <v>0</v>
      </c>
      <c r="D221" s="17"/>
      <c r="E221" s="14"/>
      <c r="F221" s="18"/>
      <c r="G221" s="19"/>
      <c r="H221" s="20"/>
      <c r="I221" s="21"/>
      <c r="J221" s="14"/>
      <c r="K221" s="14">
        <f t="shared" si="6"/>
        <v>0</v>
      </c>
      <c r="L221" s="16">
        <f t="shared" si="7"/>
        <v>0</v>
      </c>
      <c r="M221" s="22"/>
      <c r="N221" s="44"/>
      <c r="O221" s="23" t="s">
        <v>16</v>
      </c>
      <c r="P221" s="24"/>
      <c r="Q221" s="45"/>
    </row>
    <row r="222" spans="1:17">
      <c r="A222" s="14">
        <v>218</v>
      </c>
      <c r="B222" s="15" t="s">
        <v>307</v>
      </c>
      <c r="C222" s="16">
        <f>'Медикаменты Ноябрь'!L222</f>
        <v>0</v>
      </c>
      <c r="D222" s="17"/>
      <c r="E222" s="14"/>
      <c r="F222" s="18"/>
      <c r="G222" s="19"/>
      <c r="H222" s="20"/>
      <c r="I222" s="21"/>
      <c r="J222" s="14"/>
      <c r="K222" s="14">
        <f t="shared" si="6"/>
        <v>0</v>
      </c>
      <c r="L222" s="16">
        <f t="shared" si="7"/>
        <v>0</v>
      </c>
      <c r="M222" s="22"/>
      <c r="N222" s="44"/>
      <c r="O222" s="23" t="s">
        <v>16</v>
      </c>
      <c r="P222" s="24"/>
      <c r="Q222" s="45"/>
    </row>
    <row r="223" spans="1:17">
      <c r="A223" s="14">
        <v>219</v>
      </c>
      <c r="B223" s="15" t="s">
        <v>308</v>
      </c>
      <c r="C223" s="16">
        <f>'Медикаменты Ноябрь'!L223</f>
        <v>32</v>
      </c>
      <c r="D223" s="17"/>
      <c r="E223" s="14"/>
      <c r="F223" s="18">
        <f>3</f>
        <v>3</v>
      </c>
      <c r="G223" s="19"/>
      <c r="H223" s="20"/>
      <c r="I223" s="21"/>
      <c r="J223" s="14"/>
      <c r="K223" s="14">
        <f t="shared" si="6"/>
        <v>3</v>
      </c>
      <c r="L223" s="16">
        <f t="shared" si="7"/>
        <v>29</v>
      </c>
      <c r="M223" s="22">
        <v>45200</v>
      </c>
      <c r="N223" s="44" t="s">
        <v>551</v>
      </c>
      <c r="O223" s="23" t="s">
        <v>16</v>
      </c>
      <c r="P223" s="24" t="s">
        <v>17</v>
      </c>
      <c r="Q223" s="28" t="s">
        <v>309</v>
      </c>
    </row>
    <row r="224" spans="1:17">
      <c r="A224" s="14">
        <v>220</v>
      </c>
      <c r="B224" s="15" t="s">
        <v>308</v>
      </c>
      <c r="C224" s="16">
        <f>'Медикаменты Ноябрь'!L224</f>
        <v>0</v>
      </c>
      <c r="D224" s="17"/>
      <c r="E224" s="14"/>
      <c r="F224" s="18"/>
      <c r="G224" s="19"/>
      <c r="H224" s="20"/>
      <c r="I224" s="21"/>
      <c r="J224" s="14"/>
      <c r="K224" s="14">
        <f t="shared" si="6"/>
        <v>0</v>
      </c>
      <c r="L224" s="16">
        <f t="shared" si="7"/>
        <v>0</v>
      </c>
      <c r="M224" s="22">
        <v>45200</v>
      </c>
      <c r="N224" s="44" t="s">
        <v>551</v>
      </c>
      <c r="O224" s="23" t="s">
        <v>26</v>
      </c>
      <c r="P224" s="24" t="s">
        <v>17</v>
      </c>
      <c r="Q224" s="28" t="s">
        <v>309</v>
      </c>
    </row>
    <row r="225" spans="1:17">
      <c r="A225" s="14">
        <v>221</v>
      </c>
      <c r="B225" s="15" t="s">
        <v>310</v>
      </c>
      <c r="C225" s="16">
        <f>'Медикаменты Ноябрь'!L225</f>
        <v>9</v>
      </c>
      <c r="D225" s="17"/>
      <c r="E225" s="14"/>
      <c r="F225" s="18"/>
      <c r="G225" s="19"/>
      <c r="H225" s="20"/>
      <c r="I225" s="21"/>
      <c r="J225" s="14"/>
      <c r="K225" s="14">
        <f t="shared" si="6"/>
        <v>0</v>
      </c>
      <c r="L225" s="16">
        <f t="shared" si="7"/>
        <v>9</v>
      </c>
      <c r="M225" s="22">
        <v>44652</v>
      </c>
      <c r="N225" s="44" t="s">
        <v>45</v>
      </c>
      <c r="O225" s="23" t="s">
        <v>16</v>
      </c>
      <c r="P225" s="24" t="s">
        <v>17</v>
      </c>
      <c r="Q225" s="28" t="s">
        <v>311</v>
      </c>
    </row>
    <row r="226" spans="1:17">
      <c r="A226" s="14">
        <v>222</v>
      </c>
      <c r="B226" s="15" t="s">
        <v>310</v>
      </c>
      <c r="C226" s="16">
        <f>'Медикаменты Ноябрь'!L226</f>
        <v>0</v>
      </c>
      <c r="D226" s="17"/>
      <c r="E226" s="14"/>
      <c r="F226" s="18"/>
      <c r="G226" s="19"/>
      <c r="H226" s="20"/>
      <c r="I226" s="21"/>
      <c r="J226" s="14"/>
      <c r="K226" s="14">
        <f t="shared" si="6"/>
        <v>0</v>
      </c>
      <c r="L226" s="16">
        <f t="shared" si="7"/>
        <v>0</v>
      </c>
      <c r="M226" s="22">
        <v>44652</v>
      </c>
      <c r="N226" s="44"/>
      <c r="O226" s="23" t="s">
        <v>26</v>
      </c>
      <c r="P226" s="24"/>
      <c r="Q226" s="28" t="s">
        <v>311</v>
      </c>
    </row>
    <row r="227" spans="1:17">
      <c r="A227" s="14">
        <v>223</v>
      </c>
      <c r="B227" s="15" t="s">
        <v>312</v>
      </c>
      <c r="C227" s="16">
        <f>'Медикаменты Ноябрь'!L227</f>
        <v>0</v>
      </c>
      <c r="D227" s="17"/>
      <c r="E227" s="14"/>
      <c r="F227" s="18"/>
      <c r="G227" s="19"/>
      <c r="H227" s="20"/>
      <c r="I227" s="21"/>
      <c r="J227" s="14"/>
      <c r="K227" s="14">
        <f t="shared" si="6"/>
        <v>0</v>
      </c>
      <c r="L227" s="16">
        <f t="shared" si="7"/>
        <v>0</v>
      </c>
      <c r="M227" s="22">
        <v>45658</v>
      </c>
      <c r="N227" s="44"/>
      <c r="O227" s="23" t="s">
        <v>16</v>
      </c>
      <c r="P227" s="24"/>
      <c r="Q227" s="28" t="s">
        <v>313</v>
      </c>
    </row>
    <row r="228" spans="1:17">
      <c r="A228" s="14">
        <v>224</v>
      </c>
      <c r="B228" s="15" t="s">
        <v>312</v>
      </c>
      <c r="C228" s="16">
        <f>'Медикаменты Ноябрь'!L228</f>
        <v>0</v>
      </c>
      <c r="D228" s="17"/>
      <c r="E228" s="14"/>
      <c r="F228" s="18"/>
      <c r="G228" s="19"/>
      <c r="H228" s="20"/>
      <c r="I228" s="21"/>
      <c r="J228" s="14"/>
      <c r="K228" s="14">
        <f t="shared" si="6"/>
        <v>0</v>
      </c>
      <c r="L228" s="16">
        <f t="shared" si="7"/>
        <v>0</v>
      </c>
      <c r="M228" s="22">
        <v>45658</v>
      </c>
      <c r="N228" s="44"/>
      <c r="O228" s="23" t="s">
        <v>26</v>
      </c>
      <c r="P228" s="24"/>
      <c r="Q228" s="28" t="s">
        <v>313</v>
      </c>
    </row>
    <row r="229" spans="1:17">
      <c r="A229" s="14">
        <v>225</v>
      </c>
      <c r="B229" s="15" t="s">
        <v>314</v>
      </c>
      <c r="C229" s="16">
        <f>'Медикаменты Ноябрь'!L229</f>
        <v>0</v>
      </c>
      <c r="D229" s="17"/>
      <c r="E229" s="14"/>
      <c r="F229" s="18"/>
      <c r="G229" s="19"/>
      <c r="H229" s="20"/>
      <c r="I229" s="21"/>
      <c r="J229" s="14"/>
      <c r="K229" s="14">
        <f t="shared" si="6"/>
        <v>0</v>
      </c>
      <c r="L229" s="16">
        <f t="shared" si="7"/>
        <v>0</v>
      </c>
      <c r="M229" s="22">
        <v>44562</v>
      </c>
      <c r="N229" s="44"/>
      <c r="O229" s="23" t="s">
        <v>16</v>
      </c>
      <c r="P229" s="24"/>
      <c r="Q229" s="28" t="s">
        <v>315</v>
      </c>
    </row>
    <row r="230" spans="1:17">
      <c r="A230" s="14">
        <v>226</v>
      </c>
      <c r="B230" s="15" t="s">
        <v>316</v>
      </c>
      <c r="C230" s="16">
        <f>'Медикаменты Ноябрь'!L230</f>
        <v>0</v>
      </c>
      <c r="D230" s="17"/>
      <c r="E230" s="14"/>
      <c r="F230" s="18"/>
      <c r="G230" s="19"/>
      <c r="H230" s="20"/>
      <c r="I230" s="21"/>
      <c r="J230" s="14"/>
      <c r="K230" s="14">
        <f t="shared" si="6"/>
        <v>0</v>
      </c>
      <c r="L230" s="16">
        <f t="shared" si="7"/>
        <v>0</v>
      </c>
      <c r="M230" s="22"/>
      <c r="N230" s="44"/>
      <c r="O230" s="23" t="s">
        <v>16</v>
      </c>
      <c r="P230" s="24"/>
      <c r="Q230" s="45"/>
    </row>
    <row r="231" spans="1:17">
      <c r="A231" s="14">
        <v>227</v>
      </c>
      <c r="B231" s="29" t="s">
        <v>317</v>
      </c>
      <c r="C231" s="16">
        <f>'Медикаменты Ноябрь'!L231</f>
        <v>0</v>
      </c>
      <c r="D231" s="17"/>
      <c r="E231" s="14"/>
      <c r="F231" s="18"/>
      <c r="G231" s="19"/>
      <c r="H231" s="20"/>
      <c r="I231" s="21"/>
      <c r="J231" s="14"/>
      <c r="K231" s="14">
        <f t="shared" si="6"/>
        <v>0</v>
      </c>
      <c r="L231" s="16">
        <f t="shared" si="7"/>
        <v>0</v>
      </c>
      <c r="M231" s="22"/>
      <c r="N231" s="44"/>
      <c r="O231" s="23" t="s">
        <v>16</v>
      </c>
      <c r="P231" s="24"/>
      <c r="Q231" s="45"/>
    </row>
    <row r="232" spans="1:17">
      <c r="A232" s="14">
        <v>228</v>
      </c>
      <c r="B232" s="29" t="s">
        <v>605</v>
      </c>
      <c r="C232" s="16">
        <f>'Медикаменты Ноябрь'!L232</f>
        <v>11</v>
      </c>
      <c r="D232" s="17"/>
      <c r="E232" s="14"/>
      <c r="F232" s="18"/>
      <c r="G232" s="19">
        <f>1</f>
        <v>1</v>
      </c>
      <c r="H232" s="20"/>
      <c r="I232" s="21"/>
      <c r="J232" s="14"/>
      <c r="K232" s="14">
        <f t="shared" si="6"/>
        <v>1</v>
      </c>
      <c r="L232" s="16">
        <f t="shared" si="7"/>
        <v>10</v>
      </c>
      <c r="M232" s="22">
        <v>44896</v>
      </c>
      <c r="N232" s="44" t="s">
        <v>551</v>
      </c>
      <c r="O232" s="23" t="s">
        <v>16</v>
      </c>
      <c r="P232" s="24" t="s">
        <v>17</v>
      </c>
      <c r="Q232" s="28" t="s">
        <v>606</v>
      </c>
    </row>
    <row r="233" spans="1:17">
      <c r="A233" s="14">
        <v>229</v>
      </c>
      <c r="B233" s="29" t="s">
        <v>319</v>
      </c>
      <c r="C233" s="16">
        <f>'Медикаменты Ноябрь'!L233</f>
        <v>0</v>
      </c>
      <c r="D233" s="17"/>
      <c r="E233" s="14"/>
      <c r="F233" s="18"/>
      <c r="G233" s="19"/>
      <c r="H233" s="20"/>
      <c r="I233" s="21"/>
      <c r="J233" s="14"/>
      <c r="K233" s="14">
        <f t="shared" si="6"/>
        <v>0</v>
      </c>
      <c r="L233" s="16">
        <f t="shared" si="7"/>
        <v>0</v>
      </c>
      <c r="M233" s="22"/>
      <c r="N233" s="44"/>
      <c r="O233" s="23" t="s">
        <v>16</v>
      </c>
      <c r="P233" s="24"/>
      <c r="Q233" s="45"/>
    </row>
    <row r="234" spans="1:17">
      <c r="A234" s="14">
        <v>230</v>
      </c>
      <c r="B234" s="29" t="s">
        <v>320</v>
      </c>
      <c r="C234" s="16">
        <f>'Медикаменты Ноябрь'!L234</f>
        <v>34</v>
      </c>
      <c r="D234" s="17"/>
      <c r="E234" s="14"/>
      <c r="F234" s="18"/>
      <c r="G234" s="19"/>
      <c r="H234" s="20"/>
      <c r="I234" s="21"/>
      <c r="J234" s="14"/>
      <c r="K234" s="14">
        <f t="shared" si="6"/>
        <v>0</v>
      </c>
      <c r="L234" s="16">
        <f t="shared" si="7"/>
        <v>34</v>
      </c>
      <c r="M234" s="22">
        <v>44958</v>
      </c>
      <c r="N234" s="44" t="s">
        <v>551</v>
      </c>
      <c r="O234" s="23" t="s">
        <v>16</v>
      </c>
      <c r="P234" s="24" t="s">
        <v>17</v>
      </c>
      <c r="Q234" s="28" t="s">
        <v>321</v>
      </c>
    </row>
    <row r="235" spans="1:17">
      <c r="A235" s="14">
        <v>231</v>
      </c>
      <c r="B235" s="29" t="s">
        <v>320</v>
      </c>
      <c r="C235" s="16">
        <f>'Медикаменты Ноябрь'!L235</f>
        <v>0</v>
      </c>
      <c r="D235" s="17"/>
      <c r="E235" s="14"/>
      <c r="F235" s="18"/>
      <c r="G235" s="19"/>
      <c r="H235" s="20"/>
      <c r="I235" s="21"/>
      <c r="J235" s="14"/>
      <c r="K235" s="14">
        <f t="shared" si="6"/>
        <v>0</v>
      </c>
      <c r="L235" s="16">
        <f t="shared" si="7"/>
        <v>0</v>
      </c>
      <c r="M235" s="22">
        <v>44958</v>
      </c>
      <c r="N235" s="44" t="s">
        <v>551</v>
      </c>
      <c r="O235" s="23" t="s">
        <v>26</v>
      </c>
      <c r="P235" s="24" t="s">
        <v>17</v>
      </c>
      <c r="Q235" s="28" t="s">
        <v>321</v>
      </c>
    </row>
    <row r="236" spans="1:17">
      <c r="A236" s="14">
        <v>232</v>
      </c>
      <c r="B236" s="29" t="s">
        <v>322</v>
      </c>
      <c r="C236" s="16">
        <f>'Медикаменты Ноябрь'!L236</f>
        <v>0</v>
      </c>
      <c r="D236" s="17"/>
      <c r="E236" s="14"/>
      <c r="F236" s="18"/>
      <c r="G236" s="19"/>
      <c r="H236" s="20"/>
      <c r="I236" s="21"/>
      <c r="J236" s="14"/>
      <c r="K236" s="14">
        <f t="shared" si="6"/>
        <v>0</v>
      </c>
      <c r="L236" s="16">
        <f t="shared" si="7"/>
        <v>0</v>
      </c>
      <c r="M236" s="22"/>
      <c r="N236" s="44"/>
      <c r="O236" s="23" t="s">
        <v>16</v>
      </c>
      <c r="P236" s="24"/>
      <c r="Q236" s="45"/>
    </row>
    <row r="237" spans="1:17">
      <c r="A237" s="14">
        <v>233</v>
      </c>
      <c r="B237" s="29" t="s">
        <v>323</v>
      </c>
      <c r="C237" s="16">
        <f>'Медикаменты Ноябрь'!L237</f>
        <v>0</v>
      </c>
      <c r="D237" s="17"/>
      <c r="E237" s="14"/>
      <c r="F237" s="18"/>
      <c r="G237" s="19"/>
      <c r="H237" s="20"/>
      <c r="I237" s="21"/>
      <c r="J237" s="14"/>
      <c r="K237" s="14">
        <f t="shared" si="6"/>
        <v>0</v>
      </c>
      <c r="L237" s="16">
        <f t="shared" si="7"/>
        <v>0</v>
      </c>
      <c r="M237" s="22"/>
      <c r="N237" s="44"/>
      <c r="O237" s="23" t="s">
        <v>16</v>
      </c>
      <c r="P237" s="24"/>
      <c r="Q237" s="45"/>
    </row>
    <row r="238" spans="1:17" ht="25.5">
      <c r="A238" s="14">
        <v>234</v>
      </c>
      <c r="B238" s="29" t="s">
        <v>607</v>
      </c>
      <c r="C238" s="16">
        <f>'Медикаменты Ноябрь'!L238</f>
        <v>13</v>
      </c>
      <c r="D238" s="17"/>
      <c r="E238" s="14"/>
      <c r="F238" s="18"/>
      <c r="G238" s="19"/>
      <c r="H238" s="20"/>
      <c r="I238" s="21"/>
      <c r="J238" s="14"/>
      <c r="K238" s="14">
        <f t="shared" si="6"/>
        <v>0</v>
      </c>
      <c r="L238" s="16">
        <f t="shared" si="7"/>
        <v>13</v>
      </c>
      <c r="M238" s="22">
        <v>44896</v>
      </c>
      <c r="N238" s="44" t="s">
        <v>551</v>
      </c>
      <c r="O238" s="23" t="s">
        <v>16</v>
      </c>
      <c r="P238" s="24" t="s">
        <v>17</v>
      </c>
      <c r="Q238" s="28" t="s">
        <v>608</v>
      </c>
    </row>
    <row r="239" spans="1:17">
      <c r="A239" s="14">
        <v>235</v>
      </c>
      <c r="B239" s="29" t="s">
        <v>555</v>
      </c>
      <c r="C239" s="16">
        <f>'Медикаменты Ноябрь'!L239</f>
        <v>140</v>
      </c>
      <c r="D239" s="17"/>
      <c r="E239" s="14"/>
      <c r="F239" s="18">
        <f>5+8</f>
        <v>13</v>
      </c>
      <c r="G239" s="19"/>
      <c r="H239" s="20"/>
      <c r="I239" s="21"/>
      <c r="J239" s="14"/>
      <c r="K239" s="14">
        <f t="shared" si="6"/>
        <v>13</v>
      </c>
      <c r="L239" s="16">
        <f t="shared" si="7"/>
        <v>127</v>
      </c>
      <c r="M239" s="22">
        <v>45383</v>
      </c>
      <c r="N239" s="44" t="s">
        <v>551</v>
      </c>
      <c r="O239" s="23" t="s">
        <v>16</v>
      </c>
      <c r="P239" s="24" t="s">
        <v>17</v>
      </c>
      <c r="Q239" s="28" t="s">
        <v>325</v>
      </c>
    </row>
    <row r="240" spans="1:17">
      <c r="A240" s="14">
        <v>236</v>
      </c>
      <c r="B240" s="29" t="s">
        <v>326</v>
      </c>
      <c r="C240" s="16">
        <f>'Медикаменты Ноябрь'!L240</f>
        <v>0</v>
      </c>
      <c r="D240" s="17"/>
      <c r="E240" s="14"/>
      <c r="F240" s="18"/>
      <c r="G240" s="19"/>
      <c r="H240" s="20"/>
      <c r="I240" s="21"/>
      <c r="J240" s="14"/>
      <c r="K240" s="14">
        <f t="shared" si="6"/>
        <v>0</v>
      </c>
      <c r="L240" s="16">
        <f t="shared" si="7"/>
        <v>0</v>
      </c>
      <c r="M240" s="22"/>
      <c r="N240" s="44"/>
      <c r="O240" s="23" t="s">
        <v>16</v>
      </c>
      <c r="P240" s="24"/>
      <c r="Q240" s="45"/>
    </row>
    <row r="241" spans="1:17">
      <c r="A241" s="14">
        <v>237</v>
      </c>
      <c r="B241" s="29" t="s">
        <v>327</v>
      </c>
      <c r="C241" s="16">
        <f>'Медикаменты Ноябрь'!L241</f>
        <v>250</v>
      </c>
      <c r="D241" s="17"/>
      <c r="E241" s="14"/>
      <c r="F241" s="18">
        <f>10+20</f>
        <v>30</v>
      </c>
      <c r="G241" s="19"/>
      <c r="H241" s="20"/>
      <c r="I241" s="21"/>
      <c r="J241" s="14"/>
      <c r="K241" s="14">
        <f t="shared" si="6"/>
        <v>30</v>
      </c>
      <c r="L241" s="16">
        <f t="shared" si="7"/>
        <v>220</v>
      </c>
      <c r="M241" s="22">
        <v>45231</v>
      </c>
      <c r="N241" s="44" t="s">
        <v>551</v>
      </c>
      <c r="O241" s="23" t="s">
        <v>16</v>
      </c>
      <c r="P241" s="24" t="s">
        <v>17</v>
      </c>
      <c r="Q241" s="28" t="s">
        <v>328</v>
      </c>
    </row>
    <row r="242" spans="1:17">
      <c r="A242" s="14">
        <v>238</v>
      </c>
      <c r="B242" s="29" t="s">
        <v>327</v>
      </c>
      <c r="C242" s="16">
        <f>'Медикаменты Ноябрь'!L242</f>
        <v>0</v>
      </c>
      <c r="D242" s="17"/>
      <c r="E242" s="14"/>
      <c r="F242" s="18"/>
      <c r="G242" s="19"/>
      <c r="H242" s="20"/>
      <c r="I242" s="21"/>
      <c r="J242" s="14"/>
      <c r="K242" s="14">
        <f t="shared" si="6"/>
        <v>0</v>
      </c>
      <c r="L242" s="16">
        <f t="shared" si="7"/>
        <v>0</v>
      </c>
      <c r="M242" s="22">
        <v>44743</v>
      </c>
      <c r="N242" s="44"/>
      <c r="O242" s="23" t="s">
        <v>16</v>
      </c>
      <c r="P242" s="24" t="s">
        <v>17</v>
      </c>
      <c r="Q242" s="28" t="s">
        <v>328</v>
      </c>
    </row>
    <row r="243" spans="1:17">
      <c r="A243" s="14">
        <v>239</v>
      </c>
      <c r="B243" s="29" t="s">
        <v>327</v>
      </c>
      <c r="C243" s="16">
        <f>'Медикаменты Ноябрь'!L243</f>
        <v>0</v>
      </c>
      <c r="D243" s="17"/>
      <c r="E243" s="14"/>
      <c r="F243" s="18"/>
      <c r="G243" s="19"/>
      <c r="H243" s="20"/>
      <c r="I243" s="21"/>
      <c r="J243" s="14"/>
      <c r="K243" s="14">
        <f t="shared" si="6"/>
        <v>0</v>
      </c>
      <c r="L243" s="16">
        <f t="shared" si="7"/>
        <v>0</v>
      </c>
      <c r="M243" s="22">
        <v>44774</v>
      </c>
      <c r="N243" s="44" t="s">
        <v>45</v>
      </c>
      <c r="O243" s="23" t="s">
        <v>26</v>
      </c>
      <c r="P243" s="24" t="s">
        <v>17</v>
      </c>
      <c r="Q243" s="28" t="s">
        <v>328</v>
      </c>
    </row>
    <row r="244" spans="1:17">
      <c r="A244" s="14">
        <v>240</v>
      </c>
      <c r="B244" s="29" t="s">
        <v>329</v>
      </c>
      <c r="C244" s="16">
        <f>'Медикаменты Ноябрь'!L244</f>
        <v>0</v>
      </c>
      <c r="D244" s="17"/>
      <c r="E244" s="14"/>
      <c r="F244" s="18"/>
      <c r="G244" s="19"/>
      <c r="H244" s="20"/>
      <c r="I244" s="21"/>
      <c r="J244" s="14"/>
      <c r="K244" s="14">
        <f t="shared" si="6"/>
        <v>0</v>
      </c>
      <c r="L244" s="16">
        <f t="shared" si="7"/>
        <v>0</v>
      </c>
      <c r="M244" s="22">
        <v>44713</v>
      </c>
      <c r="N244" s="44"/>
      <c r="O244" s="23" t="s">
        <v>16</v>
      </c>
      <c r="P244" s="24"/>
      <c r="Q244" s="28" t="s">
        <v>330</v>
      </c>
    </row>
    <row r="245" spans="1:17">
      <c r="A245" s="14">
        <v>241</v>
      </c>
      <c r="B245" s="29" t="s">
        <v>331</v>
      </c>
      <c r="C245" s="16">
        <f>'Медикаменты Ноябрь'!L245</f>
        <v>0</v>
      </c>
      <c r="D245" s="17"/>
      <c r="E245" s="14"/>
      <c r="F245" s="18"/>
      <c r="G245" s="19"/>
      <c r="H245" s="20"/>
      <c r="I245" s="21"/>
      <c r="J245" s="14"/>
      <c r="K245" s="14">
        <f t="shared" si="6"/>
        <v>0</v>
      </c>
      <c r="L245" s="16">
        <f t="shared" si="7"/>
        <v>0</v>
      </c>
      <c r="M245" s="22">
        <v>44317</v>
      </c>
      <c r="N245" s="44"/>
      <c r="O245" s="23" t="s">
        <v>16</v>
      </c>
      <c r="P245" s="24" t="s">
        <v>45</v>
      </c>
      <c r="Q245" s="28" t="s">
        <v>332</v>
      </c>
    </row>
    <row r="246" spans="1:17">
      <c r="A246" s="14">
        <v>242</v>
      </c>
      <c r="B246" s="29" t="s">
        <v>333</v>
      </c>
      <c r="C246" s="16">
        <f>'Медикаменты Ноябрь'!L246</f>
        <v>0</v>
      </c>
      <c r="D246" s="17"/>
      <c r="E246" s="14"/>
      <c r="F246" s="18"/>
      <c r="G246" s="19"/>
      <c r="H246" s="20"/>
      <c r="I246" s="21"/>
      <c r="J246" s="14"/>
      <c r="K246" s="14">
        <f t="shared" si="6"/>
        <v>0</v>
      </c>
      <c r="L246" s="16">
        <f t="shared" si="7"/>
        <v>0</v>
      </c>
      <c r="M246" s="22">
        <v>44348</v>
      </c>
      <c r="N246" s="44"/>
      <c r="O246" s="23" t="s">
        <v>16</v>
      </c>
      <c r="P246" s="24"/>
      <c r="Q246" s="28" t="s">
        <v>334</v>
      </c>
    </row>
    <row r="247" spans="1:17">
      <c r="A247" s="14">
        <v>243</v>
      </c>
      <c r="B247" s="29" t="s">
        <v>335</v>
      </c>
      <c r="C247" s="16">
        <f>'Медикаменты Ноябрь'!L247</f>
        <v>0</v>
      </c>
      <c r="D247" s="17"/>
      <c r="E247" s="14"/>
      <c r="F247" s="18"/>
      <c r="G247" s="19"/>
      <c r="H247" s="20"/>
      <c r="I247" s="21"/>
      <c r="J247" s="14"/>
      <c r="K247" s="14">
        <f t="shared" si="6"/>
        <v>0</v>
      </c>
      <c r="L247" s="16">
        <f t="shared" si="7"/>
        <v>0</v>
      </c>
      <c r="M247" s="22">
        <v>44348</v>
      </c>
      <c r="N247" s="44"/>
      <c r="O247" s="23" t="s">
        <v>16</v>
      </c>
      <c r="P247" s="24"/>
      <c r="Q247" s="45"/>
    </row>
    <row r="248" spans="1:17">
      <c r="A248" s="14">
        <v>244</v>
      </c>
      <c r="B248" s="29" t="s">
        <v>336</v>
      </c>
      <c r="C248" s="16">
        <f>'Медикаменты Ноябрь'!L248</f>
        <v>25</v>
      </c>
      <c r="D248" s="17"/>
      <c r="E248" s="14"/>
      <c r="F248" s="18">
        <f>20</f>
        <v>20</v>
      </c>
      <c r="G248" s="19"/>
      <c r="H248" s="20"/>
      <c r="I248" s="21"/>
      <c r="J248" s="14"/>
      <c r="K248" s="14">
        <f t="shared" si="6"/>
        <v>20</v>
      </c>
      <c r="L248" s="16">
        <f t="shared" si="7"/>
        <v>5</v>
      </c>
      <c r="M248" s="22">
        <v>45413</v>
      </c>
      <c r="N248" s="44" t="s">
        <v>45</v>
      </c>
      <c r="O248" s="23" t="s">
        <v>16</v>
      </c>
      <c r="P248" s="24" t="s">
        <v>17</v>
      </c>
      <c r="Q248" s="28" t="s">
        <v>337</v>
      </c>
    </row>
    <row r="249" spans="1:17">
      <c r="A249" s="14">
        <v>245</v>
      </c>
      <c r="B249" s="29" t="s">
        <v>336</v>
      </c>
      <c r="C249" s="16">
        <f>'Медикаменты Ноябрь'!L249</f>
        <v>100</v>
      </c>
      <c r="D249" s="17"/>
      <c r="E249" s="14"/>
      <c r="F249" s="18"/>
      <c r="G249" s="19"/>
      <c r="H249" s="20"/>
      <c r="I249" s="21"/>
      <c r="J249" s="14"/>
      <c r="K249" s="14">
        <f t="shared" si="6"/>
        <v>0</v>
      </c>
      <c r="L249" s="16">
        <f t="shared" si="7"/>
        <v>100</v>
      </c>
      <c r="M249" s="22">
        <v>46235</v>
      </c>
      <c r="N249" s="44" t="s">
        <v>551</v>
      </c>
      <c r="O249" s="23" t="s">
        <v>16</v>
      </c>
      <c r="P249" s="24" t="s">
        <v>17</v>
      </c>
      <c r="Q249" s="28" t="s">
        <v>337</v>
      </c>
    </row>
    <row r="250" spans="1:17">
      <c r="A250" s="14">
        <v>246</v>
      </c>
      <c r="B250" s="29" t="s">
        <v>338</v>
      </c>
      <c r="C250" s="16">
        <f>'Медикаменты Ноябрь'!L250</f>
        <v>78</v>
      </c>
      <c r="D250" s="17"/>
      <c r="E250" s="14"/>
      <c r="F250" s="18"/>
      <c r="G250" s="19"/>
      <c r="H250" s="20"/>
      <c r="I250" s="21"/>
      <c r="J250" s="14"/>
      <c r="K250" s="14">
        <f t="shared" si="6"/>
        <v>0</v>
      </c>
      <c r="L250" s="16">
        <f t="shared" si="7"/>
        <v>78</v>
      </c>
      <c r="M250" s="22">
        <v>45352</v>
      </c>
      <c r="N250" s="44" t="s">
        <v>551</v>
      </c>
      <c r="O250" s="23" t="s">
        <v>16</v>
      </c>
      <c r="P250" s="24" t="s">
        <v>17</v>
      </c>
      <c r="Q250" s="28" t="s">
        <v>339</v>
      </c>
    </row>
    <row r="251" spans="1:17">
      <c r="A251" s="14">
        <v>247</v>
      </c>
      <c r="B251" s="29" t="s">
        <v>338</v>
      </c>
      <c r="C251" s="16">
        <f>'Медикаменты Ноябрь'!L251</f>
        <v>0</v>
      </c>
      <c r="D251" s="17"/>
      <c r="E251" s="14"/>
      <c r="F251" s="18"/>
      <c r="G251" s="19"/>
      <c r="H251" s="20"/>
      <c r="I251" s="21"/>
      <c r="J251" s="14"/>
      <c r="K251" s="14">
        <f t="shared" si="6"/>
        <v>0</v>
      </c>
      <c r="L251" s="16">
        <f t="shared" si="7"/>
        <v>0</v>
      </c>
      <c r="M251" s="22">
        <v>45352</v>
      </c>
      <c r="N251" s="44" t="s">
        <v>551</v>
      </c>
      <c r="O251" s="23" t="s">
        <v>26</v>
      </c>
      <c r="P251" s="24" t="s">
        <v>17</v>
      </c>
      <c r="Q251" s="28" t="s">
        <v>339</v>
      </c>
    </row>
    <row r="252" spans="1:17">
      <c r="A252" s="14">
        <v>248</v>
      </c>
      <c r="B252" s="29" t="s">
        <v>662</v>
      </c>
      <c r="C252" s="16">
        <f>'Медикаменты Ноябрь'!L252</f>
        <v>20</v>
      </c>
      <c r="D252" s="17"/>
      <c r="E252" s="14"/>
      <c r="F252" s="18">
        <f>5</f>
        <v>5</v>
      </c>
      <c r="G252" s="19"/>
      <c r="H252" s="20"/>
      <c r="I252" s="21"/>
      <c r="J252" s="14"/>
      <c r="K252" s="14">
        <f t="shared" si="6"/>
        <v>5</v>
      </c>
      <c r="L252" s="16">
        <f t="shared" si="7"/>
        <v>15</v>
      </c>
      <c r="M252" s="22">
        <v>45108</v>
      </c>
      <c r="N252" s="44" t="s">
        <v>551</v>
      </c>
      <c r="O252" s="23" t="s">
        <v>16</v>
      </c>
      <c r="P252" s="24" t="s">
        <v>17</v>
      </c>
      <c r="Q252" s="28" t="s">
        <v>663</v>
      </c>
    </row>
    <row r="253" spans="1:17">
      <c r="A253" s="14">
        <v>249</v>
      </c>
      <c r="B253" s="29" t="s">
        <v>340</v>
      </c>
      <c r="C253" s="16">
        <f>'Медикаменты Ноябрь'!L253</f>
        <v>0</v>
      </c>
      <c r="D253" s="17"/>
      <c r="E253" s="14"/>
      <c r="F253" s="18"/>
      <c r="G253" s="19"/>
      <c r="H253" s="20"/>
      <c r="I253" s="21"/>
      <c r="J253" s="14"/>
      <c r="K253" s="14">
        <f t="shared" si="6"/>
        <v>0</v>
      </c>
      <c r="L253" s="16">
        <f t="shared" si="7"/>
        <v>0</v>
      </c>
      <c r="M253" s="22"/>
      <c r="N253" s="44"/>
      <c r="O253" s="23" t="s">
        <v>16</v>
      </c>
      <c r="P253" s="24"/>
      <c r="Q253" s="45"/>
    </row>
    <row r="254" spans="1:17">
      <c r="A254" s="14">
        <v>250</v>
      </c>
      <c r="B254" s="29" t="s">
        <v>341</v>
      </c>
      <c r="C254" s="16">
        <f>'Медикаменты Ноябрь'!L254</f>
        <v>19</v>
      </c>
      <c r="D254" s="17"/>
      <c r="E254" s="14"/>
      <c r="F254" s="18">
        <f>10</f>
        <v>10</v>
      </c>
      <c r="G254" s="19"/>
      <c r="H254" s="20"/>
      <c r="I254" s="21"/>
      <c r="J254" s="14"/>
      <c r="K254" s="14">
        <f t="shared" si="6"/>
        <v>10</v>
      </c>
      <c r="L254" s="16">
        <f t="shared" si="7"/>
        <v>9</v>
      </c>
      <c r="M254" s="22">
        <v>45108</v>
      </c>
      <c r="N254" s="44" t="s">
        <v>45</v>
      </c>
      <c r="O254" s="23" t="s">
        <v>16</v>
      </c>
      <c r="P254" s="24" t="s">
        <v>17</v>
      </c>
      <c r="Q254" s="28" t="s">
        <v>342</v>
      </c>
    </row>
    <row r="255" spans="1:17">
      <c r="A255" s="14">
        <v>251</v>
      </c>
      <c r="B255" s="29" t="s">
        <v>341</v>
      </c>
      <c r="C255" s="16">
        <f>'Медикаменты Ноябрь'!L255</f>
        <v>100</v>
      </c>
      <c r="D255" s="17"/>
      <c r="E255" s="14"/>
      <c r="F255" s="18"/>
      <c r="G255" s="19"/>
      <c r="H255" s="20"/>
      <c r="I255" s="21"/>
      <c r="J255" s="14"/>
      <c r="K255" s="14">
        <f t="shared" si="6"/>
        <v>0</v>
      </c>
      <c r="L255" s="16">
        <f t="shared" si="7"/>
        <v>100</v>
      </c>
      <c r="M255" s="22">
        <v>45809</v>
      </c>
      <c r="N255" s="44" t="s">
        <v>551</v>
      </c>
      <c r="O255" s="23" t="s">
        <v>16</v>
      </c>
      <c r="P255" s="24" t="s">
        <v>17</v>
      </c>
      <c r="Q255" s="28" t="s">
        <v>342</v>
      </c>
    </row>
    <row r="256" spans="1:17">
      <c r="A256" s="14">
        <v>252</v>
      </c>
      <c r="B256" s="29" t="s">
        <v>343</v>
      </c>
      <c r="C256" s="16">
        <f>'Медикаменты Ноябрь'!L256</f>
        <v>120</v>
      </c>
      <c r="D256" s="17"/>
      <c r="E256" s="14"/>
      <c r="F256" s="18"/>
      <c r="G256" s="19"/>
      <c r="H256" s="20"/>
      <c r="I256" s="21"/>
      <c r="J256" s="14"/>
      <c r="K256" s="14">
        <f t="shared" si="6"/>
        <v>0</v>
      </c>
      <c r="L256" s="16">
        <f t="shared" si="7"/>
        <v>120</v>
      </c>
      <c r="M256" s="22">
        <v>45047</v>
      </c>
      <c r="N256" s="44" t="s">
        <v>551</v>
      </c>
      <c r="O256" s="23" t="s">
        <v>16</v>
      </c>
      <c r="P256" s="24" t="s">
        <v>17</v>
      </c>
      <c r="Q256" s="28" t="s">
        <v>344</v>
      </c>
    </row>
    <row r="257" spans="1:17">
      <c r="A257" s="14">
        <v>253</v>
      </c>
      <c r="B257" s="29" t="s">
        <v>343</v>
      </c>
      <c r="C257" s="16">
        <f>'Медикаменты Ноябрь'!L257</f>
        <v>0</v>
      </c>
      <c r="D257" s="17"/>
      <c r="E257" s="14"/>
      <c r="F257" s="18"/>
      <c r="G257" s="19"/>
      <c r="H257" s="20"/>
      <c r="I257" s="21"/>
      <c r="J257" s="14"/>
      <c r="K257" s="14">
        <f t="shared" si="6"/>
        <v>0</v>
      </c>
      <c r="L257" s="16">
        <f t="shared" si="7"/>
        <v>0</v>
      </c>
      <c r="M257" s="22">
        <v>44835</v>
      </c>
      <c r="N257" s="44"/>
      <c r="O257" s="23" t="s">
        <v>26</v>
      </c>
      <c r="P257" s="24"/>
      <c r="Q257" s="28" t="s">
        <v>344</v>
      </c>
    </row>
    <row r="258" spans="1:17">
      <c r="A258" s="14">
        <v>254</v>
      </c>
      <c r="B258" s="29" t="s">
        <v>345</v>
      </c>
      <c r="C258" s="16">
        <f>'Медикаменты Ноябрь'!L258</f>
        <v>0</v>
      </c>
      <c r="D258" s="17"/>
      <c r="E258" s="14"/>
      <c r="F258" s="18"/>
      <c r="G258" s="19"/>
      <c r="H258" s="20"/>
      <c r="I258" s="21"/>
      <c r="J258" s="14"/>
      <c r="K258" s="14">
        <f t="shared" si="6"/>
        <v>0</v>
      </c>
      <c r="L258" s="16">
        <f t="shared" si="7"/>
        <v>0</v>
      </c>
      <c r="M258" s="22">
        <v>45017</v>
      </c>
      <c r="N258" s="44" t="s">
        <v>45</v>
      </c>
      <c r="O258" s="23" t="s">
        <v>16</v>
      </c>
      <c r="P258" s="24" t="s">
        <v>45</v>
      </c>
      <c r="Q258" s="28" t="s">
        <v>346</v>
      </c>
    </row>
    <row r="259" spans="1:17">
      <c r="A259" s="14">
        <v>255</v>
      </c>
      <c r="B259" s="29" t="s">
        <v>347</v>
      </c>
      <c r="C259" s="16">
        <f>'Медикаменты Ноябрь'!L259</f>
        <v>0</v>
      </c>
      <c r="D259" s="17"/>
      <c r="E259" s="14"/>
      <c r="F259" s="18"/>
      <c r="G259" s="19"/>
      <c r="H259" s="20"/>
      <c r="I259" s="21"/>
      <c r="J259" s="14"/>
      <c r="K259" s="14">
        <f t="shared" si="6"/>
        <v>0</v>
      </c>
      <c r="L259" s="16">
        <f t="shared" si="7"/>
        <v>0</v>
      </c>
      <c r="M259" s="22">
        <v>45323</v>
      </c>
      <c r="N259" s="44" t="s">
        <v>551</v>
      </c>
      <c r="O259" s="23" t="s">
        <v>16</v>
      </c>
      <c r="P259" s="24" t="s">
        <v>45</v>
      </c>
      <c r="Q259" s="28" t="s">
        <v>348</v>
      </c>
    </row>
    <row r="260" spans="1:17">
      <c r="A260" s="14">
        <v>256</v>
      </c>
      <c r="B260" s="29" t="s">
        <v>349</v>
      </c>
      <c r="C260" s="16">
        <f>'Медикаменты Ноябрь'!L260</f>
        <v>0</v>
      </c>
      <c r="D260" s="17"/>
      <c r="E260" s="14"/>
      <c r="F260" s="18"/>
      <c r="G260" s="19"/>
      <c r="H260" s="20"/>
      <c r="I260" s="21"/>
      <c r="J260" s="14"/>
      <c r="K260" s="14">
        <f t="shared" si="6"/>
        <v>0</v>
      </c>
      <c r="L260" s="16">
        <f t="shared" si="7"/>
        <v>0</v>
      </c>
      <c r="M260" s="22"/>
      <c r="N260" s="44"/>
      <c r="O260" s="23" t="s">
        <v>16</v>
      </c>
      <c r="P260" s="24"/>
      <c r="Q260" s="45"/>
    </row>
    <row r="261" spans="1:17">
      <c r="A261" s="14">
        <v>257</v>
      </c>
      <c r="B261" s="29" t="s">
        <v>350</v>
      </c>
      <c r="C261" s="16">
        <f>'Медикаменты Ноябрь'!L261</f>
        <v>0</v>
      </c>
      <c r="D261" s="17"/>
      <c r="E261" s="14"/>
      <c r="F261" s="18"/>
      <c r="G261" s="19"/>
      <c r="H261" s="20"/>
      <c r="I261" s="21"/>
      <c r="J261" s="14"/>
      <c r="K261" s="14">
        <f t="shared" ref="K261:K324" si="8">SUM(F261:J261)</f>
        <v>0</v>
      </c>
      <c r="L261" s="16">
        <f t="shared" ref="L261:L324" si="9">(C261+E261)-K261</f>
        <v>0</v>
      </c>
      <c r="M261" s="22"/>
      <c r="N261" s="44"/>
      <c r="O261" s="23" t="s">
        <v>16</v>
      </c>
      <c r="P261" s="24"/>
      <c r="Q261" s="45"/>
    </row>
    <row r="262" spans="1:17">
      <c r="A262" s="14">
        <v>258</v>
      </c>
      <c r="B262" s="29" t="s">
        <v>609</v>
      </c>
      <c r="C262" s="16">
        <f>'Медикаменты Ноябрь'!L262</f>
        <v>10</v>
      </c>
      <c r="D262" s="17"/>
      <c r="E262" s="14"/>
      <c r="F262" s="18">
        <f>10</f>
        <v>10</v>
      </c>
      <c r="G262" s="19"/>
      <c r="H262" s="20"/>
      <c r="I262" s="21"/>
      <c r="J262" s="14"/>
      <c r="K262" s="14">
        <f t="shared" si="8"/>
        <v>10</v>
      </c>
      <c r="L262" s="16">
        <f t="shared" si="9"/>
        <v>0</v>
      </c>
      <c r="M262" s="22">
        <v>45474</v>
      </c>
      <c r="N262" s="44" t="s">
        <v>551</v>
      </c>
      <c r="O262" s="23" t="s">
        <v>16</v>
      </c>
      <c r="P262" s="24" t="s">
        <v>17</v>
      </c>
      <c r="Q262" s="28" t="s">
        <v>352</v>
      </c>
    </row>
    <row r="263" spans="1:17">
      <c r="A263" s="14">
        <v>259</v>
      </c>
      <c r="B263" s="29" t="s">
        <v>353</v>
      </c>
      <c r="C263" s="16">
        <f>'Медикаменты Ноябрь'!L263</f>
        <v>163</v>
      </c>
      <c r="D263" s="17"/>
      <c r="E263" s="14"/>
      <c r="F263" s="18">
        <f>5+5</f>
        <v>10</v>
      </c>
      <c r="G263" s="19"/>
      <c r="H263" s="20"/>
      <c r="I263" s="21"/>
      <c r="J263" s="14"/>
      <c r="K263" s="14">
        <f t="shared" si="8"/>
        <v>10</v>
      </c>
      <c r="L263" s="16">
        <f t="shared" si="9"/>
        <v>153</v>
      </c>
      <c r="M263" s="22">
        <v>44652</v>
      </c>
      <c r="N263" s="44" t="s">
        <v>45</v>
      </c>
      <c r="O263" s="23" t="s">
        <v>16</v>
      </c>
      <c r="P263" s="24" t="s">
        <v>17</v>
      </c>
      <c r="Q263" s="28" t="s">
        <v>354</v>
      </c>
    </row>
    <row r="264" spans="1:17">
      <c r="A264" s="14">
        <v>260</v>
      </c>
      <c r="B264" s="29" t="s">
        <v>355</v>
      </c>
      <c r="C264" s="16">
        <f>'Медикаменты Ноябрь'!L264</f>
        <v>8</v>
      </c>
      <c r="D264" s="17"/>
      <c r="E264" s="14"/>
      <c r="F264" s="18"/>
      <c r="G264" s="19"/>
      <c r="H264" s="20"/>
      <c r="I264" s="21"/>
      <c r="J264" s="14"/>
      <c r="K264" s="14">
        <f t="shared" si="8"/>
        <v>0</v>
      </c>
      <c r="L264" s="16">
        <f t="shared" si="9"/>
        <v>8</v>
      </c>
      <c r="M264" s="22">
        <v>44713</v>
      </c>
      <c r="N264" s="44" t="s">
        <v>45</v>
      </c>
      <c r="O264" s="23" t="s">
        <v>16</v>
      </c>
      <c r="P264" s="24" t="s">
        <v>17</v>
      </c>
      <c r="Q264" s="28" t="s">
        <v>356</v>
      </c>
    </row>
    <row r="265" spans="1:17">
      <c r="A265" s="14">
        <v>261</v>
      </c>
      <c r="B265" s="29" t="s">
        <v>357</v>
      </c>
      <c r="C265" s="16">
        <f>'Медикаменты Ноябрь'!L265</f>
        <v>0</v>
      </c>
      <c r="D265" s="17"/>
      <c r="E265" s="14"/>
      <c r="F265" s="18"/>
      <c r="G265" s="19"/>
      <c r="H265" s="20"/>
      <c r="I265" s="21"/>
      <c r="J265" s="14"/>
      <c r="K265" s="14">
        <f t="shared" si="8"/>
        <v>0</v>
      </c>
      <c r="L265" s="16">
        <f t="shared" si="9"/>
        <v>0</v>
      </c>
      <c r="M265" s="22"/>
      <c r="N265" s="44"/>
      <c r="O265" s="23" t="s">
        <v>16</v>
      </c>
      <c r="P265" s="24"/>
      <c r="Q265" s="45"/>
    </row>
    <row r="266" spans="1:17">
      <c r="A266" s="14">
        <v>262</v>
      </c>
      <c r="B266" s="29" t="s">
        <v>633</v>
      </c>
      <c r="C266" s="16">
        <f>'Медикаменты Ноябрь'!L266</f>
        <v>0</v>
      </c>
      <c r="D266" s="17"/>
      <c r="E266" s="14"/>
      <c r="F266" s="18"/>
      <c r="G266" s="19"/>
      <c r="H266" s="20"/>
      <c r="I266" s="21"/>
      <c r="J266" s="14"/>
      <c r="K266" s="14">
        <f t="shared" si="8"/>
        <v>0</v>
      </c>
      <c r="L266" s="16">
        <f t="shared" si="9"/>
        <v>0</v>
      </c>
      <c r="M266" s="22">
        <v>45352</v>
      </c>
      <c r="N266" s="44" t="s">
        <v>551</v>
      </c>
      <c r="O266" s="23" t="s">
        <v>16</v>
      </c>
      <c r="P266" s="24" t="s">
        <v>17</v>
      </c>
      <c r="Q266" s="28" t="s">
        <v>634</v>
      </c>
    </row>
    <row r="267" spans="1:17">
      <c r="A267" s="14">
        <v>263</v>
      </c>
      <c r="B267" s="29" t="s">
        <v>360</v>
      </c>
      <c r="C267" s="16">
        <f>'Медикаменты Ноябрь'!L267</f>
        <v>32</v>
      </c>
      <c r="D267" s="17"/>
      <c r="E267" s="14"/>
      <c r="F267" s="18">
        <f>5</f>
        <v>5</v>
      </c>
      <c r="G267" s="19"/>
      <c r="H267" s="20"/>
      <c r="I267" s="21"/>
      <c r="J267" s="14"/>
      <c r="K267" s="14">
        <f t="shared" si="8"/>
        <v>5</v>
      </c>
      <c r="L267" s="16">
        <f t="shared" si="9"/>
        <v>27</v>
      </c>
      <c r="M267" s="22">
        <v>45352</v>
      </c>
      <c r="N267" s="44" t="s">
        <v>551</v>
      </c>
      <c r="O267" s="23" t="s">
        <v>16</v>
      </c>
      <c r="P267" s="24" t="s">
        <v>17</v>
      </c>
      <c r="Q267" s="28" t="s">
        <v>652</v>
      </c>
    </row>
    <row r="268" spans="1:17">
      <c r="A268" s="14">
        <v>264</v>
      </c>
      <c r="B268" s="29" t="s">
        <v>361</v>
      </c>
      <c r="C268" s="16">
        <f>'Медикаменты Ноябрь'!L268</f>
        <v>0</v>
      </c>
      <c r="D268" s="17"/>
      <c r="E268" s="14"/>
      <c r="F268" s="18"/>
      <c r="G268" s="19"/>
      <c r="H268" s="20"/>
      <c r="I268" s="21"/>
      <c r="J268" s="14"/>
      <c r="K268" s="14">
        <f t="shared" si="8"/>
        <v>0</v>
      </c>
      <c r="L268" s="16">
        <f t="shared" si="9"/>
        <v>0</v>
      </c>
      <c r="M268" s="22"/>
      <c r="N268" s="44"/>
      <c r="O268" s="23" t="s">
        <v>16</v>
      </c>
      <c r="P268" s="24"/>
      <c r="Q268" s="45"/>
    </row>
    <row r="269" spans="1:17">
      <c r="A269" s="14">
        <v>265</v>
      </c>
      <c r="B269" s="29" t="s">
        <v>362</v>
      </c>
      <c r="C269" s="16">
        <f>'Медикаменты Ноябрь'!L269</f>
        <v>0</v>
      </c>
      <c r="D269" s="17"/>
      <c r="E269" s="14"/>
      <c r="F269" s="18"/>
      <c r="G269" s="19"/>
      <c r="H269" s="20"/>
      <c r="I269" s="21"/>
      <c r="J269" s="14"/>
      <c r="K269" s="14">
        <f t="shared" si="8"/>
        <v>0</v>
      </c>
      <c r="L269" s="16">
        <f t="shared" si="9"/>
        <v>0</v>
      </c>
      <c r="M269" s="22">
        <v>45200</v>
      </c>
      <c r="N269" s="44"/>
      <c r="O269" s="23" t="s">
        <v>16</v>
      </c>
      <c r="P269" s="24"/>
      <c r="Q269" s="28" t="s">
        <v>363</v>
      </c>
    </row>
    <row r="270" spans="1:17">
      <c r="A270" s="14">
        <v>266</v>
      </c>
      <c r="B270" s="29" t="s">
        <v>364</v>
      </c>
      <c r="C270" s="16">
        <f>'Медикаменты Ноябрь'!L270</f>
        <v>0</v>
      </c>
      <c r="D270" s="17"/>
      <c r="E270" s="14"/>
      <c r="F270" s="18"/>
      <c r="G270" s="19"/>
      <c r="H270" s="20"/>
      <c r="I270" s="21"/>
      <c r="J270" s="14"/>
      <c r="K270" s="14">
        <f t="shared" si="8"/>
        <v>0</v>
      </c>
      <c r="L270" s="16">
        <f t="shared" si="9"/>
        <v>0</v>
      </c>
      <c r="M270" s="22">
        <v>44378</v>
      </c>
      <c r="N270" s="44"/>
      <c r="O270" s="23" t="s">
        <v>26</v>
      </c>
      <c r="P270" s="24"/>
      <c r="Q270" s="45"/>
    </row>
    <row r="271" spans="1:17">
      <c r="A271" s="14">
        <v>267</v>
      </c>
      <c r="B271" s="29" t="s">
        <v>365</v>
      </c>
      <c r="C271" s="16">
        <f>'Медикаменты Ноябрь'!L271</f>
        <v>0</v>
      </c>
      <c r="D271" s="17"/>
      <c r="E271" s="14"/>
      <c r="F271" s="18"/>
      <c r="G271" s="19"/>
      <c r="H271" s="20"/>
      <c r="I271" s="21"/>
      <c r="J271" s="14"/>
      <c r="K271" s="14">
        <f t="shared" si="8"/>
        <v>0</v>
      </c>
      <c r="L271" s="16">
        <f t="shared" si="9"/>
        <v>0</v>
      </c>
      <c r="M271" s="22"/>
      <c r="N271" s="44"/>
      <c r="O271" s="23" t="s">
        <v>16</v>
      </c>
      <c r="P271" s="24"/>
      <c r="Q271" s="45"/>
    </row>
    <row r="272" spans="1:17">
      <c r="A272" s="14">
        <v>268</v>
      </c>
      <c r="B272" s="29" t="s">
        <v>556</v>
      </c>
      <c r="C272" s="16">
        <f>'Медикаменты Ноябрь'!L272</f>
        <v>4</v>
      </c>
      <c r="D272" s="17"/>
      <c r="E272" s="14"/>
      <c r="F272" s="18">
        <f>2</f>
        <v>2</v>
      </c>
      <c r="G272" s="19"/>
      <c r="H272" s="20"/>
      <c r="I272" s="21"/>
      <c r="J272" s="14"/>
      <c r="K272" s="14">
        <f t="shared" si="8"/>
        <v>2</v>
      </c>
      <c r="L272" s="16">
        <f t="shared" si="9"/>
        <v>2</v>
      </c>
      <c r="M272" s="22">
        <v>45231</v>
      </c>
      <c r="N272" s="44" t="s">
        <v>551</v>
      </c>
      <c r="O272" s="23" t="s">
        <v>16</v>
      </c>
      <c r="P272" s="24" t="s">
        <v>17</v>
      </c>
      <c r="Q272" s="28" t="s">
        <v>557</v>
      </c>
    </row>
    <row r="273" spans="1:17">
      <c r="A273" s="14">
        <v>269</v>
      </c>
      <c r="B273" s="29" t="s">
        <v>556</v>
      </c>
      <c r="C273" s="16">
        <f>'Медикаменты Ноябрь'!L273</f>
        <v>0</v>
      </c>
      <c r="D273" s="17"/>
      <c r="E273" s="14"/>
      <c r="F273" s="18"/>
      <c r="G273" s="19"/>
      <c r="H273" s="20"/>
      <c r="I273" s="21"/>
      <c r="J273" s="14"/>
      <c r="K273" s="14">
        <f t="shared" si="8"/>
        <v>0</v>
      </c>
      <c r="L273" s="16">
        <f t="shared" si="9"/>
        <v>0</v>
      </c>
      <c r="M273" s="22">
        <v>45231</v>
      </c>
      <c r="N273" s="44" t="s">
        <v>551</v>
      </c>
      <c r="O273" s="23" t="s">
        <v>26</v>
      </c>
      <c r="P273" s="24" t="s">
        <v>17</v>
      </c>
      <c r="Q273" s="28" t="s">
        <v>557</v>
      </c>
    </row>
    <row r="274" spans="1:17">
      <c r="A274" s="14">
        <v>270</v>
      </c>
      <c r="B274" s="29" t="s">
        <v>367</v>
      </c>
      <c r="C274" s="16">
        <f>'Медикаменты Ноябрь'!L274</f>
        <v>0</v>
      </c>
      <c r="D274" s="17"/>
      <c r="E274" s="14"/>
      <c r="F274" s="18"/>
      <c r="G274" s="19"/>
      <c r="H274" s="20"/>
      <c r="I274" s="21"/>
      <c r="J274" s="14"/>
      <c r="K274" s="14">
        <f t="shared" si="8"/>
        <v>0</v>
      </c>
      <c r="L274" s="16">
        <f t="shared" si="9"/>
        <v>0</v>
      </c>
      <c r="M274" s="22">
        <v>45261</v>
      </c>
      <c r="N274" s="44" t="s">
        <v>45</v>
      </c>
      <c r="O274" s="23" t="s">
        <v>16</v>
      </c>
      <c r="P274" s="24" t="s">
        <v>17</v>
      </c>
      <c r="Q274" s="28" t="s">
        <v>368</v>
      </c>
    </row>
    <row r="275" spans="1:17">
      <c r="A275" s="14">
        <v>271</v>
      </c>
      <c r="B275" s="29" t="s">
        <v>369</v>
      </c>
      <c r="C275" s="16">
        <f>'Медикаменты Ноябрь'!L275</f>
        <v>0</v>
      </c>
      <c r="D275" s="17"/>
      <c r="E275" s="14"/>
      <c r="F275" s="18"/>
      <c r="G275" s="19"/>
      <c r="H275" s="20"/>
      <c r="I275" s="21"/>
      <c r="J275" s="14"/>
      <c r="K275" s="14">
        <f t="shared" si="8"/>
        <v>0</v>
      </c>
      <c r="L275" s="16">
        <f t="shared" si="9"/>
        <v>0</v>
      </c>
      <c r="M275" s="22">
        <v>44927</v>
      </c>
      <c r="N275" s="44" t="s">
        <v>45</v>
      </c>
      <c r="O275" s="23" t="s">
        <v>16</v>
      </c>
      <c r="P275" s="24" t="s">
        <v>45</v>
      </c>
      <c r="Q275" s="28" t="s">
        <v>370</v>
      </c>
    </row>
    <row r="276" spans="1:17">
      <c r="A276" s="14">
        <v>272</v>
      </c>
      <c r="B276" s="29" t="s">
        <v>371</v>
      </c>
      <c r="C276" s="16">
        <f>'Медикаменты Ноябрь'!L276</f>
        <v>0</v>
      </c>
      <c r="D276" s="17"/>
      <c r="E276" s="14"/>
      <c r="F276" s="18"/>
      <c r="G276" s="19"/>
      <c r="H276" s="20"/>
      <c r="I276" s="21"/>
      <c r="J276" s="14"/>
      <c r="K276" s="14">
        <f t="shared" si="8"/>
        <v>0</v>
      </c>
      <c r="L276" s="16">
        <f t="shared" si="9"/>
        <v>0</v>
      </c>
      <c r="M276" s="22">
        <v>45413</v>
      </c>
      <c r="N276" s="44"/>
      <c r="O276" s="23" t="s">
        <v>16</v>
      </c>
      <c r="P276" s="24" t="s">
        <v>17</v>
      </c>
      <c r="Q276" s="28" t="s">
        <v>372</v>
      </c>
    </row>
    <row r="277" spans="1:17">
      <c r="A277" s="14">
        <v>273</v>
      </c>
      <c r="B277" s="29" t="s">
        <v>371</v>
      </c>
      <c r="C277" s="16">
        <f>'Медикаменты Ноябрь'!L277</f>
        <v>0</v>
      </c>
      <c r="D277" s="17"/>
      <c r="E277" s="14"/>
      <c r="F277" s="18"/>
      <c r="G277" s="19"/>
      <c r="H277" s="20"/>
      <c r="I277" s="21"/>
      <c r="J277" s="14"/>
      <c r="K277" s="14">
        <f t="shared" si="8"/>
        <v>0</v>
      </c>
      <c r="L277" s="16">
        <f t="shared" si="9"/>
        <v>0</v>
      </c>
      <c r="M277" s="22">
        <v>45413</v>
      </c>
      <c r="N277" s="44"/>
      <c r="O277" s="23" t="s">
        <v>26</v>
      </c>
      <c r="P277" s="24"/>
      <c r="Q277" s="28" t="s">
        <v>372</v>
      </c>
    </row>
    <row r="278" spans="1:17">
      <c r="A278" s="14">
        <v>274</v>
      </c>
      <c r="B278" s="29" t="s">
        <v>373</v>
      </c>
      <c r="C278" s="16">
        <f>'Медикаменты Ноябрь'!L278</f>
        <v>0</v>
      </c>
      <c r="D278" s="17"/>
      <c r="E278" s="14"/>
      <c r="F278" s="18"/>
      <c r="G278" s="19"/>
      <c r="H278" s="20"/>
      <c r="I278" s="21"/>
      <c r="J278" s="14"/>
      <c r="K278" s="14">
        <f t="shared" si="8"/>
        <v>0</v>
      </c>
      <c r="L278" s="16">
        <f t="shared" si="9"/>
        <v>0</v>
      </c>
      <c r="M278" s="22">
        <v>45108</v>
      </c>
      <c r="N278" s="44"/>
      <c r="O278" s="23" t="s">
        <v>16</v>
      </c>
      <c r="P278" s="24"/>
      <c r="Q278" s="28" t="s">
        <v>374</v>
      </c>
    </row>
    <row r="279" spans="1:17">
      <c r="A279" s="14">
        <v>275</v>
      </c>
      <c r="B279" s="29" t="s">
        <v>373</v>
      </c>
      <c r="C279" s="16">
        <f>'Медикаменты Ноябрь'!L279</f>
        <v>0</v>
      </c>
      <c r="D279" s="17"/>
      <c r="E279" s="14"/>
      <c r="F279" s="18"/>
      <c r="G279" s="19"/>
      <c r="H279" s="20"/>
      <c r="I279" s="21"/>
      <c r="J279" s="14"/>
      <c r="K279" s="14">
        <f t="shared" si="8"/>
        <v>0</v>
      </c>
      <c r="L279" s="16">
        <f t="shared" si="9"/>
        <v>0</v>
      </c>
      <c r="M279" s="22">
        <v>45108</v>
      </c>
      <c r="N279" s="44"/>
      <c r="O279" s="23" t="s">
        <v>26</v>
      </c>
      <c r="P279" s="24"/>
      <c r="Q279" s="28" t="s">
        <v>374</v>
      </c>
    </row>
    <row r="280" spans="1:17">
      <c r="A280" s="14">
        <v>276</v>
      </c>
      <c r="B280" s="29" t="s">
        <v>653</v>
      </c>
      <c r="C280" s="16">
        <f>'Медикаменты Ноябрь'!L280</f>
        <v>80</v>
      </c>
      <c r="D280" s="17"/>
      <c r="E280" s="14"/>
      <c r="F280" s="18"/>
      <c r="G280" s="19">
        <f>30</f>
        <v>30</v>
      </c>
      <c r="H280" s="20"/>
      <c r="I280" s="21"/>
      <c r="J280" s="14"/>
      <c r="K280" s="14">
        <f t="shared" si="8"/>
        <v>30</v>
      </c>
      <c r="L280" s="16">
        <f t="shared" si="9"/>
        <v>50</v>
      </c>
      <c r="M280" s="22">
        <v>45444</v>
      </c>
      <c r="N280" s="44" t="s">
        <v>551</v>
      </c>
      <c r="O280" s="23" t="s">
        <v>16</v>
      </c>
      <c r="P280" s="24" t="s">
        <v>17</v>
      </c>
      <c r="Q280" s="28" t="s">
        <v>654</v>
      </c>
    </row>
    <row r="281" spans="1:17">
      <c r="A281" s="14">
        <v>277</v>
      </c>
      <c r="B281" s="29" t="s">
        <v>375</v>
      </c>
      <c r="C281" s="16">
        <f>'Медикаменты Ноябрь'!L281</f>
        <v>0</v>
      </c>
      <c r="D281" s="17"/>
      <c r="E281" s="14"/>
      <c r="F281" s="18"/>
      <c r="G281" s="19"/>
      <c r="H281" s="20"/>
      <c r="I281" s="21"/>
      <c r="J281" s="14"/>
      <c r="K281" s="14">
        <f t="shared" si="8"/>
        <v>0</v>
      </c>
      <c r="L281" s="16">
        <f t="shared" si="9"/>
        <v>0</v>
      </c>
      <c r="M281" s="22">
        <v>44958</v>
      </c>
      <c r="N281" s="44"/>
      <c r="O281" s="23" t="s">
        <v>26</v>
      </c>
      <c r="P281" s="24"/>
      <c r="Q281" s="28" t="s">
        <v>376</v>
      </c>
    </row>
    <row r="282" spans="1:17">
      <c r="A282" s="14">
        <v>278</v>
      </c>
      <c r="B282" s="29" t="s">
        <v>377</v>
      </c>
      <c r="C282" s="16">
        <f>'Медикаменты Ноябрь'!L282</f>
        <v>442</v>
      </c>
      <c r="D282" s="17"/>
      <c r="E282" s="14"/>
      <c r="F282" s="18">
        <f>20+15</f>
        <v>35</v>
      </c>
      <c r="G282" s="19"/>
      <c r="H282" s="20"/>
      <c r="I282" s="21"/>
      <c r="J282" s="14"/>
      <c r="K282" s="14">
        <f t="shared" si="8"/>
        <v>35</v>
      </c>
      <c r="L282" s="16">
        <f t="shared" si="9"/>
        <v>407</v>
      </c>
      <c r="M282" s="22">
        <v>45230</v>
      </c>
      <c r="N282" s="44" t="s">
        <v>551</v>
      </c>
      <c r="O282" s="23" t="s">
        <v>16</v>
      </c>
      <c r="P282" s="24" t="s">
        <v>17</v>
      </c>
      <c r="Q282" s="28" t="s">
        <v>378</v>
      </c>
    </row>
    <row r="283" spans="1:17">
      <c r="A283" s="14">
        <v>279</v>
      </c>
      <c r="B283" s="29" t="s">
        <v>377</v>
      </c>
      <c r="C283" s="16">
        <f>'Медикаменты Ноябрь'!L283</f>
        <v>0</v>
      </c>
      <c r="D283" s="17"/>
      <c r="E283" s="14"/>
      <c r="F283" s="18"/>
      <c r="G283" s="19"/>
      <c r="H283" s="20"/>
      <c r="I283" s="21"/>
      <c r="J283" s="14"/>
      <c r="K283" s="14">
        <f t="shared" si="8"/>
        <v>0</v>
      </c>
      <c r="L283" s="16">
        <f t="shared" si="9"/>
        <v>0</v>
      </c>
      <c r="M283" s="22">
        <v>45170</v>
      </c>
      <c r="N283" s="44"/>
      <c r="O283" s="23" t="s">
        <v>26</v>
      </c>
      <c r="P283" s="24" t="s">
        <v>17</v>
      </c>
      <c r="Q283" s="28" t="s">
        <v>378</v>
      </c>
    </row>
    <row r="284" spans="1:17">
      <c r="A284" s="14">
        <v>280</v>
      </c>
      <c r="B284" s="29" t="s">
        <v>379</v>
      </c>
      <c r="C284" s="16">
        <f>'Медикаменты Ноябрь'!L284</f>
        <v>165</v>
      </c>
      <c r="D284" s="17"/>
      <c r="E284" s="14"/>
      <c r="F284" s="18"/>
      <c r="G284" s="19"/>
      <c r="H284" s="20"/>
      <c r="I284" s="21"/>
      <c r="J284" s="14"/>
      <c r="K284" s="14">
        <f t="shared" si="8"/>
        <v>0</v>
      </c>
      <c r="L284" s="16">
        <f t="shared" si="9"/>
        <v>165</v>
      </c>
      <c r="M284" s="22">
        <v>45292</v>
      </c>
      <c r="N284" s="44" t="s">
        <v>551</v>
      </c>
      <c r="O284" s="23" t="s">
        <v>16</v>
      </c>
      <c r="P284" s="24" t="s">
        <v>17</v>
      </c>
      <c r="Q284" s="28"/>
    </row>
    <row r="285" spans="1:17">
      <c r="A285" s="14">
        <v>281</v>
      </c>
      <c r="B285" s="29" t="s">
        <v>380</v>
      </c>
      <c r="C285" s="16">
        <f>'Медикаменты Ноябрь'!L285</f>
        <v>0</v>
      </c>
      <c r="D285" s="17"/>
      <c r="E285" s="14"/>
      <c r="F285" s="18"/>
      <c r="G285" s="19"/>
      <c r="H285" s="20"/>
      <c r="I285" s="21"/>
      <c r="J285" s="14"/>
      <c r="K285" s="14">
        <f t="shared" si="8"/>
        <v>0</v>
      </c>
      <c r="L285" s="16">
        <f t="shared" si="9"/>
        <v>0</v>
      </c>
      <c r="M285" s="22">
        <v>44682</v>
      </c>
      <c r="N285" s="44"/>
      <c r="O285" s="23" t="s">
        <v>16</v>
      </c>
      <c r="P285" s="24" t="s">
        <v>45</v>
      </c>
      <c r="Q285" s="28" t="s">
        <v>381</v>
      </c>
    </row>
    <row r="286" spans="1:17">
      <c r="A286" s="14">
        <v>282</v>
      </c>
      <c r="B286" s="29" t="s">
        <v>382</v>
      </c>
      <c r="C286" s="16">
        <f>'Медикаменты Ноябрь'!L286</f>
        <v>0</v>
      </c>
      <c r="D286" s="17"/>
      <c r="E286" s="14"/>
      <c r="F286" s="18"/>
      <c r="G286" s="19"/>
      <c r="H286" s="20"/>
      <c r="I286" s="21"/>
      <c r="J286" s="14"/>
      <c r="K286" s="14">
        <f t="shared" si="8"/>
        <v>0</v>
      </c>
      <c r="L286" s="16">
        <f t="shared" si="9"/>
        <v>0</v>
      </c>
      <c r="M286" s="22">
        <v>44743</v>
      </c>
      <c r="N286" s="44"/>
      <c r="O286" s="23" t="s">
        <v>16</v>
      </c>
      <c r="P286" s="24"/>
      <c r="Q286" s="28" t="s">
        <v>383</v>
      </c>
    </row>
    <row r="287" spans="1:17">
      <c r="A287" s="14">
        <v>283</v>
      </c>
      <c r="B287" s="29" t="s">
        <v>384</v>
      </c>
      <c r="C287" s="16">
        <f>'Медикаменты Ноябрь'!L287</f>
        <v>0</v>
      </c>
      <c r="D287" s="17"/>
      <c r="E287" s="14"/>
      <c r="F287" s="18"/>
      <c r="G287" s="19"/>
      <c r="H287" s="20"/>
      <c r="I287" s="21"/>
      <c r="J287" s="14"/>
      <c r="K287" s="14">
        <f t="shared" si="8"/>
        <v>0</v>
      </c>
      <c r="L287" s="16">
        <f t="shared" si="9"/>
        <v>0</v>
      </c>
      <c r="M287" s="22"/>
      <c r="N287" s="44"/>
      <c r="O287" s="23" t="s">
        <v>16</v>
      </c>
      <c r="P287" s="24"/>
      <c r="Q287" s="45"/>
    </row>
    <row r="288" spans="1:17">
      <c r="A288" s="14">
        <v>284</v>
      </c>
      <c r="B288" s="29" t="s">
        <v>385</v>
      </c>
      <c r="C288" s="16">
        <f>'Медикаменты Ноябрь'!L288</f>
        <v>0</v>
      </c>
      <c r="D288" s="17"/>
      <c r="E288" s="14"/>
      <c r="F288" s="18"/>
      <c r="G288" s="19"/>
      <c r="H288" s="20"/>
      <c r="I288" s="21"/>
      <c r="J288" s="14"/>
      <c r="K288" s="14">
        <f t="shared" si="8"/>
        <v>0</v>
      </c>
      <c r="L288" s="16">
        <f t="shared" si="9"/>
        <v>0</v>
      </c>
      <c r="M288" s="22"/>
      <c r="N288" s="44"/>
      <c r="O288" s="23" t="s">
        <v>16</v>
      </c>
      <c r="P288" s="24"/>
      <c r="Q288" s="45"/>
    </row>
    <row r="289" spans="1:17">
      <c r="A289" s="14">
        <v>285</v>
      </c>
      <c r="B289" s="29" t="s">
        <v>610</v>
      </c>
      <c r="C289" s="16">
        <f>'Медикаменты Ноябрь'!L289</f>
        <v>60</v>
      </c>
      <c r="D289" s="17"/>
      <c r="E289" s="14"/>
      <c r="F289" s="18">
        <f>10</f>
        <v>10</v>
      </c>
      <c r="G289" s="19"/>
      <c r="H289" s="20"/>
      <c r="I289" s="21"/>
      <c r="J289" s="14"/>
      <c r="K289" s="14">
        <f t="shared" si="8"/>
        <v>10</v>
      </c>
      <c r="L289" s="16">
        <f t="shared" si="9"/>
        <v>50</v>
      </c>
      <c r="M289" s="22">
        <v>45444</v>
      </c>
      <c r="N289" s="44" t="s">
        <v>551</v>
      </c>
      <c r="O289" s="23" t="s">
        <v>16</v>
      </c>
      <c r="P289" s="24" t="s">
        <v>45</v>
      </c>
      <c r="Q289" s="28" t="s">
        <v>611</v>
      </c>
    </row>
    <row r="290" spans="1:17">
      <c r="A290" s="14">
        <v>286</v>
      </c>
      <c r="B290" s="29" t="s">
        <v>635</v>
      </c>
      <c r="C290" s="16">
        <f>'Медикаменты Ноябрь'!L290</f>
        <v>80</v>
      </c>
      <c r="D290" s="17"/>
      <c r="E290" s="14"/>
      <c r="F290" s="18">
        <f>5</f>
        <v>5</v>
      </c>
      <c r="G290" s="19"/>
      <c r="H290" s="20"/>
      <c r="I290" s="21"/>
      <c r="J290" s="14"/>
      <c r="K290" s="14">
        <f t="shared" si="8"/>
        <v>5</v>
      </c>
      <c r="L290" s="16">
        <f t="shared" si="9"/>
        <v>75</v>
      </c>
      <c r="M290" s="22">
        <v>45323</v>
      </c>
      <c r="N290" s="44" t="s">
        <v>551</v>
      </c>
      <c r="O290" s="23" t="s">
        <v>16</v>
      </c>
      <c r="P290" s="24" t="s">
        <v>17</v>
      </c>
      <c r="Q290" s="28" t="s">
        <v>636</v>
      </c>
    </row>
    <row r="291" spans="1:17">
      <c r="A291" s="14">
        <v>287</v>
      </c>
      <c r="B291" s="29" t="s">
        <v>387</v>
      </c>
      <c r="C291" s="16">
        <f>'Медикаменты Ноябрь'!L291</f>
        <v>0</v>
      </c>
      <c r="D291" s="17"/>
      <c r="E291" s="14"/>
      <c r="F291" s="18"/>
      <c r="G291" s="19"/>
      <c r="H291" s="20"/>
      <c r="I291" s="21"/>
      <c r="J291" s="14"/>
      <c r="K291" s="14">
        <f t="shared" si="8"/>
        <v>0</v>
      </c>
      <c r="L291" s="16">
        <f t="shared" si="9"/>
        <v>0</v>
      </c>
      <c r="M291" s="22"/>
      <c r="N291" s="44"/>
      <c r="O291" s="23" t="s">
        <v>16</v>
      </c>
      <c r="P291" s="24"/>
      <c r="Q291" s="45"/>
    </row>
    <row r="292" spans="1:17">
      <c r="A292" s="14">
        <v>288</v>
      </c>
      <c r="B292" s="29" t="s">
        <v>388</v>
      </c>
      <c r="C292" s="16">
        <f>'Медикаменты Ноябрь'!L292</f>
        <v>0</v>
      </c>
      <c r="D292" s="17"/>
      <c r="E292" s="14"/>
      <c r="F292" s="18"/>
      <c r="G292" s="19"/>
      <c r="H292" s="20"/>
      <c r="I292" s="21"/>
      <c r="J292" s="14"/>
      <c r="K292" s="14">
        <f t="shared" si="8"/>
        <v>0</v>
      </c>
      <c r="L292" s="16">
        <f t="shared" si="9"/>
        <v>0</v>
      </c>
      <c r="M292" s="22">
        <v>45139</v>
      </c>
      <c r="N292" s="44"/>
      <c r="O292" s="23" t="s">
        <v>16</v>
      </c>
      <c r="P292" s="24"/>
      <c r="Q292" s="28" t="s">
        <v>389</v>
      </c>
    </row>
    <row r="293" spans="1:17">
      <c r="A293" s="14">
        <v>289</v>
      </c>
      <c r="B293" s="29" t="s">
        <v>390</v>
      </c>
      <c r="C293" s="16">
        <f>'Медикаменты Ноябрь'!L293</f>
        <v>0</v>
      </c>
      <c r="D293" s="26"/>
      <c r="E293" s="14"/>
      <c r="F293" s="18"/>
      <c r="G293" s="19"/>
      <c r="H293" s="20"/>
      <c r="I293" s="21"/>
      <c r="J293" s="14"/>
      <c r="K293" s="14">
        <f t="shared" si="8"/>
        <v>0</v>
      </c>
      <c r="L293" s="16">
        <f t="shared" si="9"/>
        <v>0</v>
      </c>
      <c r="M293" s="22"/>
      <c r="N293" s="44"/>
      <c r="O293" s="23" t="s">
        <v>16</v>
      </c>
      <c r="P293" s="24"/>
      <c r="Q293" s="28" t="s">
        <v>391</v>
      </c>
    </row>
    <row r="294" spans="1:17">
      <c r="A294" s="14">
        <v>290</v>
      </c>
      <c r="B294" s="29" t="s">
        <v>392</v>
      </c>
      <c r="C294" s="16">
        <f>'Медикаменты Ноябрь'!L294</f>
        <v>0</v>
      </c>
      <c r="D294" s="17"/>
      <c r="E294" s="14"/>
      <c r="F294" s="18"/>
      <c r="G294" s="19"/>
      <c r="H294" s="20"/>
      <c r="I294" s="21"/>
      <c r="J294" s="14"/>
      <c r="K294" s="14">
        <f t="shared" si="8"/>
        <v>0</v>
      </c>
      <c r="L294" s="16">
        <f t="shared" si="9"/>
        <v>0</v>
      </c>
      <c r="M294" s="22"/>
      <c r="N294" s="44"/>
      <c r="O294" s="23" t="s">
        <v>16</v>
      </c>
      <c r="P294" s="24"/>
      <c r="Q294" s="45"/>
    </row>
    <row r="295" spans="1:17">
      <c r="A295" s="14">
        <v>291</v>
      </c>
      <c r="B295" s="29" t="s">
        <v>664</v>
      </c>
      <c r="C295" s="16">
        <f>'Медикаменты Ноябрь'!L295</f>
        <v>10</v>
      </c>
      <c r="D295" s="17"/>
      <c r="E295" s="14"/>
      <c r="F295" s="18"/>
      <c r="G295" s="19"/>
      <c r="H295" s="20"/>
      <c r="I295" s="21"/>
      <c r="J295" s="14"/>
      <c r="K295" s="14">
        <f t="shared" si="8"/>
        <v>0</v>
      </c>
      <c r="L295" s="16">
        <f t="shared" si="9"/>
        <v>10</v>
      </c>
      <c r="M295" s="22">
        <v>45200</v>
      </c>
      <c r="N295" s="44" t="s">
        <v>551</v>
      </c>
      <c r="O295" s="23" t="s">
        <v>16</v>
      </c>
      <c r="P295" s="24" t="s">
        <v>17</v>
      </c>
      <c r="Q295" s="28" t="s">
        <v>665</v>
      </c>
    </row>
    <row r="296" spans="1:17">
      <c r="A296" s="14">
        <v>292</v>
      </c>
      <c r="B296" s="29" t="s">
        <v>573</v>
      </c>
      <c r="C296" s="16">
        <f>'Медикаменты Ноябрь'!L296</f>
        <v>3</v>
      </c>
      <c r="D296" s="17"/>
      <c r="E296" s="14"/>
      <c r="F296" s="18"/>
      <c r="G296" s="19"/>
      <c r="H296" s="20"/>
      <c r="I296" s="21"/>
      <c r="J296" s="14"/>
      <c r="K296" s="14">
        <f t="shared" si="8"/>
        <v>0</v>
      </c>
      <c r="L296" s="16">
        <f t="shared" si="9"/>
        <v>3</v>
      </c>
      <c r="M296" s="22">
        <v>45047</v>
      </c>
      <c r="N296" s="44" t="s">
        <v>45</v>
      </c>
      <c r="O296" s="23" t="s">
        <v>16</v>
      </c>
      <c r="P296" s="24" t="s">
        <v>17</v>
      </c>
      <c r="Q296" s="28" t="s">
        <v>574</v>
      </c>
    </row>
    <row r="297" spans="1:17">
      <c r="A297" s="14">
        <v>293</v>
      </c>
      <c r="B297" s="29" t="s">
        <v>393</v>
      </c>
      <c r="C297" s="16">
        <f>'Медикаменты Ноябрь'!L297</f>
        <v>38</v>
      </c>
      <c r="D297" s="17"/>
      <c r="E297" s="14"/>
      <c r="F297" s="18">
        <f>10</f>
        <v>10</v>
      </c>
      <c r="G297" s="19"/>
      <c r="H297" s="20"/>
      <c r="I297" s="21"/>
      <c r="J297" s="14"/>
      <c r="K297" s="14">
        <f t="shared" si="8"/>
        <v>10</v>
      </c>
      <c r="L297" s="16">
        <f t="shared" si="9"/>
        <v>28</v>
      </c>
      <c r="M297" s="22">
        <v>44652</v>
      </c>
      <c r="N297" s="44" t="s">
        <v>45</v>
      </c>
      <c r="O297" s="23" t="s">
        <v>16</v>
      </c>
      <c r="P297" s="24" t="s">
        <v>17</v>
      </c>
      <c r="Q297" s="28" t="s">
        <v>394</v>
      </c>
    </row>
    <row r="298" spans="1:17">
      <c r="A298" s="14">
        <v>294</v>
      </c>
      <c r="B298" s="29" t="s">
        <v>395</v>
      </c>
      <c r="C298" s="16">
        <f>'Медикаменты Ноябрь'!L298</f>
        <v>45</v>
      </c>
      <c r="D298" s="17"/>
      <c r="E298" s="14"/>
      <c r="F298" s="18"/>
      <c r="G298" s="19"/>
      <c r="H298" s="20"/>
      <c r="I298" s="21"/>
      <c r="J298" s="14"/>
      <c r="K298" s="14">
        <f t="shared" si="8"/>
        <v>0</v>
      </c>
      <c r="L298" s="16">
        <f t="shared" si="9"/>
        <v>45</v>
      </c>
      <c r="M298" s="22">
        <v>45689</v>
      </c>
      <c r="N298" s="44" t="s">
        <v>551</v>
      </c>
      <c r="O298" s="23" t="s">
        <v>16</v>
      </c>
      <c r="P298" s="24" t="s">
        <v>17</v>
      </c>
      <c r="Q298" s="28" t="s">
        <v>396</v>
      </c>
    </row>
    <row r="299" spans="1:17">
      <c r="A299" s="14">
        <v>295</v>
      </c>
      <c r="B299" s="29" t="s">
        <v>397</v>
      </c>
      <c r="C299" s="16">
        <f>'Медикаменты Ноябрь'!L299</f>
        <v>0</v>
      </c>
      <c r="D299" s="17"/>
      <c r="E299" s="14"/>
      <c r="F299" s="18"/>
      <c r="G299" s="19"/>
      <c r="H299" s="20"/>
      <c r="I299" s="21"/>
      <c r="J299" s="14"/>
      <c r="K299" s="14">
        <f t="shared" si="8"/>
        <v>0</v>
      </c>
      <c r="L299" s="16">
        <f t="shared" si="9"/>
        <v>0</v>
      </c>
      <c r="M299" s="22">
        <v>45689</v>
      </c>
      <c r="N299" s="44" t="s">
        <v>45</v>
      </c>
      <c r="O299" s="23" t="s">
        <v>16</v>
      </c>
      <c r="P299" s="24" t="s">
        <v>17</v>
      </c>
      <c r="Q299" s="28" t="s">
        <v>587</v>
      </c>
    </row>
    <row r="300" spans="1:17">
      <c r="A300" s="14">
        <v>296</v>
      </c>
      <c r="B300" s="29" t="s">
        <v>398</v>
      </c>
      <c r="C300" s="16">
        <f>'Медикаменты Ноябрь'!L300</f>
        <v>0</v>
      </c>
      <c r="D300" s="17"/>
      <c r="E300" s="14"/>
      <c r="F300" s="18"/>
      <c r="G300" s="19"/>
      <c r="H300" s="20"/>
      <c r="I300" s="21"/>
      <c r="J300" s="14"/>
      <c r="K300" s="14">
        <f t="shared" si="8"/>
        <v>0</v>
      </c>
      <c r="L300" s="16">
        <f t="shared" si="9"/>
        <v>0</v>
      </c>
      <c r="M300" s="22">
        <v>44256</v>
      </c>
      <c r="N300" s="44"/>
      <c r="O300" s="23" t="s">
        <v>16</v>
      </c>
      <c r="P300" s="24"/>
      <c r="Q300" s="28" t="s">
        <v>399</v>
      </c>
    </row>
    <row r="301" spans="1:17">
      <c r="A301" s="14">
        <v>297</v>
      </c>
      <c r="B301" s="29" t="s">
        <v>400</v>
      </c>
      <c r="C301" s="16">
        <f>'Медикаменты Ноябрь'!L301</f>
        <v>0</v>
      </c>
      <c r="D301" s="17"/>
      <c r="E301" s="14"/>
      <c r="F301" s="18"/>
      <c r="G301" s="19"/>
      <c r="H301" s="20"/>
      <c r="I301" s="21"/>
      <c r="J301" s="14"/>
      <c r="K301" s="14">
        <f t="shared" si="8"/>
        <v>0</v>
      </c>
      <c r="L301" s="16">
        <f t="shared" si="9"/>
        <v>0</v>
      </c>
      <c r="M301" s="22">
        <v>44531</v>
      </c>
      <c r="N301" s="44"/>
      <c r="O301" s="23" t="s">
        <v>16</v>
      </c>
      <c r="P301" s="24" t="s">
        <v>45</v>
      </c>
      <c r="Q301" s="28" t="s">
        <v>401</v>
      </c>
    </row>
    <row r="302" spans="1:17">
      <c r="A302" s="14">
        <v>298</v>
      </c>
      <c r="B302" s="29" t="s">
        <v>637</v>
      </c>
      <c r="C302" s="16">
        <f>'Медикаменты Ноябрь'!L302</f>
        <v>0</v>
      </c>
      <c r="D302" s="17"/>
      <c r="E302" s="14"/>
      <c r="F302" s="18"/>
      <c r="G302" s="19"/>
      <c r="H302" s="20"/>
      <c r="I302" s="21"/>
      <c r="J302" s="14"/>
      <c r="K302" s="14">
        <f t="shared" si="8"/>
        <v>0</v>
      </c>
      <c r="L302" s="16">
        <f t="shared" si="9"/>
        <v>0</v>
      </c>
      <c r="M302" s="22">
        <v>45108</v>
      </c>
      <c r="N302" s="44"/>
      <c r="O302" s="23" t="s">
        <v>26</v>
      </c>
      <c r="P302" s="24" t="s">
        <v>45</v>
      </c>
      <c r="Q302" s="28" t="s">
        <v>403</v>
      </c>
    </row>
    <row r="303" spans="1:17">
      <c r="A303" s="14">
        <v>299</v>
      </c>
      <c r="B303" s="29" t="s">
        <v>404</v>
      </c>
      <c r="C303" s="16">
        <f>'Медикаменты Ноябрь'!L303</f>
        <v>0</v>
      </c>
      <c r="D303" s="17"/>
      <c r="E303" s="14">
        <f>30</f>
        <v>30</v>
      </c>
      <c r="F303" s="18">
        <f>10</f>
        <v>10</v>
      </c>
      <c r="G303" s="19"/>
      <c r="H303" s="20"/>
      <c r="I303" s="21"/>
      <c r="J303" s="14"/>
      <c r="K303" s="14">
        <f t="shared" si="8"/>
        <v>10</v>
      </c>
      <c r="L303" s="16">
        <f t="shared" si="9"/>
        <v>20</v>
      </c>
      <c r="M303" s="22"/>
      <c r="N303" s="44"/>
      <c r="O303" s="23" t="s">
        <v>16</v>
      </c>
      <c r="P303" s="24"/>
      <c r="Q303" s="45"/>
    </row>
    <row r="304" spans="1:17">
      <c r="A304" s="14">
        <v>300</v>
      </c>
      <c r="B304" s="29" t="s">
        <v>549</v>
      </c>
      <c r="C304" s="16">
        <f>'Медикаменты Ноябрь'!L304</f>
        <v>0</v>
      </c>
      <c r="D304" s="17"/>
      <c r="E304" s="14"/>
      <c r="F304" s="18"/>
      <c r="G304" s="19"/>
      <c r="H304" s="20"/>
      <c r="I304" s="21"/>
      <c r="J304" s="14"/>
      <c r="K304" s="14">
        <f t="shared" si="8"/>
        <v>0</v>
      </c>
      <c r="L304" s="16">
        <f t="shared" si="9"/>
        <v>0</v>
      </c>
      <c r="M304" s="22">
        <v>44287</v>
      </c>
      <c r="N304" s="44"/>
      <c r="O304" s="23" t="s">
        <v>16</v>
      </c>
      <c r="P304" s="24" t="s">
        <v>45</v>
      </c>
      <c r="Q304" s="28" t="s">
        <v>406</v>
      </c>
    </row>
    <row r="305" spans="1:17">
      <c r="A305" s="14">
        <v>301</v>
      </c>
      <c r="B305" s="29" t="s">
        <v>407</v>
      </c>
      <c r="C305" s="16">
        <f>'Медикаменты Ноябрь'!L305</f>
        <v>0</v>
      </c>
      <c r="D305" s="17"/>
      <c r="E305" s="14"/>
      <c r="F305" s="18"/>
      <c r="G305" s="19"/>
      <c r="H305" s="20"/>
      <c r="I305" s="21"/>
      <c r="J305" s="14"/>
      <c r="K305" s="14">
        <f t="shared" si="8"/>
        <v>0</v>
      </c>
      <c r="L305" s="16">
        <f t="shared" si="9"/>
        <v>0</v>
      </c>
      <c r="M305" s="22">
        <v>44562</v>
      </c>
      <c r="N305" s="44"/>
      <c r="O305" s="23" t="s">
        <v>16</v>
      </c>
      <c r="P305" s="24" t="s">
        <v>17</v>
      </c>
      <c r="Q305" s="28" t="s">
        <v>408</v>
      </c>
    </row>
    <row r="306" spans="1:17">
      <c r="A306" s="14">
        <v>302</v>
      </c>
      <c r="B306" s="29" t="s">
        <v>409</v>
      </c>
      <c r="C306" s="16">
        <f>'Медикаменты Ноябрь'!L306</f>
        <v>180</v>
      </c>
      <c r="D306" s="17"/>
      <c r="E306" s="14"/>
      <c r="F306" s="18">
        <f>10+5</f>
        <v>15</v>
      </c>
      <c r="G306" s="19"/>
      <c r="H306" s="20"/>
      <c r="I306" s="21"/>
      <c r="J306" s="14"/>
      <c r="K306" s="14">
        <f t="shared" si="8"/>
        <v>15</v>
      </c>
      <c r="L306" s="16">
        <f t="shared" si="9"/>
        <v>165</v>
      </c>
      <c r="M306" s="22">
        <v>45139</v>
      </c>
      <c r="N306" s="44" t="s">
        <v>45</v>
      </c>
      <c r="O306" s="23" t="s">
        <v>16</v>
      </c>
      <c r="P306" s="24" t="s">
        <v>17</v>
      </c>
      <c r="Q306" s="28" t="s">
        <v>410</v>
      </c>
    </row>
    <row r="307" spans="1:17">
      <c r="A307" s="14">
        <v>303</v>
      </c>
      <c r="B307" s="29" t="s">
        <v>411</v>
      </c>
      <c r="C307" s="16">
        <f>'Медикаменты Ноябрь'!L307</f>
        <v>0</v>
      </c>
      <c r="D307" s="17"/>
      <c r="E307" s="14"/>
      <c r="F307" s="18"/>
      <c r="G307" s="19"/>
      <c r="H307" s="20"/>
      <c r="I307" s="21"/>
      <c r="J307" s="14"/>
      <c r="K307" s="14">
        <f t="shared" si="8"/>
        <v>0</v>
      </c>
      <c r="L307" s="16">
        <f t="shared" si="9"/>
        <v>0</v>
      </c>
      <c r="M307" s="22">
        <v>45413</v>
      </c>
      <c r="N307" s="44" t="s">
        <v>45</v>
      </c>
      <c r="O307" s="23" t="s">
        <v>16</v>
      </c>
      <c r="P307" s="24" t="s">
        <v>45</v>
      </c>
      <c r="Q307" s="28" t="s">
        <v>412</v>
      </c>
    </row>
    <row r="308" spans="1:17">
      <c r="A308" s="14">
        <v>304</v>
      </c>
      <c r="B308" s="29" t="s">
        <v>413</v>
      </c>
      <c r="C308" s="16">
        <f>'Медикаменты Ноябрь'!L308</f>
        <v>0</v>
      </c>
      <c r="D308" s="17"/>
      <c r="E308" s="14"/>
      <c r="F308" s="18"/>
      <c r="G308" s="19"/>
      <c r="H308" s="20"/>
      <c r="I308" s="21"/>
      <c r="J308" s="14"/>
      <c r="K308" s="14">
        <f t="shared" si="8"/>
        <v>0</v>
      </c>
      <c r="L308" s="16">
        <f t="shared" si="9"/>
        <v>0</v>
      </c>
      <c r="M308" s="22">
        <v>45474</v>
      </c>
      <c r="N308" s="44"/>
      <c r="O308" s="23" t="s">
        <v>16</v>
      </c>
      <c r="P308" s="24"/>
      <c r="Q308" s="28"/>
    </row>
    <row r="309" spans="1:17">
      <c r="A309" s="14">
        <v>305</v>
      </c>
      <c r="B309" s="29" t="s">
        <v>414</v>
      </c>
      <c r="C309" s="16">
        <f>'Медикаменты Ноябрь'!L309</f>
        <v>0</v>
      </c>
      <c r="D309" s="17"/>
      <c r="E309" s="14"/>
      <c r="F309" s="18"/>
      <c r="G309" s="19"/>
      <c r="H309" s="20"/>
      <c r="I309" s="21"/>
      <c r="J309" s="14"/>
      <c r="K309" s="14">
        <f t="shared" si="8"/>
        <v>0</v>
      </c>
      <c r="L309" s="16">
        <f t="shared" si="9"/>
        <v>0</v>
      </c>
      <c r="M309" s="22"/>
      <c r="N309" s="44"/>
      <c r="O309" s="23" t="s">
        <v>16</v>
      </c>
      <c r="P309" s="24"/>
      <c r="Q309" s="28"/>
    </row>
    <row r="310" spans="1:17">
      <c r="A310" s="14">
        <v>306</v>
      </c>
      <c r="B310" s="29" t="s">
        <v>415</v>
      </c>
      <c r="C310" s="16">
        <f>'Медикаменты Ноябрь'!L310</f>
        <v>165</v>
      </c>
      <c r="D310" s="17"/>
      <c r="E310" s="14"/>
      <c r="F310" s="18">
        <f>5+10</f>
        <v>15</v>
      </c>
      <c r="G310" s="19"/>
      <c r="H310" s="20"/>
      <c r="I310" s="21"/>
      <c r="J310" s="14"/>
      <c r="K310" s="14">
        <f t="shared" si="8"/>
        <v>15</v>
      </c>
      <c r="L310" s="16">
        <f t="shared" si="9"/>
        <v>150</v>
      </c>
      <c r="M310" s="22">
        <v>45323</v>
      </c>
      <c r="N310" s="44" t="s">
        <v>551</v>
      </c>
      <c r="O310" s="23" t="s">
        <v>16</v>
      </c>
      <c r="P310" s="24" t="s">
        <v>17</v>
      </c>
      <c r="Q310" s="28" t="s">
        <v>416</v>
      </c>
    </row>
    <row r="311" spans="1:17">
      <c r="A311" s="14">
        <v>307</v>
      </c>
      <c r="B311" s="29" t="s">
        <v>415</v>
      </c>
      <c r="C311" s="16">
        <f>'Медикаменты Ноябрь'!L311</f>
        <v>0</v>
      </c>
      <c r="D311" s="17"/>
      <c r="E311" s="14"/>
      <c r="F311" s="18"/>
      <c r="G311" s="19"/>
      <c r="H311" s="20"/>
      <c r="I311" s="21"/>
      <c r="J311" s="14"/>
      <c r="K311" s="14">
        <f t="shared" si="8"/>
        <v>0</v>
      </c>
      <c r="L311" s="16">
        <f t="shared" si="9"/>
        <v>0</v>
      </c>
      <c r="M311" s="22">
        <v>44986</v>
      </c>
      <c r="N311" s="44"/>
      <c r="O311" s="23" t="s">
        <v>26</v>
      </c>
      <c r="P311" s="24"/>
      <c r="Q311" s="28" t="s">
        <v>416</v>
      </c>
    </row>
    <row r="312" spans="1:17">
      <c r="A312" s="14">
        <v>308</v>
      </c>
      <c r="B312" s="31" t="s">
        <v>417</v>
      </c>
      <c r="C312" s="16">
        <f>'Медикаменты Ноябрь'!L312</f>
        <v>0</v>
      </c>
      <c r="D312" s="17"/>
      <c r="E312" s="14"/>
      <c r="F312" s="18"/>
      <c r="G312" s="19"/>
      <c r="H312" s="20"/>
      <c r="I312" s="21"/>
      <c r="J312" s="14"/>
      <c r="K312" s="14">
        <f t="shared" si="8"/>
        <v>0</v>
      </c>
      <c r="L312" s="16">
        <f t="shared" si="9"/>
        <v>0</v>
      </c>
      <c r="M312" s="22">
        <v>44136</v>
      </c>
      <c r="N312" s="44"/>
      <c r="O312" s="23" t="s">
        <v>16</v>
      </c>
      <c r="P312" s="24"/>
      <c r="Q312" s="28" t="s">
        <v>418</v>
      </c>
    </row>
    <row r="313" spans="1:17">
      <c r="A313" s="14">
        <v>309</v>
      </c>
      <c r="B313" s="29" t="s">
        <v>419</v>
      </c>
      <c r="C313" s="16">
        <f>'Медикаменты Ноябрь'!L313</f>
        <v>0</v>
      </c>
      <c r="D313" s="17"/>
      <c r="E313" s="14"/>
      <c r="F313" s="18"/>
      <c r="G313" s="19"/>
      <c r="H313" s="20"/>
      <c r="I313" s="21"/>
      <c r="J313" s="14"/>
      <c r="K313" s="14">
        <f t="shared" si="8"/>
        <v>0</v>
      </c>
      <c r="L313" s="16">
        <f t="shared" si="9"/>
        <v>0</v>
      </c>
      <c r="M313" s="22"/>
      <c r="N313" s="44"/>
      <c r="O313" s="23" t="s">
        <v>16</v>
      </c>
      <c r="P313" s="24"/>
      <c r="Q313" s="45"/>
    </row>
    <row r="314" spans="1:17">
      <c r="A314" s="14">
        <v>310</v>
      </c>
      <c r="B314" s="29" t="s">
        <v>420</v>
      </c>
      <c r="C314" s="16">
        <f>'Медикаменты Ноябрь'!L314</f>
        <v>0</v>
      </c>
      <c r="D314" s="17"/>
      <c r="E314" s="14"/>
      <c r="F314" s="18"/>
      <c r="G314" s="19"/>
      <c r="H314" s="20"/>
      <c r="I314" s="21"/>
      <c r="J314" s="14"/>
      <c r="K314" s="14">
        <f t="shared" si="8"/>
        <v>0</v>
      </c>
      <c r="L314" s="16">
        <f t="shared" si="9"/>
        <v>0</v>
      </c>
      <c r="M314" s="22">
        <v>45047</v>
      </c>
      <c r="N314" s="44" t="s">
        <v>45</v>
      </c>
      <c r="O314" s="23" t="s">
        <v>16</v>
      </c>
      <c r="P314" s="24" t="s">
        <v>17</v>
      </c>
      <c r="Q314" s="28" t="s">
        <v>421</v>
      </c>
    </row>
    <row r="315" spans="1:17">
      <c r="A315" s="14">
        <v>311</v>
      </c>
      <c r="B315" s="29" t="s">
        <v>420</v>
      </c>
      <c r="C315" s="16">
        <f>'Медикаменты Ноябрь'!L315</f>
        <v>0</v>
      </c>
      <c r="D315" s="17"/>
      <c r="E315" s="14"/>
      <c r="F315" s="18"/>
      <c r="G315" s="19"/>
      <c r="H315" s="20"/>
      <c r="I315" s="21"/>
      <c r="J315" s="14"/>
      <c r="K315" s="14">
        <f t="shared" si="8"/>
        <v>0</v>
      </c>
      <c r="L315" s="16">
        <f t="shared" si="9"/>
        <v>0</v>
      </c>
      <c r="M315" s="22">
        <v>45047</v>
      </c>
      <c r="N315" s="44"/>
      <c r="O315" s="23" t="s">
        <v>26</v>
      </c>
      <c r="P315" s="24"/>
      <c r="Q315" s="28" t="s">
        <v>421</v>
      </c>
    </row>
    <row r="316" spans="1:17">
      <c r="A316" s="14">
        <v>312</v>
      </c>
      <c r="B316" s="29" t="s">
        <v>422</v>
      </c>
      <c r="C316" s="16">
        <f>'Медикаменты Ноябрь'!L316</f>
        <v>0</v>
      </c>
      <c r="D316" s="17"/>
      <c r="E316" s="14"/>
      <c r="F316" s="18"/>
      <c r="G316" s="19"/>
      <c r="H316" s="20"/>
      <c r="I316" s="21"/>
      <c r="J316" s="14"/>
      <c r="K316" s="14">
        <f t="shared" si="8"/>
        <v>0</v>
      </c>
      <c r="L316" s="16">
        <f t="shared" si="9"/>
        <v>0</v>
      </c>
      <c r="M316" s="22"/>
      <c r="N316" s="44"/>
      <c r="O316" s="23" t="s">
        <v>26</v>
      </c>
      <c r="P316" s="24"/>
      <c r="Q316" s="45"/>
    </row>
    <row r="317" spans="1:17">
      <c r="A317" s="14">
        <v>313</v>
      </c>
      <c r="B317" s="29" t="s">
        <v>422</v>
      </c>
      <c r="C317" s="16">
        <f>'Медикаменты Ноябрь'!L317</f>
        <v>0</v>
      </c>
      <c r="D317" s="17"/>
      <c r="E317" s="14"/>
      <c r="F317" s="18"/>
      <c r="G317" s="19"/>
      <c r="H317" s="20"/>
      <c r="I317" s="21"/>
      <c r="J317" s="14"/>
      <c r="K317" s="14">
        <f t="shared" si="8"/>
        <v>0</v>
      </c>
      <c r="L317" s="16">
        <f t="shared" si="9"/>
        <v>0</v>
      </c>
      <c r="M317" s="22">
        <v>44531</v>
      </c>
      <c r="N317" s="44" t="s">
        <v>45</v>
      </c>
      <c r="O317" s="23" t="s">
        <v>16</v>
      </c>
      <c r="P317" s="24" t="s">
        <v>17</v>
      </c>
      <c r="Q317" s="28" t="s">
        <v>423</v>
      </c>
    </row>
    <row r="318" spans="1:17">
      <c r="A318" s="14">
        <v>314</v>
      </c>
      <c r="B318" s="29" t="s">
        <v>638</v>
      </c>
      <c r="C318" s="16">
        <f>'Медикаменты Ноябрь'!L318</f>
        <v>0</v>
      </c>
      <c r="D318" s="17"/>
      <c r="E318" s="14"/>
      <c r="F318" s="18"/>
      <c r="G318" s="19"/>
      <c r="H318" s="20"/>
      <c r="I318" s="21"/>
      <c r="J318" s="14"/>
      <c r="K318" s="14">
        <f t="shared" si="8"/>
        <v>0</v>
      </c>
      <c r="L318" s="16">
        <f t="shared" si="9"/>
        <v>0</v>
      </c>
      <c r="M318" s="22">
        <v>44986</v>
      </c>
      <c r="N318" s="44" t="s">
        <v>551</v>
      </c>
      <c r="O318" s="23" t="s">
        <v>16</v>
      </c>
      <c r="P318" s="24" t="s">
        <v>17</v>
      </c>
      <c r="Q318" s="28" t="s">
        <v>425</v>
      </c>
    </row>
    <row r="319" spans="1:17">
      <c r="A319" s="14">
        <v>315</v>
      </c>
      <c r="B319" s="29" t="s">
        <v>426</v>
      </c>
      <c r="C319" s="16">
        <f>'Медикаменты Ноябрь'!L319</f>
        <v>0</v>
      </c>
      <c r="D319" s="17"/>
      <c r="E319" s="14"/>
      <c r="F319" s="18"/>
      <c r="G319" s="19"/>
      <c r="H319" s="20"/>
      <c r="I319" s="21"/>
      <c r="J319" s="14"/>
      <c r="K319" s="14">
        <f t="shared" si="8"/>
        <v>0</v>
      </c>
      <c r="L319" s="16">
        <f t="shared" si="9"/>
        <v>0</v>
      </c>
      <c r="M319" s="22"/>
      <c r="N319" s="44"/>
      <c r="O319" s="23" t="s">
        <v>16</v>
      </c>
      <c r="P319" s="24"/>
      <c r="Q319" s="45"/>
    </row>
    <row r="320" spans="1:17">
      <c r="A320" s="14">
        <v>316</v>
      </c>
      <c r="B320" s="29" t="s">
        <v>427</v>
      </c>
      <c r="C320" s="16">
        <f>'Медикаменты Ноябрь'!L320</f>
        <v>0</v>
      </c>
      <c r="D320" s="17"/>
      <c r="E320" s="14"/>
      <c r="F320" s="18"/>
      <c r="G320" s="19"/>
      <c r="H320" s="20"/>
      <c r="I320" s="21"/>
      <c r="J320" s="14"/>
      <c r="K320" s="14">
        <f t="shared" si="8"/>
        <v>0</v>
      </c>
      <c r="L320" s="16">
        <f t="shared" si="9"/>
        <v>0</v>
      </c>
      <c r="M320" s="22"/>
      <c r="N320" s="44"/>
      <c r="O320" s="23" t="s">
        <v>16</v>
      </c>
      <c r="P320" s="24"/>
      <c r="Q320" s="45"/>
    </row>
    <row r="321" spans="1:17">
      <c r="A321" s="14">
        <v>317</v>
      </c>
      <c r="B321" s="29" t="s">
        <v>428</v>
      </c>
      <c r="C321" s="16">
        <f>'Медикаменты Ноябрь'!L321</f>
        <v>0</v>
      </c>
      <c r="D321" s="17"/>
      <c r="E321" s="14"/>
      <c r="F321" s="18"/>
      <c r="G321" s="19"/>
      <c r="H321" s="20"/>
      <c r="I321" s="21"/>
      <c r="J321" s="14"/>
      <c r="K321" s="14">
        <f t="shared" si="8"/>
        <v>0</v>
      </c>
      <c r="L321" s="16">
        <f t="shared" si="9"/>
        <v>0</v>
      </c>
      <c r="M321" s="22">
        <v>44501</v>
      </c>
      <c r="N321" s="44" t="s">
        <v>45</v>
      </c>
      <c r="O321" s="23" t="s">
        <v>16</v>
      </c>
      <c r="P321" s="24" t="s">
        <v>17</v>
      </c>
      <c r="Q321" s="28" t="s">
        <v>429</v>
      </c>
    </row>
    <row r="322" spans="1:17">
      <c r="A322" s="14">
        <v>318</v>
      </c>
      <c r="B322" s="29" t="s">
        <v>430</v>
      </c>
      <c r="C322" s="16">
        <f>'Медикаменты Ноябрь'!L322</f>
        <v>0</v>
      </c>
      <c r="D322" s="26"/>
      <c r="E322" s="14"/>
      <c r="F322" s="18"/>
      <c r="G322" s="19"/>
      <c r="H322" s="20"/>
      <c r="I322" s="21"/>
      <c r="J322" s="14"/>
      <c r="K322" s="14">
        <f t="shared" si="8"/>
        <v>0</v>
      </c>
      <c r="L322" s="16">
        <f t="shared" si="9"/>
        <v>0</v>
      </c>
      <c r="M322" s="22">
        <v>44835</v>
      </c>
      <c r="N322" s="44" t="s">
        <v>45</v>
      </c>
      <c r="O322" s="23" t="s">
        <v>16</v>
      </c>
      <c r="P322" s="24" t="s">
        <v>17</v>
      </c>
      <c r="Q322" s="28" t="s">
        <v>431</v>
      </c>
    </row>
    <row r="323" spans="1:17">
      <c r="A323" s="14">
        <v>319</v>
      </c>
      <c r="B323" s="29" t="s">
        <v>430</v>
      </c>
      <c r="C323" s="16">
        <f>'Медикаменты Ноябрь'!L323</f>
        <v>41</v>
      </c>
      <c r="D323" s="26"/>
      <c r="E323" s="14"/>
      <c r="F323" s="18">
        <f>10+5</f>
        <v>15</v>
      </c>
      <c r="G323" s="19"/>
      <c r="H323" s="20"/>
      <c r="I323" s="21"/>
      <c r="J323" s="14"/>
      <c r="K323" s="14">
        <f t="shared" si="8"/>
        <v>15</v>
      </c>
      <c r="L323" s="16">
        <f t="shared" si="9"/>
        <v>26</v>
      </c>
      <c r="M323" s="22">
        <v>45323</v>
      </c>
      <c r="N323" s="44" t="s">
        <v>551</v>
      </c>
      <c r="O323" s="23" t="s">
        <v>16</v>
      </c>
      <c r="P323" s="24" t="s">
        <v>17</v>
      </c>
      <c r="Q323" s="28" t="s">
        <v>431</v>
      </c>
    </row>
    <row r="324" spans="1:17">
      <c r="A324" s="14">
        <v>320</v>
      </c>
      <c r="B324" s="29" t="s">
        <v>430</v>
      </c>
      <c r="C324" s="16">
        <f>'Медикаменты Ноябрь'!L324</f>
        <v>0</v>
      </c>
      <c r="D324" s="26"/>
      <c r="E324" s="14"/>
      <c r="F324" s="18"/>
      <c r="G324" s="19"/>
      <c r="H324" s="20"/>
      <c r="I324" s="21"/>
      <c r="J324" s="14"/>
      <c r="K324" s="14">
        <f t="shared" si="8"/>
        <v>0</v>
      </c>
      <c r="L324" s="16">
        <f t="shared" si="9"/>
        <v>0</v>
      </c>
      <c r="M324" s="22">
        <v>45323</v>
      </c>
      <c r="N324" s="44" t="s">
        <v>551</v>
      </c>
      <c r="O324" s="23" t="s">
        <v>26</v>
      </c>
      <c r="P324" s="24" t="s">
        <v>17</v>
      </c>
      <c r="Q324" s="28" t="s">
        <v>431</v>
      </c>
    </row>
    <row r="325" spans="1:17">
      <c r="A325" s="14">
        <v>321</v>
      </c>
      <c r="B325" s="29" t="s">
        <v>432</v>
      </c>
      <c r="C325" s="16">
        <f>'Медикаменты Ноябрь'!L325</f>
        <v>0</v>
      </c>
      <c r="D325" s="17"/>
      <c r="E325" s="14"/>
      <c r="F325" s="18"/>
      <c r="G325" s="19"/>
      <c r="H325" s="20"/>
      <c r="I325" s="21"/>
      <c r="J325" s="14"/>
      <c r="K325" s="14">
        <f t="shared" ref="K325:K388" si="10">SUM(F325:J325)</f>
        <v>0</v>
      </c>
      <c r="L325" s="16">
        <f t="shared" ref="L325:L388" si="11">(C325+E325)-K325</f>
        <v>0</v>
      </c>
      <c r="M325" s="22"/>
      <c r="N325" s="44"/>
      <c r="O325" s="23" t="s">
        <v>16</v>
      </c>
      <c r="P325" s="24"/>
      <c r="Q325" s="45"/>
    </row>
    <row r="326" spans="1:17">
      <c r="A326" s="14">
        <v>322</v>
      </c>
      <c r="B326" s="29" t="s">
        <v>433</v>
      </c>
      <c r="C326" s="16">
        <f>'Медикаменты Ноябрь'!L326</f>
        <v>0</v>
      </c>
      <c r="D326" s="17"/>
      <c r="E326" s="14"/>
      <c r="F326" s="18"/>
      <c r="G326" s="19"/>
      <c r="H326" s="20"/>
      <c r="I326" s="21"/>
      <c r="J326" s="14"/>
      <c r="K326" s="14">
        <f t="shared" si="10"/>
        <v>0</v>
      </c>
      <c r="L326" s="16">
        <f t="shared" si="11"/>
        <v>0</v>
      </c>
      <c r="M326" s="22"/>
      <c r="N326" s="44"/>
      <c r="O326" s="23" t="s">
        <v>16</v>
      </c>
      <c r="P326" s="24"/>
      <c r="Q326" s="45"/>
    </row>
    <row r="327" spans="1:17">
      <c r="A327" s="14">
        <v>323</v>
      </c>
      <c r="B327" s="29" t="s">
        <v>434</v>
      </c>
      <c r="C327" s="16">
        <f>'Медикаменты Ноябрь'!L327</f>
        <v>0</v>
      </c>
      <c r="D327" s="17"/>
      <c r="E327" s="14"/>
      <c r="F327" s="18"/>
      <c r="G327" s="19"/>
      <c r="H327" s="20"/>
      <c r="I327" s="21"/>
      <c r="J327" s="14"/>
      <c r="K327" s="14">
        <f t="shared" si="10"/>
        <v>0</v>
      </c>
      <c r="L327" s="16">
        <f t="shared" si="11"/>
        <v>0</v>
      </c>
      <c r="M327" s="22"/>
      <c r="N327" s="44"/>
      <c r="O327" s="23" t="s">
        <v>16</v>
      </c>
      <c r="P327" s="24"/>
      <c r="Q327" s="45"/>
    </row>
    <row r="328" spans="1:17">
      <c r="A328" s="14">
        <v>324</v>
      </c>
      <c r="B328" s="29" t="s">
        <v>435</v>
      </c>
      <c r="C328" s="16">
        <f>'Медикаменты Ноябрь'!L328</f>
        <v>0</v>
      </c>
      <c r="D328" s="17"/>
      <c r="E328" s="14"/>
      <c r="F328" s="18"/>
      <c r="G328" s="19"/>
      <c r="H328" s="20"/>
      <c r="I328" s="21"/>
      <c r="J328" s="14"/>
      <c r="K328" s="14">
        <f t="shared" si="10"/>
        <v>0</v>
      </c>
      <c r="L328" s="16">
        <f t="shared" si="11"/>
        <v>0</v>
      </c>
      <c r="M328" s="22"/>
      <c r="N328" s="44"/>
      <c r="O328" s="23" t="s">
        <v>16</v>
      </c>
      <c r="P328" s="24"/>
      <c r="Q328" s="45"/>
    </row>
    <row r="329" spans="1:17">
      <c r="A329" s="14">
        <v>325</v>
      </c>
      <c r="B329" s="29" t="s">
        <v>436</v>
      </c>
      <c r="C329" s="16">
        <f>'Медикаменты Ноябрь'!L329</f>
        <v>0</v>
      </c>
      <c r="D329" s="17"/>
      <c r="E329" s="14"/>
      <c r="F329" s="18"/>
      <c r="G329" s="19"/>
      <c r="H329" s="20"/>
      <c r="I329" s="21"/>
      <c r="J329" s="14"/>
      <c r="K329" s="14">
        <f t="shared" si="10"/>
        <v>0</v>
      </c>
      <c r="L329" s="16">
        <f t="shared" si="11"/>
        <v>0</v>
      </c>
      <c r="M329" s="22"/>
      <c r="N329" s="44"/>
      <c r="O329" s="23" t="s">
        <v>16</v>
      </c>
      <c r="P329" s="24"/>
      <c r="Q329" s="45"/>
    </row>
    <row r="330" spans="1:17">
      <c r="A330" s="14">
        <v>326</v>
      </c>
      <c r="B330" s="29" t="s">
        <v>437</v>
      </c>
      <c r="C330" s="16">
        <f>'Медикаменты Ноябрь'!L330</f>
        <v>190</v>
      </c>
      <c r="D330" s="17"/>
      <c r="E330" s="14"/>
      <c r="F330" s="18">
        <f>30+50</f>
        <v>80</v>
      </c>
      <c r="G330" s="19"/>
      <c r="H330" s="20"/>
      <c r="I330" s="21"/>
      <c r="J330" s="14"/>
      <c r="K330" s="14">
        <f t="shared" si="10"/>
        <v>80</v>
      </c>
      <c r="L330" s="16">
        <f t="shared" si="11"/>
        <v>110</v>
      </c>
      <c r="M330" s="22">
        <v>45689</v>
      </c>
      <c r="N330" s="44" t="s">
        <v>551</v>
      </c>
      <c r="O330" s="23" t="s">
        <v>16</v>
      </c>
      <c r="P330" s="24" t="s">
        <v>45</v>
      </c>
      <c r="Q330" s="28" t="s">
        <v>438</v>
      </c>
    </row>
    <row r="331" spans="1:17">
      <c r="A331" s="14">
        <v>327</v>
      </c>
      <c r="B331" s="29" t="s">
        <v>437</v>
      </c>
      <c r="C331" s="16">
        <f>'Медикаменты Ноябрь'!L331</f>
        <v>0</v>
      </c>
      <c r="D331" s="17"/>
      <c r="E331" s="14"/>
      <c r="F331" s="18"/>
      <c r="G331" s="19"/>
      <c r="H331" s="20"/>
      <c r="I331" s="21"/>
      <c r="J331" s="14"/>
      <c r="K331" s="14">
        <f t="shared" si="10"/>
        <v>0</v>
      </c>
      <c r="L331" s="16">
        <f t="shared" si="11"/>
        <v>0</v>
      </c>
      <c r="M331" s="22">
        <v>45689</v>
      </c>
      <c r="N331" s="44" t="s">
        <v>551</v>
      </c>
      <c r="O331" s="23" t="s">
        <v>26</v>
      </c>
      <c r="P331" s="24" t="s">
        <v>45</v>
      </c>
      <c r="Q331" s="28" t="s">
        <v>438</v>
      </c>
    </row>
    <row r="332" spans="1:17">
      <c r="A332" s="14">
        <v>328</v>
      </c>
      <c r="B332" s="29" t="s">
        <v>440</v>
      </c>
      <c r="C332" s="16">
        <f>'Медикаменты Ноябрь'!L332</f>
        <v>0</v>
      </c>
      <c r="D332" s="17"/>
      <c r="E332" s="14"/>
      <c r="F332" s="18"/>
      <c r="G332" s="19"/>
      <c r="H332" s="20"/>
      <c r="I332" s="21"/>
      <c r="J332" s="14"/>
      <c r="K332" s="14">
        <f t="shared" si="10"/>
        <v>0</v>
      </c>
      <c r="L332" s="16">
        <f t="shared" si="11"/>
        <v>0</v>
      </c>
      <c r="M332" s="22"/>
      <c r="N332" s="44"/>
      <c r="O332" s="23" t="s">
        <v>16</v>
      </c>
      <c r="P332" s="24"/>
      <c r="Q332" s="45"/>
    </row>
    <row r="333" spans="1:17">
      <c r="A333" s="14">
        <v>329</v>
      </c>
      <c r="B333" s="29" t="s">
        <v>441</v>
      </c>
      <c r="C333" s="16">
        <f>'Медикаменты Ноябрь'!L333</f>
        <v>30</v>
      </c>
      <c r="D333" s="17"/>
      <c r="E333" s="14"/>
      <c r="F333" s="18"/>
      <c r="G333" s="19"/>
      <c r="H333" s="20"/>
      <c r="I333" s="21"/>
      <c r="J333" s="14"/>
      <c r="K333" s="14">
        <f t="shared" si="10"/>
        <v>0</v>
      </c>
      <c r="L333" s="16">
        <f t="shared" si="11"/>
        <v>30</v>
      </c>
      <c r="M333" s="22">
        <v>45931</v>
      </c>
      <c r="N333" s="44" t="s">
        <v>551</v>
      </c>
      <c r="O333" s="23" t="s">
        <v>16</v>
      </c>
      <c r="P333" s="24" t="s">
        <v>17</v>
      </c>
      <c r="Q333" s="28" t="s">
        <v>639</v>
      </c>
    </row>
    <row r="334" spans="1:17">
      <c r="A334" s="14">
        <v>330</v>
      </c>
      <c r="B334" s="29" t="s">
        <v>442</v>
      </c>
      <c r="C334" s="16">
        <f>'Медикаменты Ноябрь'!L334</f>
        <v>0</v>
      </c>
      <c r="D334" s="17"/>
      <c r="E334" s="14"/>
      <c r="F334" s="18"/>
      <c r="G334" s="19"/>
      <c r="H334" s="20"/>
      <c r="I334" s="21"/>
      <c r="J334" s="14"/>
      <c r="K334" s="14">
        <f t="shared" si="10"/>
        <v>0</v>
      </c>
      <c r="L334" s="16">
        <f t="shared" si="11"/>
        <v>0</v>
      </c>
      <c r="M334" s="22"/>
      <c r="N334" s="44"/>
      <c r="O334" s="23" t="s">
        <v>16</v>
      </c>
      <c r="P334" s="24"/>
      <c r="Q334" s="45"/>
    </row>
    <row r="335" spans="1:17">
      <c r="A335" s="14">
        <v>331</v>
      </c>
      <c r="B335" s="29" t="s">
        <v>443</v>
      </c>
      <c r="C335" s="16">
        <f>'Медикаменты Ноябрь'!L335</f>
        <v>0</v>
      </c>
      <c r="D335" s="17"/>
      <c r="E335" s="14"/>
      <c r="F335" s="18"/>
      <c r="G335" s="19"/>
      <c r="H335" s="20"/>
      <c r="I335" s="21"/>
      <c r="J335" s="14"/>
      <c r="K335" s="14">
        <f t="shared" si="10"/>
        <v>0</v>
      </c>
      <c r="L335" s="16">
        <f t="shared" si="11"/>
        <v>0</v>
      </c>
      <c r="M335" s="22"/>
      <c r="N335" s="44"/>
      <c r="O335" s="23" t="s">
        <v>16</v>
      </c>
      <c r="P335" s="24"/>
      <c r="Q335" s="45"/>
    </row>
    <row r="336" spans="1:17">
      <c r="A336" s="14">
        <v>332</v>
      </c>
      <c r="B336" s="29" t="s">
        <v>444</v>
      </c>
      <c r="C336" s="16">
        <f>'Медикаменты Ноябрь'!L336</f>
        <v>0</v>
      </c>
      <c r="D336" s="17"/>
      <c r="E336" s="14"/>
      <c r="F336" s="18"/>
      <c r="G336" s="19"/>
      <c r="H336" s="20"/>
      <c r="I336" s="21"/>
      <c r="J336" s="14"/>
      <c r="K336" s="14">
        <f t="shared" si="10"/>
        <v>0</v>
      </c>
      <c r="L336" s="16">
        <f t="shared" si="11"/>
        <v>0</v>
      </c>
      <c r="M336" s="22">
        <v>44501</v>
      </c>
      <c r="N336" s="44" t="s">
        <v>45</v>
      </c>
      <c r="O336" s="23" t="s">
        <v>16</v>
      </c>
      <c r="P336" s="24" t="s">
        <v>17</v>
      </c>
      <c r="Q336" s="28" t="s">
        <v>445</v>
      </c>
    </row>
    <row r="337" spans="1:17">
      <c r="A337" s="14">
        <v>333</v>
      </c>
      <c r="B337" s="29" t="s">
        <v>446</v>
      </c>
      <c r="C337" s="16">
        <f>'Медикаменты Ноябрь'!L337</f>
        <v>0</v>
      </c>
      <c r="D337" s="17"/>
      <c r="E337" s="14"/>
      <c r="F337" s="18"/>
      <c r="G337" s="19"/>
      <c r="H337" s="20"/>
      <c r="I337" s="21"/>
      <c r="J337" s="14"/>
      <c r="K337" s="14">
        <f t="shared" si="10"/>
        <v>0</v>
      </c>
      <c r="L337" s="16">
        <f t="shared" si="11"/>
        <v>0</v>
      </c>
      <c r="M337" s="22"/>
      <c r="N337" s="44"/>
      <c r="O337" s="23" t="s">
        <v>16</v>
      </c>
      <c r="P337" s="24"/>
      <c r="Q337" s="45"/>
    </row>
    <row r="338" spans="1:17">
      <c r="A338" s="14">
        <v>334</v>
      </c>
      <c r="B338" s="29" t="s">
        <v>447</v>
      </c>
      <c r="C338" s="16">
        <f>'Медикаменты Ноябрь'!L338</f>
        <v>0</v>
      </c>
      <c r="D338" s="17"/>
      <c r="E338" s="14"/>
      <c r="F338" s="18"/>
      <c r="G338" s="19"/>
      <c r="H338" s="20"/>
      <c r="I338" s="21"/>
      <c r="J338" s="14"/>
      <c r="K338" s="14">
        <f t="shared" si="10"/>
        <v>0</v>
      </c>
      <c r="L338" s="16">
        <f t="shared" si="11"/>
        <v>0</v>
      </c>
      <c r="M338" s="22">
        <v>44593</v>
      </c>
      <c r="N338" s="44"/>
      <c r="O338" s="23" t="s">
        <v>16</v>
      </c>
      <c r="P338" s="24"/>
      <c r="Q338" s="28" t="s">
        <v>448</v>
      </c>
    </row>
    <row r="339" spans="1:17">
      <c r="A339" s="14">
        <v>335</v>
      </c>
      <c r="B339" s="29" t="s">
        <v>449</v>
      </c>
      <c r="C339" s="16">
        <f>'Медикаменты Ноябрь'!L339</f>
        <v>0</v>
      </c>
      <c r="D339" s="17"/>
      <c r="E339" s="14"/>
      <c r="F339" s="18"/>
      <c r="G339" s="19"/>
      <c r="H339" s="20"/>
      <c r="I339" s="21"/>
      <c r="J339" s="14"/>
      <c r="K339" s="14">
        <f t="shared" si="10"/>
        <v>0</v>
      </c>
      <c r="L339" s="16">
        <f t="shared" si="11"/>
        <v>0</v>
      </c>
      <c r="M339" s="22">
        <v>44228</v>
      </c>
      <c r="N339" s="44"/>
      <c r="O339" s="23" t="s">
        <v>16</v>
      </c>
      <c r="P339" s="24" t="s">
        <v>17</v>
      </c>
      <c r="Q339" s="28" t="s">
        <v>450</v>
      </c>
    </row>
    <row r="340" spans="1:17">
      <c r="A340" s="14">
        <v>336</v>
      </c>
      <c r="B340" s="29" t="s">
        <v>451</v>
      </c>
      <c r="C340" s="16">
        <f>'Медикаменты Ноябрь'!L340</f>
        <v>0</v>
      </c>
      <c r="D340" s="17"/>
      <c r="E340" s="14"/>
      <c r="F340" s="18"/>
      <c r="G340" s="19"/>
      <c r="H340" s="20"/>
      <c r="I340" s="21"/>
      <c r="J340" s="14"/>
      <c r="K340" s="14">
        <f t="shared" si="10"/>
        <v>0</v>
      </c>
      <c r="L340" s="16">
        <f t="shared" si="11"/>
        <v>0</v>
      </c>
      <c r="M340" s="22">
        <v>44317</v>
      </c>
      <c r="N340" s="44"/>
      <c r="O340" s="23" t="s">
        <v>16</v>
      </c>
      <c r="P340" s="24" t="s">
        <v>17</v>
      </c>
      <c r="Q340" s="28" t="s">
        <v>452</v>
      </c>
    </row>
    <row r="341" spans="1:17" ht="25.5">
      <c r="A341" s="14">
        <v>337</v>
      </c>
      <c r="B341" s="29" t="s">
        <v>453</v>
      </c>
      <c r="C341" s="16">
        <f>'Медикаменты Ноябрь'!L341</f>
        <v>10</v>
      </c>
      <c r="D341" s="17"/>
      <c r="E341" s="14"/>
      <c r="F341" s="18"/>
      <c r="G341" s="19"/>
      <c r="H341" s="20"/>
      <c r="I341" s="21"/>
      <c r="J341" s="14"/>
      <c r="K341" s="14">
        <f t="shared" si="10"/>
        <v>0</v>
      </c>
      <c r="L341" s="16">
        <f t="shared" si="11"/>
        <v>10</v>
      </c>
      <c r="M341" s="22">
        <v>44470</v>
      </c>
      <c r="N341" s="44" t="s">
        <v>45</v>
      </c>
      <c r="O341" s="23" t="s">
        <v>16</v>
      </c>
      <c r="P341" s="24" t="s">
        <v>17</v>
      </c>
      <c r="Q341" s="28" t="s">
        <v>454</v>
      </c>
    </row>
    <row r="342" spans="1:17">
      <c r="A342" s="14">
        <v>338</v>
      </c>
      <c r="B342" s="29" t="s">
        <v>575</v>
      </c>
      <c r="C342" s="16">
        <f>'Медикаменты Ноябрь'!L342</f>
        <v>2</v>
      </c>
      <c r="D342" s="17"/>
      <c r="E342" s="14"/>
      <c r="F342" s="18"/>
      <c r="G342" s="19"/>
      <c r="H342" s="20"/>
      <c r="I342" s="21"/>
      <c r="J342" s="14"/>
      <c r="K342" s="14">
        <f t="shared" si="10"/>
        <v>0</v>
      </c>
      <c r="L342" s="16">
        <f t="shared" si="11"/>
        <v>2</v>
      </c>
      <c r="M342" s="22">
        <v>45444</v>
      </c>
      <c r="N342" s="44" t="s">
        <v>45</v>
      </c>
      <c r="O342" s="23" t="s">
        <v>16</v>
      </c>
      <c r="P342" s="24" t="s">
        <v>17</v>
      </c>
      <c r="Q342" s="28" t="s">
        <v>576</v>
      </c>
    </row>
    <row r="343" spans="1:17">
      <c r="A343" s="14">
        <v>339</v>
      </c>
      <c r="B343" s="29" t="s">
        <v>455</v>
      </c>
      <c r="C343" s="16">
        <f>'Медикаменты Ноябрь'!L343</f>
        <v>0</v>
      </c>
      <c r="D343" s="17"/>
      <c r="E343" s="14"/>
      <c r="F343" s="18"/>
      <c r="G343" s="19"/>
      <c r="H343" s="20"/>
      <c r="I343" s="21"/>
      <c r="J343" s="14"/>
      <c r="K343" s="14">
        <f t="shared" si="10"/>
        <v>0</v>
      </c>
      <c r="L343" s="16">
        <f t="shared" si="11"/>
        <v>0</v>
      </c>
      <c r="M343" s="22"/>
      <c r="N343" s="44"/>
      <c r="O343" s="23" t="s">
        <v>16</v>
      </c>
      <c r="P343" s="24"/>
      <c r="Q343" s="45"/>
    </row>
    <row r="344" spans="1:17">
      <c r="A344" s="14">
        <v>340</v>
      </c>
      <c r="B344" s="29" t="s">
        <v>456</v>
      </c>
      <c r="C344" s="16">
        <f>'Медикаменты Ноябрь'!L344</f>
        <v>0</v>
      </c>
      <c r="D344" s="17"/>
      <c r="E344" s="14"/>
      <c r="F344" s="18"/>
      <c r="G344" s="19"/>
      <c r="H344" s="20"/>
      <c r="I344" s="21"/>
      <c r="J344" s="14"/>
      <c r="K344" s="14">
        <f t="shared" si="10"/>
        <v>0</v>
      </c>
      <c r="L344" s="16">
        <f t="shared" si="11"/>
        <v>0</v>
      </c>
      <c r="M344" s="22">
        <v>44287</v>
      </c>
      <c r="N344" s="44"/>
      <c r="O344" s="23" t="s">
        <v>16</v>
      </c>
      <c r="P344" s="24"/>
      <c r="Q344" s="28" t="s">
        <v>457</v>
      </c>
    </row>
    <row r="345" spans="1:17">
      <c r="A345" s="14">
        <v>341</v>
      </c>
      <c r="B345" s="29" t="s">
        <v>458</v>
      </c>
      <c r="C345" s="16">
        <f>'Медикаменты Ноябрь'!L345</f>
        <v>0</v>
      </c>
      <c r="D345" s="17"/>
      <c r="E345" s="14"/>
      <c r="F345" s="18"/>
      <c r="G345" s="19"/>
      <c r="H345" s="20"/>
      <c r="I345" s="21"/>
      <c r="J345" s="14"/>
      <c r="K345" s="14">
        <f t="shared" si="10"/>
        <v>0</v>
      </c>
      <c r="L345" s="16">
        <f t="shared" si="11"/>
        <v>0</v>
      </c>
      <c r="M345" s="22">
        <v>44287</v>
      </c>
      <c r="N345" s="44" t="s">
        <v>45</v>
      </c>
      <c r="O345" s="23" t="s">
        <v>16</v>
      </c>
      <c r="P345" s="24" t="s">
        <v>45</v>
      </c>
      <c r="Q345" s="28" t="s">
        <v>459</v>
      </c>
    </row>
    <row r="346" spans="1:17">
      <c r="A346" s="14">
        <v>342</v>
      </c>
      <c r="B346" s="29" t="s">
        <v>460</v>
      </c>
      <c r="C346" s="16">
        <f>'Медикаменты Ноябрь'!L346</f>
        <v>0</v>
      </c>
      <c r="D346" s="17"/>
      <c r="E346" s="14"/>
      <c r="F346" s="18"/>
      <c r="G346" s="19"/>
      <c r="H346" s="20"/>
      <c r="I346" s="21"/>
      <c r="J346" s="14"/>
      <c r="K346" s="14">
        <f t="shared" si="10"/>
        <v>0</v>
      </c>
      <c r="L346" s="16">
        <f t="shared" si="11"/>
        <v>0</v>
      </c>
      <c r="M346" s="22">
        <v>45597</v>
      </c>
      <c r="N346" s="44"/>
      <c r="O346" s="23" t="s">
        <v>16</v>
      </c>
      <c r="P346" s="24" t="s">
        <v>45</v>
      </c>
      <c r="Q346" s="28" t="s">
        <v>461</v>
      </c>
    </row>
    <row r="347" spans="1:17">
      <c r="A347" s="14">
        <v>343</v>
      </c>
      <c r="B347" s="29" t="s">
        <v>462</v>
      </c>
      <c r="C347" s="16">
        <f>'Медикаменты Ноябрь'!L347</f>
        <v>0</v>
      </c>
      <c r="D347" s="17"/>
      <c r="E347" s="14"/>
      <c r="F347" s="18"/>
      <c r="G347" s="19"/>
      <c r="H347" s="20"/>
      <c r="I347" s="21"/>
      <c r="J347" s="14"/>
      <c r="K347" s="14">
        <f t="shared" si="10"/>
        <v>0</v>
      </c>
      <c r="L347" s="16">
        <f t="shared" si="11"/>
        <v>0</v>
      </c>
      <c r="M347" s="22">
        <v>43952</v>
      </c>
      <c r="N347" s="44"/>
      <c r="O347" s="23" t="s">
        <v>16</v>
      </c>
      <c r="P347" s="24"/>
      <c r="Q347" s="45"/>
    </row>
    <row r="348" spans="1:17">
      <c r="A348" s="14">
        <v>344</v>
      </c>
      <c r="B348" s="29" t="s">
        <v>463</v>
      </c>
      <c r="C348" s="16">
        <f>'Медикаменты Ноябрь'!L348</f>
        <v>0</v>
      </c>
      <c r="D348" s="17"/>
      <c r="E348" s="14"/>
      <c r="F348" s="18"/>
      <c r="G348" s="19"/>
      <c r="H348" s="20"/>
      <c r="I348" s="21"/>
      <c r="J348" s="14"/>
      <c r="K348" s="14">
        <f t="shared" si="10"/>
        <v>0</v>
      </c>
      <c r="L348" s="16">
        <f t="shared" si="11"/>
        <v>0</v>
      </c>
      <c r="M348" s="22"/>
      <c r="N348" s="44"/>
      <c r="O348" s="23" t="s">
        <v>16</v>
      </c>
      <c r="P348" s="24"/>
      <c r="Q348" s="45"/>
    </row>
    <row r="349" spans="1:17">
      <c r="A349" s="14">
        <v>345</v>
      </c>
      <c r="B349" s="29" t="s">
        <v>640</v>
      </c>
      <c r="C349" s="16">
        <f>'Медикаменты Ноябрь'!L349</f>
        <v>48</v>
      </c>
      <c r="D349" s="17"/>
      <c r="E349" s="14"/>
      <c r="F349" s="18">
        <f>10</f>
        <v>10</v>
      </c>
      <c r="G349" s="19"/>
      <c r="H349" s="20"/>
      <c r="I349" s="21"/>
      <c r="J349" s="14"/>
      <c r="K349" s="14">
        <f t="shared" si="10"/>
        <v>10</v>
      </c>
      <c r="L349" s="16">
        <f t="shared" si="11"/>
        <v>38</v>
      </c>
      <c r="M349" s="22">
        <v>45047</v>
      </c>
      <c r="N349" s="44" t="s">
        <v>551</v>
      </c>
      <c r="O349" s="23" t="s">
        <v>16</v>
      </c>
      <c r="P349" s="24" t="s">
        <v>17</v>
      </c>
      <c r="Q349" s="28" t="s">
        <v>641</v>
      </c>
    </row>
    <row r="350" spans="1:17">
      <c r="A350" s="14">
        <v>346</v>
      </c>
      <c r="B350" s="29" t="s">
        <v>465</v>
      </c>
      <c r="C350" s="16">
        <f>'Медикаменты Ноябрь'!L350</f>
        <v>0</v>
      </c>
      <c r="D350" s="17"/>
      <c r="E350" s="14"/>
      <c r="F350" s="18"/>
      <c r="G350" s="19"/>
      <c r="H350" s="20"/>
      <c r="I350" s="21"/>
      <c r="J350" s="14"/>
      <c r="K350" s="14">
        <f t="shared" si="10"/>
        <v>0</v>
      </c>
      <c r="L350" s="16">
        <f t="shared" si="11"/>
        <v>0</v>
      </c>
      <c r="M350" s="22"/>
      <c r="N350" s="44"/>
      <c r="O350" s="23" t="s">
        <v>16</v>
      </c>
      <c r="P350" s="24"/>
      <c r="Q350" s="45"/>
    </row>
    <row r="351" spans="1:17">
      <c r="A351" s="14">
        <v>347</v>
      </c>
      <c r="B351" s="29" t="s">
        <v>466</v>
      </c>
      <c r="C351" s="16">
        <f>'Медикаменты Ноябрь'!L351</f>
        <v>0</v>
      </c>
      <c r="D351" s="17"/>
      <c r="E351" s="14"/>
      <c r="F351" s="18"/>
      <c r="G351" s="19"/>
      <c r="H351" s="20"/>
      <c r="I351" s="21"/>
      <c r="J351" s="14"/>
      <c r="K351" s="14">
        <f t="shared" si="10"/>
        <v>0</v>
      </c>
      <c r="L351" s="16">
        <f t="shared" si="11"/>
        <v>0</v>
      </c>
      <c r="M351" s="22">
        <v>44835</v>
      </c>
      <c r="N351" s="44"/>
      <c r="O351" s="23" t="s">
        <v>16</v>
      </c>
      <c r="P351" s="24"/>
      <c r="Q351" s="45"/>
    </row>
    <row r="352" spans="1:17">
      <c r="A352" s="14">
        <v>348</v>
      </c>
      <c r="B352" s="29" t="s">
        <v>467</v>
      </c>
      <c r="C352" s="16">
        <f>'Медикаменты Ноябрь'!L352</f>
        <v>0</v>
      </c>
      <c r="D352" s="26"/>
      <c r="E352" s="14"/>
      <c r="F352" s="18"/>
      <c r="G352" s="19"/>
      <c r="H352" s="20"/>
      <c r="I352" s="21"/>
      <c r="J352" s="14"/>
      <c r="K352" s="14">
        <f t="shared" si="10"/>
        <v>0</v>
      </c>
      <c r="L352" s="16">
        <f t="shared" si="11"/>
        <v>0</v>
      </c>
      <c r="M352" s="22"/>
      <c r="N352" s="44"/>
      <c r="O352" s="23" t="s">
        <v>16</v>
      </c>
      <c r="P352" s="24"/>
      <c r="Q352" s="45"/>
    </row>
    <row r="353" spans="1:17">
      <c r="A353" s="14">
        <v>349</v>
      </c>
      <c r="B353" s="29" t="s">
        <v>468</v>
      </c>
      <c r="C353" s="16">
        <f>'Медикаменты Ноябрь'!L353</f>
        <v>0</v>
      </c>
      <c r="D353" s="17"/>
      <c r="E353" s="14"/>
      <c r="F353" s="18"/>
      <c r="G353" s="19"/>
      <c r="H353" s="20"/>
      <c r="I353" s="21"/>
      <c r="J353" s="14"/>
      <c r="K353" s="14">
        <f t="shared" si="10"/>
        <v>0</v>
      </c>
      <c r="L353" s="16">
        <f t="shared" si="11"/>
        <v>0</v>
      </c>
      <c r="M353" s="22"/>
      <c r="N353" s="44"/>
      <c r="O353" s="23" t="s">
        <v>16</v>
      </c>
      <c r="P353" s="24"/>
      <c r="Q353" s="45"/>
    </row>
    <row r="354" spans="1:17">
      <c r="A354" s="14">
        <v>350</v>
      </c>
      <c r="B354" s="29" t="s">
        <v>469</v>
      </c>
      <c r="C354" s="16">
        <f>'Медикаменты Ноябрь'!L354</f>
        <v>0</v>
      </c>
      <c r="D354" s="17"/>
      <c r="E354" s="14"/>
      <c r="F354" s="18"/>
      <c r="G354" s="19"/>
      <c r="H354" s="20"/>
      <c r="I354" s="21"/>
      <c r="J354" s="14"/>
      <c r="K354" s="14">
        <f t="shared" si="10"/>
        <v>0</v>
      </c>
      <c r="L354" s="16">
        <f t="shared" si="11"/>
        <v>0</v>
      </c>
      <c r="M354" s="22">
        <v>44652</v>
      </c>
      <c r="N354" s="44" t="s">
        <v>45</v>
      </c>
      <c r="O354" s="23" t="s">
        <v>16</v>
      </c>
      <c r="P354" s="24" t="s">
        <v>17</v>
      </c>
      <c r="Q354" s="28" t="s">
        <v>470</v>
      </c>
    </row>
    <row r="355" spans="1:17">
      <c r="A355" s="14">
        <v>351</v>
      </c>
      <c r="B355" s="29" t="s">
        <v>577</v>
      </c>
      <c r="C355" s="16">
        <f>'Медикаменты Ноябрь'!L355</f>
        <v>588</v>
      </c>
      <c r="D355" s="17"/>
      <c r="E355" s="14"/>
      <c r="F355" s="18">
        <f>15+70</f>
        <v>85</v>
      </c>
      <c r="G355" s="19"/>
      <c r="H355" s="20">
        <f>60</f>
        <v>60</v>
      </c>
      <c r="I355" s="21"/>
      <c r="J355" s="14"/>
      <c r="K355" s="14">
        <f t="shared" si="10"/>
        <v>145</v>
      </c>
      <c r="L355" s="16">
        <f t="shared" si="11"/>
        <v>443</v>
      </c>
      <c r="M355" s="22">
        <v>44927</v>
      </c>
      <c r="N355" s="44" t="s">
        <v>551</v>
      </c>
      <c r="O355" s="23" t="s">
        <v>16</v>
      </c>
      <c r="P355" s="24" t="s">
        <v>17</v>
      </c>
      <c r="Q355" s="28" t="s">
        <v>578</v>
      </c>
    </row>
    <row r="356" spans="1:17">
      <c r="A356" s="14">
        <v>352</v>
      </c>
      <c r="B356" s="29" t="s">
        <v>577</v>
      </c>
      <c r="C356" s="16">
        <f>'Медикаменты Ноябрь'!L356</f>
        <v>0</v>
      </c>
      <c r="D356" s="17"/>
      <c r="E356" s="14"/>
      <c r="F356" s="18"/>
      <c r="G356" s="19"/>
      <c r="H356" s="20"/>
      <c r="I356" s="21"/>
      <c r="J356" s="14"/>
      <c r="K356" s="14">
        <f t="shared" si="10"/>
        <v>0</v>
      </c>
      <c r="L356" s="16">
        <f t="shared" si="11"/>
        <v>0</v>
      </c>
      <c r="M356" s="22">
        <v>44927</v>
      </c>
      <c r="N356" s="44" t="s">
        <v>551</v>
      </c>
      <c r="O356" s="23" t="s">
        <v>26</v>
      </c>
      <c r="P356" s="24" t="s">
        <v>17</v>
      </c>
      <c r="Q356" s="28" t="s">
        <v>578</v>
      </c>
    </row>
    <row r="357" spans="1:17">
      <c r="A357" s="14">
        <v>353</v>
      </c>
      <c r="B357" s="29" t="s">
        <v>579</v>
      </c>
      <c r="C357" s="16">
        <f>'Медикаменты Ноябрь'!L357</f>
        <v>372</v>
      </c>
      <c r="D357" s="17"/>
      <c r="E357" s="14"/>
      <c r="F357" s="18">
        <f>30+35+70</f>
        <v>135</v>
      </c>
      <c r="G357" s="19"/>
      <c r="H357" s="20">
        <f>60</f>
        <v>60</v>
      </c>
      <c r="I357" s="21"/>
      <c r="J357" s="14"/>
      <c r="K357" s="14">
        <f t="shared" si="10"/>
        <v>195</v>
      </c>
      <c r="L357" s="16">
        <f t="shared" si="11"/>
        <v>177</v>
      </c>
      <c r="M357" s="22">
        <v>44927</v>
      </c>
      <c r="N357" s="44" t="s">
        <v>551</v>
      </c>
      <c r="O357" s="23" t="s">
        <v>16</v>
      </c>
      <c r="P357" s="24" t="s">
        <v>17</v>
      </c>
      <c r="Q357" s="28" t="s">
        <v>580</v>
      </c>
    </row>
    <row r="358" spans="1:17">
      <c r="A358" s="14">
        <v>354</v>
      </c>
      <c r="B358" s="29" t="s">
        <v>581</v>
      </c>
      <c r="C358" s="16">
        <f>'Медикаменты Ноябрь'!L358</f>
        <v>30</v>
      </c>
      <c r="D358" s="17"/>
      <c r="E358" s="14"/>
      <c r="F358" s="18">
        <f>10</f>
        <v>10</v>
      </c>
      <c r="G358" s="19"/>
      <c r="H358" s="20"/>
      <c r="I358" s="21"/>
      <c r="J358" s="14"/>
      <c r="K358" s="14">
        <f t="shared" si="10"/>
        <v>10</v>
      </c>
      <c r="L358" s="16">
        <f t="shared" si="11"/>
        <v>20</v>
      </c>
      <c r="M358" s="22">
        <v>44927</v>
      </c>
      <c r="N358" s="44" t="s">
        <v>551</v>
      </c>
      <c r="O358" s="23" t="s">
        <v>16</v>
      </c>
      <c r="P358" s="24" t="s">
        <v>17</v>
      </c>
      <c r="Q358" s="28" t="s">
        <v>582</v>
      </c>
    </row>
    <row r="359" spans="1:17">
      <c r="A359" s="14">
        <v>355</v>
      </c>
      <c r="B359" s="29" t="s">
        <v>612</v>
      </c>
      <c r="C359" s="16">
        <f>'Медикаменты Ноябрь'!L359</f>
        <v>239</v>
      </c>
      <c r="D359" s="17"/>
      <c r="E359" s="14"/>
      <c r="F359" s="18">
        <f>20+10</f>
        <v>30</v>
      </c>
      <c r="G359" s="19"/>
      <c r="H359" s="20"/>
      <c r="I359" s="21"/>
      <c r="J359" s="14"/>
      <c r="K359" s="14">
        <f t="shared" si="10"/>
        <v>30</v>
      </c>
      <c r="L359" s="16">
        <f t="shared" si="11"/>
        <v>209</v>
      </c>
      <c r="M359" s="22">
        <v>44866</v>
      </c>
      <c r="N359" s="44" t="s">
        <v>551</v>
      </c>
      <c r="O359" s="23" t="s">
        <v>16</v>
      </c>
      <c r="P359" s="24" t="s">
        <v>17</v>
      </c>
      <c r="Q359" s="28" t="s">
        <v>613</v>
      </c>
    </row>
    <row r="360" spans="1:17">
      <c r="A360" s="14">
        <v>356</v>
      </c>
      <c r="B360" s="29" t="s">
        <v>471</v>
      </c>
      <c r="C360" s="16">
        <f>'Медикаменты Ноябрь'!L360</f>
        <v>0</v>
      </c>
      <c r="D360" s="17"/>
      <c r="E360" s="14"/>
      <c r="F360" s="18"/>
      <c r="G360" s="19"/>
      <c r="H360" s="20"/>
      <c r="I360" s="21"/>
      <c r="J360" s="14"/>
      <c r="K360" s="14">
        <f t="shared" si="10"/>
        <v>0</v>
      </c>
      <c r="L360" s="16">
        <f t="shared" si="11"/>
        <v>0</v>
      </c>
      <c r="M360" s="22"/>
      <c r="N360" s="44"/>
      <c r="O360" s="23" t="s">
        <v>16</v>
      </c>
      <c r="P360" s="24"/>
      <c r="Q360" s="45"/>
    </row>
    <row r="361" spans="1:17">
      <c r="A361" s="14">
        <v>357</v>
      </c>
      <c r="B361" s="29" t="s">
        <v>472</v>
      </c>
      <c r="C361" s="16">
        <f>'Медикаменты Ноябрь'!L361</f>
        <v>0</v>
      </c>
      <c r="D361" s="17"/>
      <c r="E361" s="14"/>
      <c r="F361" s="18"/>
      <c r="G361" s="19"/>
      <c r="H361" s="20"/>
      <c r="I361" s="21"/>
      <c r="J361" s="14"/>
      <c r="K361" s="14">
        <f t="shared" si="10"/>
        <v>0</v>
      </c>
      <c r="L361" s="16">
        <f t="shared" si="11"/>
        <v>0</v>
      </c>
      <c r="M361" s="22">
        <v>44562</v>
      </c>
      <c r="N361" s="44"/>
      <c r="O361" s="23" t="s">
        <v>16</v>
      </c>
      <c r="P361" s="24"/>
      <c r="Q361" s="28" t="s">
        <v>473</v>
      </c>
    </row>
    <row r="362" spans="1:17">
      <c r="A362" s="14">
        <v>358</v>
      </c>
      <c r="B362" s="29" t="s">
        <v>474</v>
      </c>
      <c r="C362" s="16">
        <f>'Медикаменты Ноябрь'!L362</f>
        <v>130</v>
      </c>
      <c r="D362" s="17"/>
      <c r="E362" s="14"/>
      <c r="F362" s="18">
        <f>20+25</f>
        <v>45</v>
      </c>
      <c r="G362" s="19"/>
      <c r="H362" s="20"/>
      <c r="I362" s="21"/>
      <c r="J362" s="14"/>
      <c r="K362" s="14">
        <f t="shared" si="10"/>
        <v>45</v>
      </c>
      <c r="L362" s="16">
        <f t="shared" si="11"/>
        <v>85</v>
      </c>
      <c r="M362" s="22">
        <v>45108</v>
      </c>
      <c r="N362" s="44" t="s">
        <v>551</v>
      </c>
      <c r="O362" s="23" t="s">
        <v>16</v>
      </c>
      <c r="P362" s="24" t="s">
        <v>45</v>
      </c>
      <c r="Q362" s="28" t="s">
        <v>475</v>
      </c>
    </row>
    <row r="363" spans="1:17">
      <c r="A363" s="14">
        <v>359</v>
      </c>
      <c r="B363" s="29" t="s">
        <v>476</v>
      </c>
      <c r="C363" s="16">
        <f>'Медикаменты Ноябрь'!L363</f>
        <v>0</v>
      </c>
      <c r="D363" s="17"/>
      <c r="E363" s="14"/>
      <c r="F363" s="18"/>
      <c r="G363" s="19"/>
      <c r="H363" s="20"/>
      <c r="I363" s="21"/>
      <c r="J363" s="14"/>
      <c r="K363" s="14">
        <f t="shared" si="10"/>
        <v>0</v>
      </c>
      <c r="L363" s="16">
        <f t="shared" si="11"/>
        <v>0</v>
      </c>
      <c r="M363" s="22">
        <v>44531</v>
      </c>
      <c r="N363" s="44"/>
      <c r="O363" s="23" t="s">
        <v>16</v>
      </c>
      <c r="P363" s="24" t="s">
        <v>45</v>
      </c>
      <c r="Q363" s="28" t="s">
        <v>477</v>
      </c>
    </row>
    <row r="364" spans="1:17">
      <c r="A364" s="14">
        <v>360</v>
      </c>
      <c r="B364" s="29" t="s">
        <v>478</v>
      </c>
      <c r="C364" s="16">
        <f>'Медикаменты Ноябрь'!L364</f>
        <v>0</v>
      </c>
      <c r="D364" s="17"/>
      <c r="E364" s="14"/>
      <c r="F364" s="18"/>
      <c r="G364" s="19"/>
      <c r="H364" s="20"/>
      <c r="I364" s="21"/>
      <c r="J364" s="14"/>
      <c r="K364" s="14">
        <f t="shared" si="10"/>
        <v>0</v>
      </c>
      <c r="L364" s="16">
        <f t="shared" si="11"/>
        <v>0</v>
      </c>
      <c r="M364" s="22"/>
      <c r="N364" s="44"/>
      <c r="O364" s="23" t="s">
        <v>16</v>
      </c>
      <c r="P364" s="24"/>
      <c r="Q364" s="45"/>
    </row>
    <row r="365" spans="1:17">
      <c r="A365" s="14">
        <v>361</v>
      </c>
      <c r="B365" s="29" t="s">
        <v>479</v>
      </c>
      <c r="C365" s="16">
        <f>'Медикаменты Ноябрь'!L365</f>
        <v>0</v>
      </c>
      <c r="D365" s="17"/>
      <c r="E365" s="14"/>
      <c r="F365" s="18"/>
      <c r="G365" s="19"/>
      <c r="H365" s="20"/>
      <c r="I365" s="21"/>
      <c r="J365" s="14"/>
      <c r="K365" s="14">
        <f t="shared" si="10"/>
        <v>0</v>
      </c>
      <c r="L365" s="16">
        <f t="shared" si="11"/>
        <v>0</v>
      </c>
      <c r="M365" s="22">
        <v>44743</v>
      </c>
      <c r="N365" s="44"/>
      <c r="O365" s="23" t="s">
        <v>16</v>
      </c>
      <c r="P365" s="24"/>
      <c r="Q365" s="28" t="s">
        <v>480</v>
      </c>
    </row>
    <row r="366" spans="1:17">
      <c r="A366" s="14">
        <v>362</v>
      </c>
      <c r="B366" s="29" t="s">
        <v>481</v>
      </c>
      <c r="C366" s="16">
        <f>'Медикаменты Ноябрь'!L366</f>
        <v>75</v>
      </c>
      <c r="D366" s="17"/>
      <c r="E366" s="14"/>
      <c r="F366" s="18">
        <f>5+25</f>
        <v>30</v>
      </c>
      <c r="G366" s="19"/>
      <c r="H366" s="20"/>
      <c r="I366" s="21"/>
      <c r="J366" s="14"/>
      <c r="K366" s="14">
        <f t="shared" si="10"/>
        <v>30</v>
      </c>
      <c r="L366" s="16">
        <f t="shared" si="11"/>
        <v>45</v>
      </c>
      <c r="M366" s="22">
        <v>45108</v>
      </c>
      <c r="N366" s="44" t="s">
        <v>45</v>
      </c>
      <c r="O366" s="23" t="s">
        <v>16</v>
      </c>
      <c r="P366" s="24" t="s">
        <v>17</v>
      </c>
      <c r="Q366" s="28" t="s">
        <v>558</v>
      </c>
    </row>
    <row r="367" spans="1:17">
      <c r="A367" s="14">
        <v>363</v>
      </c>
      <c r="B367" s="29" t="s">
        <v>483</v>
      </c>
      <c r="C367" s="16">
        <f>'Медикаменты Ноябрь'!L367</f>
        <v>0</v>
      </c>
      <c r="D367" s="17"/>
      <c r="E367" s="14"/>
      <c r="F367" s="18"/>
      <c r="G367" s="19"/>
      <c r="H367" s="20"/>
      <c r="I367" s="21"/>
      <c r="J367" s="14"/>
      <c r="K367" s="14">
        <f t="shared" si="10"/>
        <v>0</v>
      </c>
      <c r="L367" s="16">
        <f t="shared" si="11"/>
        <v>0</v>
      </c>
      <c r="M367" s="22">
        <v>45689</v>
      </c>
      <c r="N367" s="44" t="s">
        <v>45</v>
      </c>
      <c r="O367" s="23" t="s">
        <v>16</v>
      </c>
      <c r="P367" s="24" t="s">
        <v>17</v>
      </c>
      <c r="Q367" s="28" t="s">
        <v>484</v>
      </c>
    </row>
    <row r="368" spans="1:17">
      <c r="A368" s="14">
        <v>364</v>
      </c>
      <c r="B368" s="29" t="s">
        <v>483</v>
      </c>
      <c r="C368" s="16">
        <f>'Медикаменты Ноябрь'!L368</f>
        <v>0</v>
      </c>
      <c r="D368" s="17"/>
      <c r="E368" s="14"/>
      <c r="F368" s="18"/>
      <c r="G368" s="19"/>
      <c r="H368" s="20"/>
      <c r="I368" s="21"/>
      <c r="J368" s="14"/>
      <c r="K368" s="14">
        <f t="shared" si="10"/>
        <v>0</v>
      </c>
      <c r="L368" s="16">
        <f t="shared" si="11"/>
        <v>0</v>
      </c>
      <c r="M368" s="22">
        <v>45689</v>
      </c>
      <c r="N368" s="44" t="s">
        <v>45</v>
      </c>
      <c r="O368" s="23" t="s">
        <v>26</v>
      </c>
      <c r="P368" s="24" t="s">
        <v>17</v>
      </c>
      <c r="Q368" s="28" t="s">
        <v>484</v>
      </c>
    </row>
    <row r="369" spans="1:17">
      <c r="A369" s="14">
        <v>365</v>
      </c>
      <c r="B369" s="29" t="s">
        <v>485</v>
      </c>
      <c r="C369" s="16">
        <f>'Медикаменты Ноябрь'!L369</f>
        <v>0</v>
      </c>
      <c r="D369" s="17"/>
      <c r="E369" s="14"/>
      <c r="F369" s="18"/>
      <c r="G369" s="19"/>
      <c r="H369" s="20"/>
      <c r="I369" s="21"/>
      <c r="J369" s="14"/>
      <c r="K369" s="14">
        <f t="shared" si="10"/>
        <v>0</v>
      </c>
      <c r="L369" s="16">
        <f t="shared" si="11"/>
        <v>0</v>
      </c>
      <c r="M369" s="22">
        <v>45597</v>
      </c>
      <c r="N369" s="44"/>
      <c r="O369" s="23" t="s">
        <v>16</v>
      </c>
      <c r="P369" s="24"/>
      <c r="Q369" s="28" t="s">
        <v>486</v>
      </c>
    </row>
    <row r="370" spans="1:17">
      <c r="A370" s="14">
        <v>366</v>
      </c>
      <c r="B370" s="29" t="s">
        <v>487</v>
      </c>
      <c r="C370" s="16">
        <f>'Медикаменты Ноябрь'!L370</f>
        <v>0</v>
      </c>
      <c r="D370" s="17"/>
      <c r="E370" s="14"/>
      <c r="F370" s="18"/>
      <c r="G370" s="19"/>
      <c r="H370" s="20"/>
      <c r="I370" s="21"/>
      <c r="J370" s="14"/>
      <c r="K370" s="14">
        <f t="shared" si="10"/>
        <v>0</v>
      </c>
      <c r="L370" s="16">
        <f t="shared" si="11"/>
        <v>0</v>
      </c>
      <c r="M370" s="22"/>
      <c r="N370" s="44"/>
      <c r="O370" s="23" t="s">
        <v>16</v>
      </c>
      <c r="P370" s="24"/>
      <c r="Q370" s="45"/>
    </row>
    <row r="371" spans="1:17">
      <c r="A371" s="14">
        <v>367</v>
      </c>
      <c r="B371" s="29" t="s">
        <v>488</v>
      </c>
      <c r="C371" s="16">
        <f>'Медикаменты Ноябрь'!L371</f>
        <v>0</v>
      </c>
      <c r="D371" s="17"/>
      <c r="E371" s="14"/>
      <c r="F371" s="18"/>
      <c r="G371" s="19"/>
      <c r="H371" s="20"/>
      <c r="I371" s="21"/>
      <c r="J371" s="14"/>
      <c r="K371" s="14">
        <f t="shared" si="10"/>
        <v>0</v>
      </c>
      <c r="L371" s="16">
        <f t="shared" si="11"/>
        <v>0</v>
      </c>
      <c r="M371" s="22">
        <v>45200</v>
      </c>
      <c r="N371" s="44" t="s">
        <v>551</v>
      </c>
      <c r="O371" s="23" t="s">
        <v>16</v>
      </c>
      <c r="P371" s="24" t="s">
        <v>17</v>
      </c>
      <c r="Q371" s="28" t="s">
        <v>489</v>
      </c>
    </row>
    <row r="372" spans="1:17">
      <c r="A372" s="14">
        <v>368</v>
      </c>
      <c r="B372" s="29" t="s">
        <v>490</v>
      </c>
      <c r="C372" s="16">
        <f>'Медикаменты Ноябрь'!L372</f>
        <v>0</v>
      </c>
      <c r="D372" s="17"/>
      <c r="E372" s="14"/>
      <c r="F372" s="18"/>
      <c r="G372" s="19"/>
      <c r="H372" s="20"/>
      <c r="I372" s="21"/>
      <c r="J372" s="14"/>
      <c r="K372" s="14">
        <f t="shared" si="10"/>
        <v>0</v>
      </c>
      <c r="L372" s="16">
        <f t="shared" si="11"/>
        <v>0</v>
      </c>
      <c r="M372" s="22"/>
      <c r="N372" s="44"/>
      <c r="O372" s="23" t="s">
        <v>16</v>
      </c>
      <c r="P372" s="24"/>
      <c r="Q372" s="45"/>
    </row>
    <row r="373" spans="1:17">
      <c r="A373" s="14">
        <v>369</v>
      </c>
      <c r="B373" s="29" t="s">
        <v>614</v>
      </c>
      <c r="C373" s="16">
        <f>'Медикаменты Ноябрь'!L373</f>
        <v>63</v>
      </c>
      <c r="D373" s="17"/>
      <c r="E373" s="14"/>
      <c r="F373" s="18"/>
      <c r="G373" s="19"/>
      <c r="H373" s="20"/>
      <c r="I373" s="21"/>
      <c r="J373" s="14"/>
      <c r="K373" s="14">
        <f t="shared" si="10"/>
        <v>0</v>
      </c>
      <c r="L373" s="16">
        <f t="shared" si="11"/>
        <v>63</v>
      </c>
      <c r="M373" s="22">
        <v>45323</v>
      </c>
      <c r="N373" s="44" t="s">
        <v>551</v>
      </c>
      <c r="O373" s="23" t="s">
        <v>16</v>
      </c>
      <c r="P373" s="24" t="s">
        <v>17</v>
      </c>
      <c r="Q373" s="28" t="s">
        <v>615</v>
      </c>
    </row>
    <row r="374" spans="1:17">
      <c r="A374" s="14">
        <v>370</v>
      </c>
      <c r="B374" s="29" t="s">
        <v>642</v>
      </c>
      <c r="C374" s="16">
        <f>'Медикаменты Ноябрь'!L374</f>
        <v>50</v>
      </c>
      <c r="D374" s="17"/>
      <c r="E374" s="14"/>
      <c r="F374" s="18"/>
      <c r="G374" s="19"/>
      <c r="H374" s="20"/>
      <c r="I374" s="21"/>
      <c r="J374" s="14"/>
      <c r="K374" s="14">
        <f t="shared" si="10"/>
        <v>0</v>
      </c>
      <c r="L374" s="16">
        <f t="shared" si="11"/>
        <v>50</v>
      </c>
      <c r="M374" s="22">
        <v>45231</v>
      </c>
      <c r="N374" s="44" t="s">
        <v>551</v>
      </c>
      <c r="O374" s="23" t="s">
        <v>16</v>
      </c>
      <c r="P374" s="24" t="s">
        <v>17</v>
      </c>
      <c r="Q374" s="28" t="s">
        <v>492</v>
      </c>
    </row>
    <row r="375" spans="1:17">
      <c r="A375" s="14">
        <v>371</v>
      </c>
      <c r="B375" s="29" t="s">
        <v>642</v>
      </c>
      <c r="C375" s="16">
        <f>'Медикаменты Ноябрь'!L375</f>
        <v>295</v>
      </c>
      <c r="D375" s="17"/>
      <c r="E375" s="14"/>
      <c r="F375" s="18"/>
      <c r="G375" s="19"/>
      <c r="H375" s="20"/>
      <c r="I375" s="21"/>
      <c r="J375" s="14"/>
      <c r="K375" s="14">
        <f t="shared" si="10"/>
        <v>0</v>
      </c>
      <c r="L375" s="16">
        <f t="shared" si="11"/>
        <v>295</v>
      </c>
      <c r="M375" s="22">
        <v>44896</v>
      </c>
      <c r="N375" s="44" t="s">
        <v>551</v>
      </c>
      <c r="O375" s="23" t="s">
        <v>16</v>
      </c>
      <c r="P375" s="24" t="s">
        <v>17</v>
      </c>
      <c r="Q375" s="28" t="s">
        <v>492</v>
      </c>
    </row>
    <row r="376" spans="1:17">
      <c r="A376" s="14">
        <v>372</v>
      </c>
      <c r="B376" s="29" t="s">
        <v>643</v>
      </c>
      <c r="C376" s="16">
        <f>'Медикаменты Ноябрь'!L376</f>
        <v>40</v>
      </c>
      <c r="D376" s="17"/>
      <c r="E376" s="14"/>
      <c r="F376" s="18"/>
      <c r="G376" s="19"/>
      <c r="H376" s="20"/>
      <c r="I376" s="21"/>
      <c r="J376" s="14"/>
      <c r="K376" s="14">
        <f t="shared" si="10"/>
        <v>0</v>
      </c>
      <c r="L376" s="16">
        <f t="shared" si="11"/>
        <v>40</v>
      </c>
      <c r="M376" s="22">
        <v>44774</v>
      </c>
      <c r="N376" s="44" t="s">
        <v>551</v>
      </c>
      <c r="O376" s="23" t="s">
        <v>16</v>
      </c>
      <c r="P376" s="24" t="s">
        <v>17</v>
      </c>
      <c r="Q376" s="28" t="s">
        <v>494</v>
      </c>
    </row>
    <row r="377" spans="1:17">
      <c r="A377" s="14">
        <v>373</v>
      </c>
      <c r="B377" s="29" t="s">
        <v>495</v>
      </c>
      <c r="C377" s="16">
        <f>'Медикаменты Ноябрь'!L377</f>
        <v>0</v>
      </c>
      <c r="D377" s="17"/>
      <c r="E377" s="14"/>
      <c r="F377" s="18"/>
      <c r="G377" s="19"/>
      <c r="H377" s="20"/>
      <c r="I377" s="21"/>
      <c r="J377" s="14"/>
      <c r="K377" s="14">
        <f t="shared" si="10"/>
        <v>0</v>
      </c>
      <c r="L377" s="16">
        <f t="shared" si="11"/>
        <v>0</v>
      </c>
      <c r="M377" s="22"/>
      <c r="N377" s="44"/>
      <c r="O377" s="23" t="s">
        <v>16</v>
      </c>
      <c r="P377" s="24"/>
      <c r="Q377" s="45"/>
    </row>
    <row r="378" spans="1:17">
      <c r="A378" s="14">
        <v>374</v>
      </c>
      <c r="B378" s="29" t="s">
        <v>583</v>
      </c>
      <c r="C378" s="16">
        <f>'Медикаменты Ноябрь'!L378</f>
        <v>6</v>
      </c>
      <c r="D378" s="17"/>
      <c r="E378" s="14"/>
      <c r="F378" s="18">
        <f>3</f>
        <v>3</v>
      </c>
      <c r="G378" s="19"/>
      <c r="H378" s="20"/>
      <c r="I378" s="21"/>
      <c r="J378" s="14"/>
      <c r="K378" s="14">
        <f t="shared" si="10"/>
        <v>3</v>
      </c>
      <c r="L378" s="16">
        <f t="shared" si="11"/>
        <v>3</v>
      </c>
      <c r="M378" s="22">
        <v>44896</v>
      </c>
      <c r="N378" s="44" t="s">
        <v>551</v>
      </c>
      <c r="O378" s="23" t="s">
        <v>16</v>
      </c>
      <c r="P378" s="24" t="s">
        <v>17</v>
      </c>
      <c r="Q378" s="28" t="s">
        <v>497</v>
      </c>
    </row>
    <row r="379" spans="1:17">
      <c r="A379" s="14">
        <v>375</v>
      </c>
      <c r="B379" s="29" t="s">
        <v>498</v>
      </c>
      <c r="C379" s="16">
        <f>'Медикаменты Ноябрь'!L379</f>
        <v>100</v>
      </c>
      <c r="D379" s="17"/>
      <c r="E379" s="14"/>
      <c r="F379" s="18"/>
      <c r="G379" s="19"/>
      <c r="H379" s="20"/>
      <c r="I379" s="21"/>
      <c r="J379" s="14"/>
      <c r="K379" s="14">
        <f t="shared" si="10"/>
        <v>0</v>
      </c>
      <c r="L379" s="16">
        <f t="shared" si="11"/>
        <v>100</v>
      </c>
      <c r="M379" s="22">
        <v>44805</v>
      </c>
      <c r="N379" s="44" t="s">
        <v>45</v>
      </c>
      <c r="O379" s="23" t="s">
        <v>16</v>
      </c>
      <c r="P379" s="24" t="s">
        <v>17</v>
      </c>
      <c r="Q379" s="28" t="s">
        <v>499</v>
      </c>
    </row>
    <row r="380" spans="1:17">
      <c r="A380" s="14">
        <v>376</v>
      </c>
      <c r="B380" s="29" t="s">
        <v>500</v>
      </c>
      <c r="C380" s="16">
        <f>'Медикаменты Ноябрь'!L380</f>
        <v>70</v>
      </c>
      <c r="D380" s="17"/>
      <c r="E380" s="14"/>
      <c r="F380" s="18"/>
      <c r="G380" s="19"/>
      <c r="H380" s="20"/>
      <c r="I380" s="21"/>
      <c r="J380" s="14"/>
      <c r="K380" s="14">
        <f t="shared" si="10"/>
        <v>0</v>
      </c>
      <c r="L380" s="16">
        <f t="shared" si="11"/>
        <v>70</v>
      </c>
      <c r="M380" s="22">
        <v>45992</v>
      </c>
      <c r="N380" s="44" t="s">
        <v>551</v>
      </c>
      <c r="O380" s="23" t="s">
        <v>16</v>
      </c>
      <c r="P380" s="24" t="s">
        <v>17</v>
      </c>
      <c r="Q380" s="28" t="s">
        <v>616</v>
      </c>
    </row>
    <row r="381" spans="1:17">
      <c r="A381" s="14">
        <v>377</v>
      </c>
      <c r="B381" s="29" t="s">
        <v>501</v>
      </c>
      <c r="C381" s="16">
        <f>'Медикаменты Ноябрь'!L381</f>
        <v>0</v>
      </c>
      <c r="D381" s="17"/>
      <c r="E381" s="14"/>
      <c r="F381" s="18"/>
      <c r="G381" s="19"/>
      <c r="H381" s="20"/>
      <c r="I381" s="21"/>
      <c r="J381" s="14"/>
      <c r="K381" s="14">
        <f t="shared" si="10"/>
        <v>0</v>
      </c>
      <c r="L381" s="16">
        <f t="shared" si="11"/>
        <v>0</v>
      </c>
      <c r="M381" s="22"/>
      <c r="N381" s="44"/>
      <c r="O381" s="23" t="s">
        <v>16</v>
      </c>
      <c r="P381" s="24"/>
      <c r="Q381" s="45"/>
    </row>
    <row r="382" spans="1:17">
      <c r="A382" s="14">
        <v>378</v>
      </c>
      <c r="B382" s="29" t="s">
        <v>502</v>
      </c>
      <c r="C382" s="16">
        <f>'Медикаменты Ноябрь'!L382</f>
        <v>0</v>
      </c>
      <c r="D382" s="17"/>
      <c r="E382" s="14"/>
      <c r="F382" s="18"/>
      <c r="G382" s="19"/>
      <c r="H382" s="20"/>
      <c r="I382" s="21"/>
      <c r="J382" s="14"/>
      <c r="K382" s="14">
        <f t="shared" si="10"/>
        <v>0</v>
      </c>
      <c r="L382" s="16">
        <f t="shared" si="11"/>
        <v>0</v>
      </c>
      <c r="M382" s="22">
        <v>45139</v>
      </c>
      <c r="N382" s="44" t="s">
        <v>551</v>
      </c>
      <c r="O382" s="23" t="s">
        <v>16</v>
      </c>
      <c r="P382" s="24" t="s">
        <v>17</v>
      </c>
      <c r="Q382" s="46" t="s">
        <v>588</v>
      </c>
    </row>
    <row r="383" spans="1:17">
      <c r="A383" s="14">
        <v>379</v>
      </c>
      <c r="B383" s="29" t="s">
        <v>502</v>
      </c>
      <c r="C383" s="16">
        <f>'Медикаменты Ноябрь'!L383</f>
        <v>0</v>
      </c>
      <c r="D383" s="17"/>
      <c r="E383" s="14"/>
      <c r="F383" s="18"/>
      <c r="G383" s="19"/>
      <c r="H383" s="20"/>
      <c r="I383" s="21"/>
      <c r="J383" s="14"/>
      <c r="K383" s="14">
        <f t="shared" si="10"/>
        <v>0</v>
      </c>
      <c r="L383" s="16">
        <f t="shared" si="11"/>
        <v>0</v>
      </c>
      <c r="M383" s="22">
        <v>45139</v>
      </c>
      <c r="N383" s="44" t="s">
        <v>551</v>
      </c>
      <c r="O383" s="23" t="s">
        <v>26</v>
      </c>
      <c r="P383" s="24" t="s">
        <v>17</v>
      </c>
      <c r="Q383" s="46" t="s">
        <v>588</v>
      </c>
    </row>
    <row r="384" spans="1:17">
      <c r="A384" s="14">
        <v>380</v>
      </c>
      <c r="B384" s="29" t="s">
        <v>503</v>
      </c>
      <c r="C384" s="16">
        <f>'Медикаменты Ноябрь'!L384</f>
        <v>0</v>
      </c>
      <c r="D384" s="26"/>
      <c r="E384" s="14"/>
      <c r="F384" s="18"/>
      <c r="G384" s="19"/>
      <c r="H384" s="20"/>
      <c r="I384" s="21"/>
      <c r="J384" s="14"/>
      <c r="K384" s="14">
        <f t="shared" si="10"/>
        <v>0</v>
      </c>
      <c r="L384" s="16">
        <f t="shared" si="11"/>
        <v>0</v>
      </c>
      <c r="M384" s="22">
        <v>44713</v>
      </c>
      <c r="N384" s="44" t="s">
        <v>45</v>
      </c>
      <c r="O384" s="23" t="s">
        <v>16</v>
      </c>
      <c r="P384" s="24" t="s">
        <v>17</v>
      </c>
      <c r="Q384" s="28" t="s">
        <v>504</v>
      </c>
    </row>
    <row r="385" spans="1:17">
      <c r="A385" s="14">
        <v>381</v>
      </c>
      <c r="B385" s="29" t="s">
        <v>503</v>
      </c>
      <c r="C385" s="16">
        <f>'Медикаменты Ноябрь'!L385</f>
        <v>73</v>
      </c>
      <c r="D385" s="26"/>
      <c r="E385" s="14"/>
      <c r="F385" s="18">
        <f>5</f>
        <v>5</v>
      </c>
      <c r="G385" s="19"/>
      <c r="H385" s="20"/>
      <c r="I385" s="21"/>
      <c r="J385" s="14"/>
      <c r="K385" s="14">
        <f t="shared" si="10"/>
        <v>5</v>
      </c>
      <c r="L385" s="16">
        <f t="shared" si="11"/>
        <v>68</v>
      </c>
      <c r="M385" s="22">
        <v>44986</v>
      </c>
      <c r="N385" s="44" t="s">
        <v>551</v>
      </c>
      <c r="O385" s="23" t="s">
        <v>16</v>
      </c>
      <c r="P385" s="24" t="s">
        <v>17</v>
      </c>
      <c r="Q385" s="28" t="s">
        <v>504</v>
      </c>
    </row>
    <row r="386" spans="1:17">
      <c r="A386" s="14">
        <v>382</v>
      </c>
      <c r="B386" s="29" t="s">
        <v>503</v>
      </c>
      <c r="C386" s="16">
        <f>'Медикаменты Ноябрь'!L386</f>
        <v>65</v>
      </c>
      <c r="D386" s="26"/>
      <c r="E386" s="14"/>
      <c r="F386" s="18"/>
      <c r="G386" s="19">
        <f>65</f>
        <v>65</v>
      </c>
      <c r="H386" s="20"/>
      <c r="I386" s="21"/>
      <c r="J386" s="14"/>
      <c r="K386" s="14">
        <f t="shared" si="10"/>
        <v>65</v>
      </c>
      <c r="L386" s="16">
        <f t="shared" si="11"/>
        <v>0</v>
      </c>
      <c r="M386" s="22">
        <v>44986</v>
      </c>
      <c r="N386" s="44" t="s">
        <v>551</v>
      </c>
      <c r="O386" s="23" t="s">
        <v>26</v>
      </c>
      <c r="P386" s="24" t="s">
        <v>17</v>
      </c>
      <c r="Q386" s="28" t="s">
        <v>504</v>
      </c>
    </row>
    <row r="387" spans="1:17">
      <c r="A387" s="14">
        <v>383</v>
      </c>
      <c r="B387" s="29" t="s">
        <v>505</v>
      </c>
      <c r="C387" s="16">
        <f>'Медикаменты Ноябрь'!L387</f>
        <v>0</v>
      </c>
      <c r="D387" s="17"/>
      <c r="E387" s="14"/>
      <c r="F387" s="18"/>
      <c r="G387" s="19"/>
      <c r="H387" s="20"/>
      <c r="I387" s="21"/>
      <c r="J387" s="14"/>
      <c r="K387" s="14">
        <f t="shared" si="10"/>
        <v>0</v>
      </c>
      <c r="L387" s="16">
        <f t="shared" si="11"/>
        <v>0</v>
      </c>
      <c r="M387" s="22"/>
      <c r="N387" s="44"/>
      <c r="O387" s="23" t="s">
        <v>16</v>
      </c>
      <c r="P387" s="24"/>
      <c r="Q387" s="45"/>
    </row>
    <row r="388" spans="1:17">
      <c r="A388" s="14">
        <v>384</v>
      </c>
      <c r="B388" s="29" t="s">
        <v>506</v>
      </c>
      <c r="C388" s="16">
        <f>'Медикаменты Ноябрь'!L388</f>
        <v>0</v>
      </c>
      <c r="D388" s="26"/>
      <c r="E388" s="14"/>
      <c r="F388" s="18"/>
      <c r="G388" s="19"/>
      <c r="H388" s="20"/>
      <c r="I388" s="21"/>
      <c r="J388" s="14"/>
      <c r="K388" s="14">
        <f t="shared" si="10"/>
        <v>0</v>
      </c>
      <c r="L388" s="16">
        <f t="shared" si="11"/>
        <v>0</v>
      </c>
      <c r="M388" s="22">
        <v>44531</v>
      </c>
      <c r="N388" s="44" t="s">
        <v>45</v>
      </c>
      <c r="O388" s="23" t="s">
        <v>16</v>
      </c>
      <c r="P388" s="24" t="s">
        <v>17</v>
      </c>
      <c r="Q388" s="28" t="s">
        <v>507</v>
      </c>
    </row>
    <row r="389" spans="1:17">
      <c r="A389" s="14">
        <v>385</v>
      </c>
      <c r="B389" s="29" t="s">
        <v>644</v>
      </c>
      <c r="C389" s="16">
        <f>'Медикаменты Ноябрь'!L389</f>
        <v>327</v>
      </c>
      <c r="D389" s="17"/>
      <c r="E389" s="14"/>
      <c r="F389" s="18">
        <f>10+20</f>
        <v>30</v>
      </c>
      <c r="G389" s="19"/>
      <c r="H389" s="20"/>
      <c r="I389" s="21"/>
      <c r="J389" s="14"/>
      <c r="K389" s="14">
        <f t="shared" ref="K389:K452" si="12">SUM(F389:J389)</f>
        <v>30</v>
      </c>
      <c r="L389" s="16">
        <f t="shared" ref="L389:L452" si="13">(C389+E389)-K389</f>
        <v>297</v>
      </c>
      <c r="M389" s="22">
        <v>45108</v>
      </c>
      <c r="N389" s="44" t="s">
        <v>551</v>
      </c>
      <c r="O389" s="23" t="s">
        <v>16</v>
      </c>
      <c r="P389" s="24" t="s">
        <v>17</v>
      </c>
      <c r="Q389" s="28" t="s">
        <v>509</v>
      </c>
    </row>
    <row r="390" spans="1:17">
      <c r="A390" s="14">
        <v>386</v>
      </c>
      <c r="B390" s="29" t="s">
        <v>510</v>
      </c>
      <c r="C390" s="16">
        <f>'Медикаменты Ноябрь'!L390</f>
        <v>91</v>
      </c>
      <c r="D390" s="17"/>
      <c r="E390" s="14"/>
      <c r="F390" s="18">
        <f>3</f>
        <v>3</v>
      </c>
      <c r="G390" s="19"/>
      <c r="H390" s="20"/>
      <c r="I390" s="21"/>
      <c r="J390" s="14"/>
      <c r="K390" s="14">
        <f t="shared" si="12"/>
        <v>3</v>
      </c>
      <c r="L390" s="16">
        <f t="shared" si="13"/>
        <v>88</v>
      </c>
      <c r="M390" s="22">
        <v>44950</v>
      </c>
      <c r="N390" s="44" t="s">
        <v>551</v>
      </c>
      <c r="O390" s="23" t="s">
        <v>16</v>
      </c>
      <c r="P390" s="24" t="s">
        <v>17</v>
      </c>
      <c r="Q390" s="28" t="s">
        <v>589</v>
      </c>
    </row>
    <row r="391" spans="1:17">
      <c r="A391" s="14">
        <v>387</v>
      </c>
      <c r="B391" s="29" t="s">
        <v>511</v>
      </c>
      <c r="C391" s="16">
        <f>'Медикаменты Ноябрь'!L391</f>
        <v>0</v>
      </c>
      <c r="D391" s="17"/>
      <c r="E391" s="14"/>
      <c r="F391" s="18"/>
      <c r="G391" s="19"/>
      <c r="H391" s="20"/>
      <c r="I391" s="21"/>
      <c r="J391" s="14"/>
      <c r="K391" s="14">
        <f t="shared" si="12"/>
        <v>0</v>
      </c>
      <c r="L391" s="16">
        <f t="shared" si="13"/>
        <v>0</v>
      </c>
      <c r="M391" s="22"/>
      <c r="N391" s="44"/>
      <c r="O391" s="23" t="s">
        <v>16</v>
      </c>
      <c r="P391" s="24"/>
      <c r="Q391" s="45"/>
    </row>
    <row r="392" spans="1:17">
      <c r="A392" s="14">
        <v>388</v>
      </c>
      <c r="B392" s="29" t="s">
        <v>512</v>
      </c>
      <c r="C392" s="16">
        <f>'Медикаменты Ноябрь'!L392</f>
        <v>195</v>
      </c>
      <c r="D392" s="17"/>
      <c r="E392" s="14"/>
      <c r="F392" s="18">
        <f>5+5</f>
        <v>10</v>
      </c>
      <c r="G392" s="19"/>
      <c r="H392" s="20"/>
      <c r="I392" s="21"/>
      <c r="J392" s="14"/>
      <c r="K392" s="14">
        <f t="shared" si="12"/>
        <v>10</v>
      </c>
      <c r="L392" s="16">
        <f t="shared" si="13"/>
        <v>185</v>
      </c>
      <c r="M392" s="22">
        <v>45383</v>
      </c>
      <c r="N392" s="44" t="s">
        <v>551</v>
      </c>
      <c r="O392" s="23" t="s">
        <v>16</v>
      </c>
      <c r="P392" s="24" t="s">
        <v>17</v>
      </c>
      <c r="Q392" s="28" t="s">
        <v>513</v>
      </c>
    </row>
    <row r="393" spans="1:17">
      <c r="A393" s="14">
        <v>389</v>
      </c>
      <c r="B393" s="29" t="s">
        <v>514</v>
      </c>
      <c r="C393" s="16">
        <f>'Медикаменты Ноябрь'!L393</f>
        <v>191</v>
      </c>
      <c r="D393" s="17"/>
      <c r="E393" s="14"/>
      <c r="F393" s="18">
        <f>10</f>
        <v>10</v>
      </c>
      <c r="G393" s="19"/>
      <c r="H393" s="20">
        <f>20</f>
        <v>20</v>
      </c>
      <c r="I393" s="21"/>
      <c r="J393" s="14"/>
      <c r="K393" s="14">
        <f t="shared" si="12"/>
        <v>30</v>
      </c>
      <c r="L393" s="16">
        <f t="shared" si="13"/>
        <v>161</v>
      </c>
      <c r="M393" s="22">
        <v>45199</v>
      </c>
      <c r="N393" s="44" t="s">
        <v>551</v>
      </c>
      <c r="O393" s="23" t="s">
        <v>16</v>
      </c>
      <c r="P393" s="24" t="s">
        <v>17</v>
      </c>
      <c r="Q393" s="28" t="s">
        <v>515</v>
      </c>
    </row>
    <row r="394" spans="1:17">
      <c r="A394" s="14">
        <v>390</v>
      </c>
      <c r="B394" s="29" t="s">
        <v>516</v>
      </c>
      <c r="C394" s="16">
        <f>'Медикаменты Ноябрь'!L394</f>
        <v>0</v>
      </c>
      <c r="D394" s="17"/>
      <c r="E394" s="14"/>
      <c r="F394" s="18"/>
      <c r="G394" s="19"/>
      <c r="H394" s="20"/>
      <c r="I394" s="21"/>
      <c r="J394" s="14"/>
      <c r="K394" s="14">
        <f t="shared" si="12"/>
        <v>0</v>
      </c>
      <c r="L394" s="16">
        <f t="shared" si="13"/>
        <v>0</v>
      </c>
      <c r="M394" s="22"/>
      <c r="N394" s="44"/>
      <c r="O394" s="23" t="s">
        <v>16</v>
      </c>
      <c r="P394" s="24"/>
      <c r="Q394" s="45"/>
    </row>
    <row r="395" spans="1:17">
      <c r="A395" s="14">
        <v>391</v>
      </c>
      <c r="B395" s="29" t="s">
        <v>517</v>
      </c>
      <c r="C395" s="16">
        <f>'Медикаменты Ноябрь'!L395</f>
        <v>300</v>
      </c>
      <c r="D395" s="17"/>
      <c r="E395" s="14"/>
      <c r="F395" s="18"/>
      <c r="G395" s="19"/>
      <c r="H395" s="20"/>
      <c r="I395" s="21"/>
      <c r="J395" s="14"/>
      <c r="K395" s="14">
        <f t="shared" si="12"/>
        <v>0</v>
      </c>
      <c r="L395" s="16">
        <f t="shared" si="13"/>
        <v>300</v>
      </c>
      <c r="M395" s="22">
        <v>45352</v>
      </c>
      <c r="N395" s="44" t="s">
        <v>551</v>
      </c>
      <c r="O395" s="23" t="s">
        <v>16</v>
      </c>
      <c r="P395" s="24" t="s">
        <v>17</v>
      </c>
      <c r="Q395" s="28" t="s">
        <v>518</v>
      </c>
    </row>
    <row r="396" spans="1:17">
      <c r="A396" s="14">
        <v>392</v>
      </c>
      <c r="B396" s="29" t="s">
        <v>519</v>
      </c>
      <c r="C396" s="16">
        <f>'Медикаменты Ноябрь'!L396</f>
        <v>120</v>
      </c>
      <c r="D396" s="17"/>
      <c r="E396" s="14">
        <f>178</f>
        <v>178</v>
      </c>
      <c r="F396" s="18">
        <f>15+10</f>
        <v>25</v>
      </c>
      <c r="G396" s="19"/>
      <c r="H396" s="20">
        <f>30</f>
        <v>30</v>
      </c>
      <c r="I396" s="21"/>
      <c r="J396" s="14"/>
      <c r="K396" s="14">
        <f t="shared" si="12"/>
        <v>55</v>
      </c>
      <c r="L396" s="16">
        <f t="shared" si="13"/>
        <v>243</v>
      </c>
      <c r="M396" s="22">
        <v>45352</v>
      </c>
      <c r="N396" s="44" t="s">
        <v>551</v>
      </c>
      <c r="O396" s="23" t="s">
        <v>16</v>
      </c>
      <c r="P396" s="24" t="s">
        <v>17</v>
      </c>
      <c r="Q396" s="28" t="s">
        <v>655</v>
      </c>
    </row>
    <row r="397" spans="1:17">
      <c r="A397" s="14">
        <v>393</v>
      </c>
      <c r="B397" s="29" t="s">
        <v>520</v>
      </c>
      <c r="C397" s="16">
        <f>'Медикаменты Ноябрь'!L397</f>
        <v>160</v>
      </c>
      <c r="D397" s="17"/>
      <c r="E397" s="14"/>
      <c r="F397" s="18"/>
      <c r="G397" s="19"/>
      <c r="H397" s="20"/>
      <c r="I397" s="21"/>
      <c r="J397" s="14"/>
      <c r="K397" s="14">
        <f t="shared" si="12"/>
        <v>0</v>
      </c>
      <c r="L397" s="16">
        <f t="shared" si="13"/>
        <v>160</v>
      </c>
      <c r="M397" s="22">
        <v>45383</v>
      </c>
      <c r="N397" s="44" t="s">
        <v>551</v>
      </c>
      <c r="O397" s="23" t="s">
        <v>16</v>
      </c>
      <c r="P397" s="24" t="s">
        <v>17</v>
      </c>
      <c r="Q397" s="28" t="s">
        <v>521</v>
      </c>
    </row>
    <row r="398" spans="1:17">
      <c r="A398" s="14">
        <v>394</v>
      </c>
      <c r="B398" s="29" t="s">
        <v>522</v>
      </c>
      <c r="C398" s="16">
        <f>'Медикаменты Ноябрь'!L398</f>
        <v>0</v>
      </c>
      <c r="D398" s="17"/>
      <c r="E398" s="14"/>
      <c r="F398" s="18"/>
      <c r="G398" s="19"/>
      <c r="H398" s="20"/>
      <c r="I398" s="21"/>
      <c r="J398" s="14"/>
      <c r="K398" s="14">
        <f t="shared" si="12"/>
        <v>0</v>
      </c>
      <c r="L398" s="16">
        <f t="shared" si="13"/>
        <v>0</v>
      </c>
      <c r="M398" s="22"/>
      <c r="N398" s="44"/>
      <c r="O398" s="23" t="s">
        <v>16</v>
      </c>
      <c r="P398" s="24"/>
      <c r="Q398" s="45"/>
    </row>
    <row r="399" spans="1:17">
      <c r="A399" s="14">
        <v>395</v>
      </c>
      <c r="B399" s="29" t="s">
        <v>523</v>
      </c>
      <c r="C399" s="16">
        <f>'Медикаменты Ноябрь'!L399</f>
        <v>0</v>
      </c>
      <c r="D399" s="17"/>
      <c r="E399" s="14"/>
      <c r="F399" s="18"/>
      <c r="G399" s="19"/>
      <c r="H399" s="20"/>
      <c r="I399" s="21"/>
      <c r="J399" s="14"/>
      <c r="K399" s="14">
        <f t="shared" si="12"/>
        <v>0</v>
      </c>
      <c r="L399" s="16">
        <f t="shared" si="13"/>
        <v>0</v>
      </c>
      <c r="M399" s="22">
        <v>44228</v>
      </c>
      <c r="N399" s="44"/>
      <c r="O399" s="23" t="s">
        <v>16</v>
      </c>
      <c r="P399" s="24"/>
      <c r="Q399" s="28" t="s">
        <v>524</v>
      </c>
    </row>
    <row r="400" spans="1:17">
      <c r="A400" s="14">
        <v>396</v>
      </c>
      <c r="B400" s="29" t="s">
        <v>525</v>
      </c>
      <c r="C400" s="16">
        <f>'Медикаменты Ноябрь'!L400</f>
        <v>86</v>
      </c>
      <c r="D400" s="17"/>
      <c r="E400" s="14"/>
      <c r="F400" s="18"/>
      <c r="G400" s="19"/>
      <c r="H400" s="20"/>
      <c r="I400" s="21"/>
      <c r="J400" s="14"/>
      <c r="K400" s="14">
        <f t="shared" si="12"/>
        <v>0</v>
      </c>
      <c r="L400" s="16">
        <f t="shared" si="13"/>
        <v>86</v>
      </c>
      <c r="M400" s="22">
        <v>44958</v>
      </c>
      <c r="N400" s="44" t="s">
        <v>45</v>
      </c>
      <c r="O400" s="23" t="s">
        <v>16</v>
      </c>
      <c r="P400" s="24" t="s">
        <v>17</v>
      </c>
      <c r="Q400" s="28" t="s">
        <v>526</v>
      </c>
    </row>
    <row r="401" spans="1:17">
      <c r="A401" s="14">
        <v>397</v>
      </c>
      <c r="B401" s="29" t="s">
        <v>527</v>
      </c>
      <c r="C401" s="16">
        <f>'Медикаменты Ноябрь'!L401</f>
        <v>0</v>
      </c>
      <c r="D401" s="17"/>
      <c r="E401" s="14"/>
      <c r="F401" s="18"/>
      <c r="G401" s="19"/>
      <c r="H401" s="20"/>
      <c r="I401" s="21"/>
      <c r="J401" s="14"/>
      <c r="K401" s="14">
        <f t="shared" si="12"/>
        <v>0</v>
      </c>
      <c r="L401" s="16">
        <f t="shared" si="13"/>
        <v>0</v>
      </c>
      <c r="M401" s="22">
        <v>44652</v>
      </c>
      <c r="N401" s="44" t="s">
        <v>45</v>
      </c>
      <c r="O401" s="23" t="s">
        <v>16</v>
      </c>
      <c r="P401" s="24" t="s">
        <v>17</v>
      </c>
      <c r="Q401" s="28" t="s">
        <v>528</v>
      </c>
    </row>
    <row r="402" spans="1:17">
      <c r="A402" s="14">
        <v>398</v>
      </c>
      <c r="B402" s="29" t="s">
        <v>527</v>
      </c>
      <c r="C402" s="16">
        <f>'Медикаменты Ноябрь'!L402</f>
        <v>4</v>
      </c>
      <c r="D402" s="17"/>
      <c r="E402" s="14"/>
      <c r="F402" s="18">
        <f>4</f>
        <v>4</v>
      </c>
      <c r="G402" s="19"/>
      <c r="H402" s="20"/>
      <c r="I402" s="21"/>
      <c r="J402" s="14"/>
      <c r="K402" s="14">
        <f t="shared" si="12"/>
        <v>4</v>
      </c>
      <c r="L402" s="16">
        <f t="shared" si="13"/>
        <v>0</v>
      </c>
      <c r="M402" s="22">
        <v>44896</v>
      </c>
      <c r="N402" s="44" t="s">
        <v>45</v>
      </c>
      <c r="O402" s="23" t="s">
        <v>16</v>
      </c>
      <c r="P402" s="24" t="s">
        <v>17</v>
      </c>
      <c r="Q402" s="28" t="s">
        <v>528</v>
      </c>
    </row>
  </sheetData>
  <autoFilter ref="A2:Q402"/>
  <mergeCells count="18">
    <mergeCell ref="P2:P4"/>
    <mergeCell ref="Q2:Q4"/>
    <mergeCell ref="A1:Q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2:M4"/>
    <mergeCell ref="N2:N4"/>
    <mergeCell ref="O2:O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D99694"/>
  </sheetPr>
  <dimension ref="A1:O26"/>
  <sheetViews>
    <sheetView zoomScale="80" zoomScaleNormal="80" workbookViewId="0">
      <pane ySplit="4" topLeftCell="A5" activePane="bottomLeft" state="frozen"/>
      <selection pane="bottomLeft" activeCell="G12" sqref="G12"/>
    </sheetView>
  </sheetViews>
  <sheetFormatPr defaultRowHeight="15"/>
  <cols>
    <col min="1" max="1" width="12.5703125" customWidth="1"/>
    <col min="2" max="2" width="45.85546875" customWidth="1"/>
    <col min="3" max="13" width="13.28515625" customWidth="1"/>
    <col min="14" max="14" width="13.7109375" customWidth="1"/>
    <col min="15" max="1022" width="9.140625" customWidth="1"/>
    <col min="1023" max="1025" width="11.5703125" customWidth="1"/>
  </cols>
  <sheetData>
    <row r="1" spans="1:15" ht="51.75" customHeight="1">
      <c r="A1" s="3" t="s">
        <v>529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s="33" customFormat="1" ht="13.9" customHeight="1">
      <c r="A2" s="11" t="s">
        <v>1</v>
      </c>
      <c r="B2" s="10" t="s">
        <v>2</v>
      </c>
      <c r="C2" s="9">
        <v>44531</v>
      </c>
      <c r="D2" s="11" t="s">
        <v>3</v>
      </c>
      <c r="E2" s="11" t="s">
        <v>4</v>
      </c>
      <c r="F2" s="8" t="s">
        <v>5</v>
      </c>
      <c r="G2" s="2" t="s">
        <v>6</v>
      </c>
      <c r="H2" s="6" t="s">
        <v>7</v>
      </c>
      <c r="I2" s="5" t="s">
        <v>8</v>
      </c>
      <c r="J2" s="11" t="s">
        <v>9</v>
      </c>
      <c r="K2" s="11" t="s">
        <v>10</v>
      </c>
      <c r="L2" s="9">
        <v>44561</v>
      </c>
      <c r="M2" s="1" t="s">
        <v>11</v>
      </c>
      <c r="N2" s="1" t="s">
        <v>12</v>
      </c>
      <c r="O2" s="32"/>
    </row>
    <row r="3" spans="1:15" s="33" customFormat="1" ht="14.25">
      <c r="A3" s="11"/>
      <c r="B3" s="10"/>
      <c r="C3" s="9"/>
      <c r="D3" s="9"/>
      <c r="E3" s="9"/>
      <c r="F3" s="8"/>
      <c r="G3" s="2"/>
      <c r="H3" s="6"/>
      <c r="I3" s="5"/>
      <c r="J3" s="11"/>
      <c r="K3" s="11"/>
      <c r="L3" s="11"/>
      <c r="M3" s="1"/>
      <c r="N3" s="1"/>
      <c r="O3" s="32"/>
    </row>
    <row r="4" spans="1:15" s="33" customFormat="1" ht="24.75" customHeight="1">
      <c r="A4" s="11"/>
      <c r="B4" s="10"/>
      <c r="C4" s="9"/>
      <c r="D4" s="9"/>
      <c r="E4" s="9"/>
      <c r="F4" s="8"/>
      <c r="G4" s="2"/>
      <c r="H4" s="6"/>
      <c r="I4" s="5"/>
      <c r="J4" s="11"/>
      <c r="K4" s="11"/>
      <c r="L4" s="11"/>
      <c r="M4" s="1"/>
      <c r="N4" s="1"/>
      <c r="O4" s="32"/>
    </row>
    <row r="5" spans="1:15">
      <c r="A5" s="34">
        <v>1</v>
      </c>
      <c r="B5" s="35" t="s">
        <v>530</v>
      </c>
      <c r="C5" s="14">
        <f>'Перевязочные Ноябрь'!L5</f>
        <v>368</v>
      </c>
      <c r="D5" s="36"/>
      <c r="E5" s="36"/>
      <c r="F5" s="37">
        <f>20+20</f>
        <v>40</v>
      </c>
      <c r="G5" s="38"/>
      <c r="H5" s="39"/>
      <c r="I5" s="40"/>
      <c r="J5" s="36"/>
      <c r="K5" s="14">
        <f t="shared" ref="K5:K26" si="0">SUM(F5:J5)</f>
        <v>40</v>
      </c>
      <c r="L5" s="16">
        <f t="shared" ref="L5:L26" si="1">(C5+E5)-K5</f>
        <v>328</v>
      </c>
      <c r="M5" s="41">
        <v>44652</v>
      </c>
      <c r="N5" s="42" t="s">
        <v>16</v>
      </c>
      <c r="O5" s="43"/>
    </row>
    <row r="6" spans="1:15">
      <c r="A6" s="34">
        <v>2</v>
      </c>
      <c r="B6" s="35" t="s">
        <v>531</v>
      </c>
      <c r="C6" s="14">
        <f>'Перевязочные Ноябрь'!L6</f>
        <v>83</v>
      </c>
      <c r="D6" s="36"/>
      <c r="E6" s="36"/>
      <c r="F6" s="37"/>
      <c r="G6" s="38"/>
      <c r="H6" s="39"/>
      <c r="I6" s="40"/>
      <c r="J6" s="36"/>
      <c r="K6" s="14">
        <f t="shared" si="0"/>
        <v>0</v>
      </c>
      <c r="L6" s="16">
        <f t="shared" si="1"/>
        <v>83</v>
      </c>
      <c r="M6" s="41">
        <v>45200</v>
      </c>
      <c r="N6" s="42" t="s">
        <v>16</v>
      </c>
      <c r="O6" s="43"/>
    </row>
    <row r="7" spans="1:15">
      <c r="A7" s="34">
        <v>3</v>
      </c>
      <c r="B7" s="35" t="s">
        <v>532</v>
      </c>
      <c r="C7" s="14">
        <f>'Перевязочные Ноябрь'!L7</f>
        <v>10</v>
      </c>
      <c r="D7" s="36"/>
      <c r="E7" s="36"/>
      <c r="F7" s="37"/>
      <c r="G7" s="38"/>
      <c r="H7" s="39"/>
      <c r="I7" s="40"/>
      <c r="J7" s="36"/>
      <c r="K7" s="14">
        <f t="shared" si="0"/>
        <v>0</v>
      </c>
      <c r="L7" s="16">
        <f t="shared" si="1"/>
        <v>10</v>
      </c>
      <c r="M7" s="41">
        <v>44958</v>
      </c>
      <c r="N7" s="42" t="s">
        <v>16</v>
      </c>
      <c r="O7" s="43"/>
    </row>
    <row r="8" spans="1:15">
      <c r="A8" s="34">
        <v>4</v>
      </c>
      <c r="B8" s="35" t="s">
        <v>533</v>
      </c>
      <c r="C8" s="14">
        <f>'Перевязочные Ноябрь'!L8</f>
        <v>0</v>
      </c>
      <c r="D8" s="36"/>
      <c r="E8" s="36"/>
      <c r="F8" s="37"/>
      <c r="G8" s="38"/>
      <c r="H8" s="39"/>
      <c r="I8" s="40"/>
      <c r="J8" s="36"/>
      <c r="K8" s="14">
        <f t="shared" si="0"/>
        <v>0</v>
      </c>
      <c r="L8" s="16">
        <f t="shared" si="1"/>
        <v>0</v>
      </c>
      <c r="M8" s="41"/>
      <c r="N8" s="42" t="s">
        <v>16</v>
      </c>
      <c r="O8" s="43"/>
    </row>
    <row r="9" spans="1:15">
      <c r="A9" s="34">
        <v>5</v>
      </c>
      <c r="B9" s="35" t="s">
        <v>534</v>
      </c>
      <c r="C9" s="14">
        <f>'Перевязочные Ноябрь'!L9</f>
        <v>0</v>
      </c>
      <c r="D9" s="36"/>
      <c r="E9" s="36"/>
      <c r="F9" s="37"/>
      <c r="G9" s="38"/>
      <c r="H9" s="39"/>
      <c r="I9" s="40"/>
      <c r="J9" s="36"/>
      <c r="K9" s="14">
        <f t="shared" si="0"/>
        <v>0</v>
      </c>
      <c r="L9" s="16">
        <f t="shared" si="1"/>
        <v>0</v>
      </c>
      <c r="M9" s="41"/>
      <c r="N9" s="42" t="s">
        <v>16</v>
      </c>
      <c r="O9" s="43"/>
    </row>
    <row r="10" spans="1:15">
      <c r="A10" s="34">
        <v>6</v>
      </c>
      <c r="B10" s="35" t="s">
        <v>535</v>
      </c>
      <c r="C10" s="14">
        <f>'Перевязочные Ноябрь'!L10</f>
        <v>10</v>
      </c>
      <c r="D10" s="36"/>
      <c r="E10" s="36"/>
      <c r="F10" s="37"/>
      <c r="G10" s="38"/>
      <c r="H10" s="39"/>
      <c r="I10" s="40"/>
      <c r="J10" s="36"/>
      <c r="K10" s="14">
        <f t="shared" si="0"/>
        <v>0</v>
      </c>
      <c r="L10" s="16">
        <f t="shared" si="1"/>
        <v>10</v>
      </c>
      <c r="M10" s="41">
        <v>45231</v>
      </c>
      <c r="N10" s="42" t="s">
        <v>16</v>
      </c>
      <c r="O10" s="43"/>
    </row>
    <row r="11" spans="1:15">
      <c r="A11" s="34">
        <v>7</v>
      </c>
      <c r="B11" s="35" t="s">
        <v>536</v>
      </c>
      <c r="C11" s="14">
        <f>'Перевязочные Ноябрь'!L11</f>
        <v>0</v>
      </c>
      <c r="D11" s="36"/>
      <c r="E11" s="36"/>
      <c r="F11" s="37"/>
      <c r="G11" s="38"/>
      <c r="H11" s="39"/>
      <c r="I11" s="40"/>
      <c r="J11" s="36"/>
      <c r="K11" s="14">
        <f t="shared" si="0"/>
        <v>0</v>
      </c>
      <c r="L11" s="16">
        <f t="shared" si="1"/>
        <v>0</v>
      </c>
      <c r="M11" s="41"/>
      <c r="N11" s="42" t="s">
        <v>16</v>
      </c>
      <c r="O11" s="43"/>
    </row>
    <row r="12" spans="1:15">
      <c r="A12" s="34">
        <v>8</v>
      </c>
      <c r="B12" s="35" t="s">
        <v>537</v>
      </c>
      <c r="C12" s="14">
        <f>'Перевязочные Ноябрь'!L12</f>
        <v>4</v>
      </c>
      <c r="D12" s="36"/>
      <c r="E12" s="36"/>
      <c r="F12" s="37"/>
      <c r="G12" s="38">
        <f>4</f>
        <v>4</v>
      </c>
      <c r="H12" s="39"/>
      <c r="I12" s="40"/>
      <c r="J12" s="36"/>
      <c r="K12" s="14">
        <f t="shared" si="0"/>
        <v>4</v>
      </c>
      <c r="L12" s="16">
        <f t="shared" si="1"/>
        <v>0</v>
      </c>
      <c r="M12" s="41">
        <v>45658</v>
      </c>
      <c r="N12" s="42" t="s">
        <v>16</v>
      </c>
      <c r="O12" s="43"/>
    </row>
    <row r="13" spans="1:15">
      <c r="A13" s="34">
        <v>9</v>
      </c>
      <c r="B13" s="35" t="s">
        <v>537</v>
      </c>
      <c r="C13" s="14">
        <f>'Перевязочные Ноябрь'!L13</f>
        <v>50</v>
      </c>
      <c r="D13" s="36"/>
      <c r="E13" s="36"/>
      <c r="F13" s="37"/>
      <c r="G13" s="38">
        <f>4</f>
        <v>4</v>
      </c>
      <c r="H13" s="39"/>
      <c r="I13" s="40"/>
      <c r="J13" s="36"/>
      <c r="K13" s="14">
        <f t="shared" si="0"/>
        <v>4</v>
      </c>
      <c r="L13" s="16">
        <f t="shared" si="1"/>
        <v>46</v>
      </c>
      <c r="M13" s="41">
        <v>45870</v>
      </c>
      <c r="N13" s="42" t="s">
        <v>16</v>
      </c>
      <c r="O13" s="43"/>
    </row>
    <row r="14" spans="1:15">
      <c r="A14" s="34">
        <v>10</v>
      </c>
      <c r="B14" s="35" t="s">
        <v>617</v>
      </c>
      <c r="C14" s="14">
        <f>'Перевязочные Ноябрь'!L14</f>
        <v>20</v>
      </c>
      <c r="D14" s="36"/>
      <c r="E14" s="36"/>
      <c r="F14" s="37"/>
      <c r="G14" s="38"/>
      <c r="H14" s="39"/>
      <c r="I14" s="40"/>
      <c r="J14" s="36"/>
      <c r="K14" s="14">
        <f t="shared" si="0"/>
        <v>0</v>
      </c>
      <c r="L14" s="16">
        <f t="shared" si="1"/>
        <v>20</v>
      </c>
      <c r="M14" s="41">
        <v>45809</v>
      </c>
      <c r="N14" s="42" t="s">
        <v>16</v>
      </c>
      <c r="O14" s="43"/>
    </row>
    <row r="15" spans="1:15">
      <c r="A15" s="34">
        <v>11</v>
      </c>
      <c r="B15" s="35" t="s">
        <v>538</v>
      </c>
      <c r="C15" s="14">
        <f>'Перевязочные Ноябрь'!L15</f>
        <v>500</v>
      </c>
      <c r="D15" s="36"/>
      <c r="E15" s="36"/>
      <c r="F15" s="37"/>
      <c r="G15" s="38"/>
      <c r="H15" s="39"/>
      <c r="I15" s="40"/>
      <c r="J15" s="36"/>
      <c r="K15" s="14">
        <f t="shared" si="0"/>
        <v>0</v>
      </c>
      <c r="L15" s="16">
        <f t="shared" si="1"/>
        <v>500</v>
      </c>
      <c r="M15" s="41">
        <v>44682</v>
      </c>
      <c r="N15" s="42" t="s">
        <v>16</v>
      </c>
      <c r="O15" s="43"/>
    </row>
    <row r="16" spans="1:15">
      <c r="A16" s="34">
        <v>12</v>
      </c>
      <c r="B16" s="35" t="s">
        <v>539</v>
      </c>
      <c r="C16" s="14">
        <f>'Перевязочные Ноябрь'!L16</f>
        <v>294</v>
      </c>
      <c r="D16" s="36"/>
      <c r="E16" s="36"/>
      <c r="F16" s="37">
        <f>24</f>
        <v>24</v>
      </c>
      <c r="G16" s="38"/>
      <c r="H16" s="39"/>
      <c r="I16" s="40"/>
      <c r="J16" s="36"/>
      <c r="K16" s="14">
        <f t="shared" si="0"/>
        <v>24</v>
      </c>
      <c r="L16" s="16">
        <f t="shared" si="1"/>
        <v>270</v>
      </c>
      <c r="M16" s="41">
        <v>45261</v>
      </c>
      <c r="N16" s="42" t="s">
        <v>16</v>
      </c>
      <c r="O16" s="43"/>
    </row>
    <row r="17" spans="1:15">
      <c r="A17" s="34">
        <v>13</v>
      </c>
      <c r="B17" s="35" t="s">
        <v>540</v>
      </c>
      <c r="C17" s="14">
        <f>'Перевязочные Ноябрь'!L17</f>
        <v>131</v>
      </c>
      <c r="D17" s="36"/>
      <c r="E17" s="36"/>
      <c r="F17" s="37"/>
      <c r="G17" s="38"/>
      <c r="H17" s="39"/>
      <c r="I17" s="40"/>
      <c r="J17" s="36"/>
      <c r="K17" s="14">
        <f t="shared" si="0"/>
        <v>0</v>
      </c>
      <c r="L17" s="16">
        <f t="shared" si="1"/>
        <v>131</v>
      </c>
      <c r="M17" s="41">
        <v>44835</v>
      </c>
      <c r="N17" s="42" t="s">
        <v>16</v>
      </c>
      <c r="O17" s="43"/>
    </row>
    <row r="18" spans="1:15" ht="30">
      <c r="A18" s="34">
        <v>14</v>
      </c>
      <c r="B18" s="35" t="s">
        <v>541</v>
      </c>
      <c r="C18" s="14">
        <f>'Перевязочные Ноябрь'!L18</f>
        <v>285</v>
      </c>
      <c r="D18" s="36"/>
      <c r="E18" s="36"/>
      <c r="F18" s="37"/>
      <c r="G18" s="38"/>
      <c r="H18" s="39"/>
      <c r="I18" s="40"/>
      <c r="J18" s="36"/>
      <c r="K18" s="14">
        <f t="shared" si="0"/>
        <v>0</v>
      </c>
      <c r="L18" s="16">
        <f t="shared" si="1"/>
        <v>285</v>
      </c>
      <c r="M18" s="41">
        <v>45616</v>
      </c>
      <c r="N18" s="42" t="s">
        <v>16</v>
      </c>
      <c r="O18" s="43"/>
    </row>
    <row r="19" spans="1:15" ht="45">
      <c r="A19" s="34">
        <v>15</v>
      </c>
      <c r="B19" s="35" t="s">
        <v>542</v>
      </c>
      <c r="C19" s="14">
        <f>'Перевязочные Ноябрь'!L19</f>
        <v>300</v>
      </c>
      <c r="D19" s="36"/>
      <c r="E19" s="36"/>
      <c r="F19" s="37">
        <f>100</f>
        <v>100</v>
      </c>
      <c r="G19" s="38"/>
      <c r="H19" s="39"/>
      <c r="I19" s="40"/>
      <c r="J19" s="36"/>
      <c r="K19" s="14">
        <f t="shared" si="0"/>
        <v>100</v>
      </c>
      <c r="L19" s="16">
        <f t="shared" si="1"/>
        <v>200</v>
      </c>
      <c r="M19" s="41">
        <v>44682</v>
      </c>
      <c r="N19" s="42" t="s">
        <v>16</v>
      </c>
      <c r="O19" s="43"/>
    </row>
    <row r="20" spans="1:15" ht="30">
      <c r="A20" s="34">
        <v>16</v>
      </c>
      <c r="B20" s="35" t="s">
        <v>543</v>
      </c>
      <c r="C20" s="14">
        <f>'Перевязочные Ноябрь'!L20</f>
        <v>0</v>
      </c>
      <c r="D20" s="36"/>
      <c r="E20" s="36"/>
      <c r="F20" s="37"/>
      <c r="G20" s="38"/>
      <c r="H20" s="39"/>
      <c r="I20" s="40"/>
      <c r="J20" s="36"/>
      <c r="K20" s="14">
        <f t="shared" si="0"/>
        <v>0</v>
      </c>
      <c r="L20" s="16">
        <f t="shared" si="1"/>
        <v>0</v>
      </c>
      <c r="M20" s="41">
        <v>45778</v>
      </c>
      <c r="N20" s="42" t="s">
        <v>16</v>
      </c>
      <c r="O20" s="43"/>
    </row>
    <row r="21" spans="1:15" ht="30">
      <c r="A21" s="34">
        <v>17</v>
      </c>
      <c r="B21" s="35" t="s">
        <v>565</v>
      </c>
      <c r="C21" s="14">
        <f>'Перевязочные Ноябрь'!L21</f>
        <v>18800</v>
      </c>
      <c r="D21" s="36"/>
      <c r="E21" s="36"/>
      <c r="F21" s="37">
        <f>1000+600</f>
        <v>1600</v>
      </c>
      <c r="G21" s="38">
        <f>1000</f>
        <v>1000</v>
      </c>
      <c r="H21" s="39"/>
      <c r="I21" s="40"/>
      <c r="J21" s="36"/>
      <c r="K21" s="14">
        <f t="shared" si="0"/>
        <v>2600</v>
      </c>
      <c r="L21" s="16">
        <f t="shared" si="1"/>
        <v>16200</v>
      </c>
      <c r="M21" s="41">
        <v>45992</v>
      </c>
      <c r="N21" s="42" t="s">
        <v>16</v>
      </c>
      <c r="O21" s="43"/>
    </row>
    <row r="22" spans="1:15" ht="30">
      <c r="A22" s="34">
        <v>18</v>
      </c>
      <c r="B22" s="35" t="s">
        <v>544</v>
      </c>
      <c r="C22" s="14">
        <f>'Перевязочные Ноябрь'!L22</f>
        <v>38</v>
      </c>
      <c r="D22" s="36"/>
      <c r="E22" s="36"/>
      <c r="F22" s="37"/>
      <c r="G22" s="38"/>
      <c r="H22" s="39"/>
      <c r="I22" s="40"/>
      <c r="J22" s="36"/>
      <c r="K22" s="14">
        <f t="shared" si="0"/>
        <v>0</v>
      </c>
      <c r="L22" s="16">
        <f t="shared" si="1"/>
        <v>38</v>
      </c>
      <c r="M22" s="41"/>
      <c r="N22" s="42" t="s">
        <v>16</v>
      </c>
      <c r="O22" s="43"/>
    </row>
    <row r="23" spans="1:15">
      <c r="A23" s="34">
        <v>19</v>
      </c>
      <c r="B23" s="35" t="s">
        <v>545</v>
      </c>
      <c r="C23" s="14">
        <f>'Перевязочные Ноябрь'!L23</f>
        <v>15</v>
      </c>
      <c r="D23" s="36"/>
      <c r="E23" s="36"/>
      <c r="F23" s="37"/>
      <c r="G23" s="38"/>
      <c r="H23" s="39"/>
      <c r="I23" s="40"/>
      <c r="J23" s="36"/>
      <c r="K23" s="14">
        <f t="shared" si="0"/>
        <v>0</v>
      </c>
      <c r="L23" s="16">
        <f t="shared" si="1"/>
        <v>15</v>
      </c>
      <c r="M23" s="41">
        <v>45292</v>
      </c>
      <c r="N23" s="42" t="s">
        <v>16</v>
      </c>
      <c r="O23" s="43"/>
    </row>
    <row r="24" spans="1:15">
      <c r="A24" s="34">
        <v>20</v>
      </c>
      <c r="B24" s="35" t="s">
        <v>566</v>
      </c>
      <c r="C24" s="14">
        <f>'Перевязочные Ноябрь'!L24</f>
        <v>28</v>
      </c>
      <c r="D24" s="36"/>
      <c r="E24" s="36"/>
      <c r="F24" s="37"/>
      <c r="G24" s="38"/>
      <c r="H24" s="39"/>
      <c r="I24" s="40"/>
      <c r="J24" s="36"/>
      <c r="K24" s="14">
        <f t="shared" si="0"/>
        <v>0</v>
      </c>
      <c r="L24" s="16">
        <f t="shared" si="1"/>
        <v>28</v>
      </c>
      <c r="M24" s="41">
        <v>45717</v>
      </c>
      <c r="N24" s="42" t="s">
        <v>16</v>
      </c>
      <c r="O24" s="43"/>
    </row>
    <row r="25" spans="1:15" ht="30">
      <c r="A25" s="34">
        <v>21</v>
      </c>
      <c r="B25" s="35" t="s">
        <v>546</v>
      </c>
      <c r="C25" s="14">
        <f>'Перевязочные Ноябрь'!L25</f>
        <v>10</v>
      </c>
      <c r="D25" s="36"/>
      <c r="E25" s="36"/>
      <c r="F25" s="37"/>
      <c r="G25" s="38"/>
      <c r="H25" s="39"/>
      <c r="I25" s="40"/>
      <c r="J25" s="36"/>
      <c r="K25" s="14">
        <f t="shared" si="0"/>
        <v>0</v>
      </c>
      <c r="L25" s="16">
        <f t="shared" si="1"/>
        <v>10</v>
      </c>
      <c r="M25" s="41">
        <v>44682</v>
      </c>
      <c r="N25" s="42" t="s">
        <v>16</v>
      </c>
      <c r="O25" s="43"/>
    </row>
    <row r="26" spans="1:15" ht="45">
      <c r="A26" s="34">
        <v>22</v>
      </c>
      <c r="B26" s="35" t="s">
        <v>567</v>
      </c>
      <c r="C26" s="14">
        <f>'Перевязочные Ноябрь'!L26</f>
        <v>14</v>
      </c>
      <c r="D26" s="36"/>
      <c r="E26" s="36"/>
      <c r="F26" s="37"/>
      <c r="G26" s="38"/>
      <c r="H26" s="39"/>
      <c r="I26" s="40"/>
      <c r="J26" s="36"/>
      <c r="K26" s="14">
        <f t="shared" si="0"/>
        <v>0</v>
      </c>
      <c r="L26" s="16">
        <f t="shared" si="1"/>
        <v>14</v>
      </c>
      <c r="M26" s="41">
        <v>45292</v>
      </c>
      <c r="N26" s="42" t="s">
        <v>16</v>
      </c>
      <c r="O26" s="43"/>
    </row>
  </sheetData>
  <autoFilter ref="A2:N4"/>
  <mergeCells count="15">
    <mergeCell ref="A1:N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2:M4"/>
    <mergeCell ref="N2:N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A933"/>
  </sheetPr>
  <dimension ref="A1:P362"/>
  <sheetViews>
    <sheetView zoomScaleNormal="100" workbookViewId="0">
      <pane ySplit="4" topLeftCell="A191" activePane="bottomLeft" state="frozen"/>
      <selection pane="bottomLeft" activeCell="C255" sqref="C255"/>
    </sheetView>
  </sheetViews>
  <sheetFormatPr defaultRowHeight="15"/>
  <cols>
    <col min="1" max="1" width="9.140625" customWidth="1"/>
    <col min="2" max="2" width="40.85546875" customWidth="1"/>
    <col min="3" max="14" width="13.28515625" customWidth="1"/>
    <col min="15" max="15" width="13.28515625" style="13" customWidth="1"/>
    <col min="16" max="16" width="43.5703125" customWidth="1"/>
    <col min="17" max="1023" width="9.140625" customWidth="1"/>
    <col min="1024" max="1025" width="11.5703125" customWidth="1"/>
  </cols>
  <sheetData>
    <row r="1" spans="1:16" ht="52.5" customHeight="1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ht="13.9" customHeight="1">
      <c r="A2" s="11" t="s">
        <v>1</v>
      </c>
      <c r="B2" s="10" t="s">
        <v>2</v>
      </c>
      <c r="C2" s="9">
        <v>44197</v>
      </c>
      <c r="D2" s="11" t="s">
        <v>3</v>
      </c>
      <c r="E2" s="11" t="s">
        <v>4</v>
      </c>
      <c r="F2" s="8" t="s">
        <v>5</v>
      </c>
      <c r="G2" s="7" t="s">
        <v>6</v>
      </c>
      <c r="H2" s="6" t="s">
        <v>7</v>
      </c>
      <c r="I2" s="5" t="s">
        <v>8</v>
      </c>
      <c r="J2" s="11" t="s">
        <v>9</v>
      </c>
      <c r="K2" s="11" t="s">
        <v>10</v>
      </c>
      <c r="L2" s="9">
        <v>44227</v>
      </c>
      <c r="M2" s="4" t="s">
        <v>11</v>
      </c>
      <c r="N2" s="4" t="s">
        <v>12</v>
      </c>
      <c r="O2" s="4" t="s">
        <v>13</v>
      </c>
      <c r="P2" s="4" t="s">
        <v>14</v>
      </c>
    </row>
    <row r="3" spans="1:16">
      <c r="A3" s="11"/>
      <c r="B3" s="10"/>
      <c r="C3" s="9"/>
      <c r="D3" s="9"/>
      <c r="E3" s="9"/>
      <c r="F3" s="8"/>
      <c r="G3" s="7"/>
      <c r="H3" s="6"/>
      <c r="I3" s="5"/>
      <c r="J3" s="11"/>
      <c r="K3" s="11"/>
      <c r="L3" s="11"/>
      <c r="M3" s="4"/>
      <c r="N3" s="4"/>
      <c r="O3" s="4"/>
      <c r="P3" s="4"/>
    </row>
    <row r="4" spans="1:16" ht="34.5" customHeight="1">
      <c r="A4" s="11"/>
      <c r="B4" s="10"/>
      <c r="C4" s="9"/>
      <c r="D4" s="9"/>
      <c r="E4" s="9"/>
      <c r="F4" s="8"/>
      <c r="G4" s="7"/>
      <c r="H4" s="6"/>
      <c r="I4" s="5"/>
      <c r="J4" s="11"/>
      <c r="K4" s="11"/>
      <c r="L4" s="11"/>
      <c r="M4" s="4"/>
      <c r="N4" s="4"/>
      <c r="O4" s="4"/>
      <c r="P4" s="4"/>
    </row>
    <row r="5" spans="1:16">
      <c r="A5" s="14">
        <v>1</v>
      </c>
      <c r="B5" s="15" t="s">
        <v>15</v>
      </c>
      <c r="C5" s="16">
        <f>'Медикаменты Январь'!L5</f>
        <v>18</v>
      </c>
      <c r="D5" s="17"/>
      <c r="E5" s="14"/>
      <c r="F5" s="18"/>
      <c r="G5" s="19"/>
      <c r="H5" s="20"/>
      <c r="I5" s="21"/>
      <c r="J5" s="14"/>
      <c r="K5" s="14">
        <f t="shared" ref="K5:K68" si="0">SUM(F5:J5)</f>
        <v>0</v>
      </c>
      <c r="L5" s="16">
        <f t="shared" ref="L5:L68" si="1">(C5+E5)-K5</f>
        <v>18</v>
      </c>
      <c r="M5" s="22">
        <v>44531</v>
      </c>
      <c r="N5" s="23" t="s">
        <v>16</v>
      </c>
      <c r="O5" s="24" t="s">
        <v>17</v>
      </c>
      <c r="P5" s="23" t="s">
        <v>18</v>
      </c>
    </row>
    <row r="6" spans="1:16">
      <c r="A6" s="14">
        <v>2</v>
      </c>
      <c r="B6" s="15" t="s">
        <v>19</v>
      </c>
      <c r="C6" s="16">
        <f>'Медикаменты Январь'!L6</f>
        <v>16</v>
      </c>
      <c r="D6" s="17"/>
      <c r="E6" s="14"/>
      <c r="F6" s="18"/>
      <c r="G6" s="19"/>
      <c r="H6" s="20"/>
      <c r="I6" s="21"/>
      <c r="J6" s="14"/>
      <c r="K6" s="14">
        <f t="shared" si="0"/>
        <v>0</v>
      </c>
      <c r="L6" s="16">
        <f t="shared" si="1"/>
        <v>16</v>
      </c>
      <c r="M6" s="22">
        <v>44593</v>
      </c>
      <c r="N6" s="23" t="s">
        <v>16</v>
      </c>
      <c r="O6" s="24" t="s">
        <v>17</v>
      </c>
      <c r="P6" s="23" t="s">
        <v>20</v>
      </c>
    </row>
    <row r="7" spans="1:16">
      <c r="A7" s="14">
        <v>3</v>
      </c>
      <c r="B7" s="15" t="s">
        <v>21</v>
      </c>
      <c r="C7" s="16">
        <f>'Медикаменты Январь'!L7</f>
        <v>309</v>
      </c>
      <c r="D7" s="17"/>
      <c r="E7" s="14"/>
      <c r="F7" s="18">
        <f>3</f>
        <v>3</v>
      </c>
      <c r="G7" s="19"/>
      <c r="H7" s="20"/>
      <c r="I7" s="21"/>
      <c r="J7" s="14"/>
      <c r="K7" s="14">
        <f t="shared" si="0"/>
        <v>3</v>
      </c>
      <c r="L7" s="16">
        <f t="shared" si="1"/>
        <v>306</v>
      </c>
      <c r="M7" s="22">
        <v>45566</v>
      </c>
      <c r="N7" s="23" t="s">
        <v>16</v>
      </c>
      <c r="O7" s="24" t="s">
        <v>17</v>
      </c>
      <c r="P7" s="23" t="s">
        <v>22</v>
      </c>
    </row>
    <row r="8" spans="1:16">
      <c r="A8" s="14">
        <v>4</v>
      </c>
      <c r="B8" s="15" t="s">
        <v>23</v>
      </c>
      <c r="C8" s="16">
        <f>'Медикаменты Январь'!L8</f>
        <v>0</v>
      </c>
      <c r="D8" s="17"/>
      <c r="E8" s="14"/>
      <c r="F8" s="18"/>
      <c r="G8" s="19"/>
      <c r="H8" s="20"/>
      <c r="I8" s="21"/>
      <c r="J8" s="14"/>
      <c r="K8" s="14">
        <f t="shared" si="0"/>
        <v>0</v>
      </c>
      <c r="L8" s="16">
        <f t="shared" si="1"/>
        <v>0</v>
      </c>
      <c r="M8" s="22"/>
      <c r="N8" s="23" t="s">
        <v>16</v>
      </c>
      <c r="O8" s="24"/>
      <c r="P8" s="23"/>
    </row>
    <row r="9" spans="1:16">
      <c r="A9" s="14">
        <v>5</v>
      </c>
      <c r="B9" s="15" t="s">
        <v>24</v>
      </c>
      <c r="C9" s="16">
        <f>'Медикаменты Январь'!L9</f>
        <v>31</v>
      </c>
      <c r="D9" s="17"/>
      <c r="E9" s="14"/>
      <c r="F9" s="18">
        <f>10</f>
        <v>10</v>
      </c>
      <c r="G9" s="19"/>
      <c r="H9" s="20"/>
      <c r="I9" s="21"/>
      <c r="J9" s="14"/>
      <c r="K9" s="14">
        <f t="shared" si="0"/>
        <v>10</v>
      </c>
      <c r="L9" s="16">
        <f t="shared" si="1"/>
        <v>21</v>
      </c>
      <c r="M9" s="22">
        <v>44866</v>
      </c>
      <c r="N9" s="23" t="s">
        <v>16</v>
      </c>
      <c r="O9" s="24" t="s">
        <v>17</v>
      </c>
      <c r="P9" s="23" t="s">
        <v>25</v>
      </c>
    </row>
    <row r="10" spans="1:16">
      <c r="A10" s="14">
        <v>6</v>
      </c>
      <c r="B10" s="15" t="s">
        <v>24</v>
      </c>
      <c r="C10" s="16">
        <f>'Медикаменты Январь'!L10</f>
        <v>0</v>
      </c>
      <c r="D10" s="17"/>
      <c r="E10" s="14"/>
      <c r="F10" s="18"/>
      <c r="G10" s="19"/>
      <c r="H10" s="20"/>
      <c r="I10" s="21"/>
      <c r="J10" s="14"/>
      <c r="K10" s="14">
        <f t="shared" si="0"/>
        <v>0</v>
      </c>
      <c r="L10" s="16">
        <f t="shared" si="1"/>
        <v>0</v>
      </c>
      <c r="M10" s="22"/>
      <c r="N10" s="23" t="s">
        <v>26</v>
      </c>
      <c r="O10" s="24"/>
      <c r="P10" s="25"/>
    </row>
    <row r="11" spans="1:16">
      <c r="A11" s="14">
        <v>7</v>
      </c>
      <c r="B11" s="15" t="s">
        <v>27</v>
      </c>
      <c r="C11" s="16">
        <f>'Медикаменты Январь'!L11</f>
        <v>521</v>
      </c>
      <c r="D11" s="17"/>
      <c r="E11" s="14"/>
      <c r="F11" s="18">
        <f>10</f>
        <v>10</v>
      </c>
      <c r="G11" s="19"/>
      <c r="H11" s="20"/>
      <c r="I11" s="21"/>
      <c r="J11" s="14"/>
      <c r="K11" s="14">
        <f t="shared" si="0"/>
        <v>10</v>
      </c>
      <c r="L11" s="16">
        <f t="shared" si="1"/>
        <v>511</v>
      </c>
      <c r="M11" s="22">
        <v>44805</v>
      </c>
      <c r="N11" s="23" t="s">
        <v>16</v>
      </c>
      <c r="O11" s="24" t="s">
        <v>17</v>
      </c>
      <c r="P11" s="23" t="s">
        <v>28</v>
      </c>
    </row>
    <row r="12" spans="1:16">
      <c r="A12" s="14">
        <v>8</v>
      </c>
      <c r="B12" s="15" t="s">
        <v>27</v>
      </c>
      <c r="C12" s="16">
        <f>'Медикаменты Январь'!L12</f>
        <v>0</v>
      </c>
      <c r="D12" s="17"/>
      <c r="E12" s="14"/>
      <c r="F12" s="18"/>
      <c r="G12" s="19"/>
      <c r="H12" s="20"/>
      <c r="I12" s="21"/>
      <c r="J12" s="14"/>
      <c r="K12" s="14">
        <f t="shared" si="0"/>
        <v>0</v>
      </c>
      <c r="L12" s="16">
        <f t="shared" si="1"/>
        <v>0</v>
      </c>
      <c r="M12" s="22"/>
      <c r="N12" s="23" t="s">
        <v>26</v>
      </c>
      <c r="O12" s="24"/>
      <c r="P12" s="25"/>
    </row>
    <row r="13" spans="1:16">
      <c r="A13" s="14">
        <v>9</v>
      </c>
      <c r="B13" s="15" t="s">
        <v>29</v>
      </c>
      <c r="C13" s="16">
        <f>'Медикаменты Январь'!L13</f>
        <v>42</v>
      </c>
      <c r="D13" s="17"/>
      <c r="E13" s="14"/>
      <c r="F13" s="18">
        <f>10</f>
        <v>10</v>
      </c>
      <c r="G13" s="19"/>
      <c r="H13" s="20"/>
      <c r="I13" s="21"/>
      <c r="J13" s="14"/>
      <c r="K13" s="14">
        <f t="shared" si="0"/>
        <v>10</v>
      </c>
      <c r="L13" s="16">
        <f t="shared" si="1"/>
        <v>32</v>
      </c>
      <c r="M13" s="22">
        <v>44835</v>
      </c>
      <c r="N13" s="23" t="s">
        <v>16</v>
      </c>
      <c r="O13" s="24" t="s">
        <v>17</v>
      </c>
      <c r="P13" s="23" t="s">
        <v>30</v>
      </c>
    </row>
    <row r="14" spans="1:16">
      <c r="A14" s="14">
        <v>10</v>
      </c>
      <c r="B14" s="15" t="s">
        <v>31</v>
      </c>
      <c r="C14" s="16">
        <f>'Медикаменты Январь'!L14</f>
        <v>171</v>
      </c>
      <c r="D14" s="26"/>
      <c r="E14" s="14"/>
      <c r="F14" s="18">
        <f>20</f>
        <v>20</v>
      </c>
      <c r="G14" s="19"/>
      <c r="H14" s="20"/>
      <c r="I14" s="21"/>
      <c r="J14" s="14"/>
      <c r="K14" s="14">
        <f t="shared" si="0"/>
        <v>20</v>
      </c>
      <c r="L14" s="16">
        <f t="shared" si="1"/>
        <v>151</v>
      </c>
      <c r="M14" s="22">
        <v>44621</v>
      </c>
      <c r="N14" s="23" t="s">
        <v>16</v>
      </c>
      <c r="O14" s="24" t="s">
        <v>17</v>
      </c>
      <c r="P14" s="23" t="s">
        <v>32</v>
      </c>
    </row>
    <row r="15" spans="1:16">
      <c r="A15" s="14">
        <v>11</v>
      </c>
      <c r="B15" s="15" t="s">
        <v>31</v>
      </c>
      <c r="C15" s="16">
        <f>'Медикаменты Январь'!L15</f>
        <v>0</v>
      </c>
      <c r="D15" s="17"/>
      <c r="E15" s="14"/>
      <c r="F15" s="18"/>
      <c r="G15" s="19"/>
      <c r="H15" s="20"/>
      <c r="I15" s="21"/>
      <c r="J15" s="14"/>
      <c r="K15" s="14">
        <f t="shared" si="0"/>
        <v>0</v>
      </c>
      <c r="L15" s="16">
        <f t="shared" si="1"/>
        <v>0</v>
      </c>
      <c r="M15" s="22"/>
      <c r="N15" s="23" t="s">
        <v>26</v>
      </c>
      <c r="O15" s="24"/>
      <c r="P15" s="25"/>
    </row>
    <row r="16" spans="1:16" ht="25.5">
      <c r="A16" s="14">
        <v>12</v>
      </c>
      <c r="B16" s="15" t="s">
        <v>33</v>
      </c>
      <c r="C16" s="16">
        <f>'Медикаменты Январь'!L16</f>
        <v>3</v>
      </c>
      <c r="D16" s="17"/>
      <c r="E16" s="14"/>
      <c r="F16" s="18"/>
      <c r="G16" s="19"/>
      <c r="H16" s="20"/>
      <c r="I16" s="21"/>
      <c r="J16" s="14"/>
      <c r="K16" s="14">
        <f t="shared" si="0"/>
        <v>0</v>
      </c>
      <c r="L16" s="16">
        <f t="shared" si="1"/>
        <v>3</v>
      </c>
      <c r="M16" s="22">
        <v>44501</v>
      </c>
      <c r="N16" s="23" t="s">
        <v>16</v>
      </c>
      <c r="O16" s="24" t="s">
        <v>17</v>
      </c>
      <c r="P16" s="23" t="s">
        <v>34</v>
      </c>
    </row>
    <row r="17" spans="1:16">
      <c r="A17" s="14">
        <v>13</v>
      </c>
      <c r="B17" s="15" t="s">
        <v>35</v>
      </c>
      <c r="C17" s="16">
        <f>'Медикаменты Январь'!L17</f>
        <v>50</v>
      </c>
      <c r="D17" s="17"/>
      <c r="E17" s="14"/>
      <c r="F17" s="18"/>
      <c r="G17" s="19"/>
      <c r="H17" s="20"/>
      <c r="I17" s="21"/>
      <c r="J17" s="14"/>
      <c r="K17" s="14">
        <f t="shared" si="0"/>
        <v>0</v>
      </c>
      <c r="L17" s="16">
        <f t="shared" si="1"/>
        <v>50</v>
      </c>
      <c r="M17" s="22">
        <v>44228</v>
      </c>
      <c r="N17" s="23" t="s">
        <v>16</v>
      </c>
      <c r="O17" s="24" t="s">
        <v>17</v>
      </c>
      <c r="P17" s="23" t="s">
        <v>36</v>
      </c>
    </row>
    <row r="18" spans="1:16">
      <c r="A18" s="14">
        <v>14</v>
      </c>
      <c r="B18" s="15" t="s">
        <v>37</v>
      </c>
      <c r="C18" s="16">
        <f>'Медикаменты Январь'!L18</f>
        <v>137</v>
      </c>
      <c r="D18" s="17"/>
      <c r="E18" s="14"/>
      <c r="F18" s="18"/>
      <c r="G18" s="19"/>
      <c r="H18" s="20"/>
      <c r="I18" s="21"/>
      <c r="J18" s="14"/>
      <c r="K18" s="14">
        <f t="shared" si="0"/>
        <v>0</v>
      </c>
      <c r="L18" s="16">
        <f t="shared" si="1"/>
        <v>137</v>
      </c>
      <c r="M18" s="22">
        <v>44348</v>
      </c>
      <c r="N18" s="23" t="s">
        <v>16</v>
      </c>
      <c r="O18" s="24" t="s">
        <v>17</v>
      </c>
      <c r="P18" s="23" t="s">
        <v>38</v>
      </c>
    </row>
    <row r="19" spans="1:16">
      <c r="A19" s="14">
        <v>15</v>
      </c>
      <c r="B19" s="15" t="s">
        <v>39</v>
      </c>
      <c r="C19" s="16">
        <f>'Медикаменты Январь'!L19</f>
        <v>6</v>
      </c>
      <c r="D19" s="17"/>
      <c r="E19" s="14"/>
      <c r="F19" s="18"/>
      <c r="G19" s="19"/>
      <c r="H19" s="20"/>
      <c r="I19" s="21"/>
      <c r="J19" s="14"/>
      <c r="K19" s="14">
        <f t="shared" si="0"/>
        <v>0</v>
      </c>
      <c r="L19" s="16">
        <f t="shared" si="1"/>
        <v>6</v>
      </c>
      <c r="M19" s="22">
        <v>44409</v>
      </c>
      <c r="N19" s="23" t="s">
        <v>16</v>
      </c>
      <c r="O19" s="24" t="s">
        <v>17</v>
      </c>
      <c r="P19" s="23" t="s">
        <v>40</v>
      </c>
    </row>
    <row r="20" spans="1:16" ht="25.5">
      <c r="A20" s="14">
        <v>16</v>
      </c>
      <c r="B20" s="15" t="s">
        <v>41</v>
      </c>
      <c r="C20" s="16">
        <f>'Медикаменты Январь'!L20</f>
        <v>25</v>
      </c>
      <c r="D20" s="17"/>
      <c r="E20" s="14"/>
      <c r="F20" s="18"/>
      <c r="G20" s="19"/>
      <c r="H20" s="20"/>
      <c r="I20" s="21"/>
      <c r="J20" s="14"/>
      <c r="K20" s="14">
        <f t="shared" si="0"/>
        <v>0</v>
      </c>
      <c r="L20" s="16">
        <f t="shared" si="1"/>
        <v>25</v>
      </c>
      <c r="M20" s="22">
        <v>44743</v>
      </c>
      <c r="N20" s="23" t="s">
        <v>16</v>
      </c>
      <c r="O20" s="24" t="s">
        <v>17</v>
      </c>
      <c r="P20" s="23" t="s">
        <v>42</v>
      </c>
    </row>
    <row r="21" spans="1:16">
      <c r="A21" s="14">
        <v>17</v>
      </c>
      <c r="B21" s="15" t="s">
        <v>43</v>
      </c>
      <c r="C21" s="16">
        <f>'Медикаменты Январь'!L21</f>
        <v>0</v>
      </c>
      <c r="D21" s="17"/>
      <c r="E21" s="14"/>
      <c r="F21" s="18"/>
      <c r="G21" s="19"/>
      <c r="H21" s="20"/>
      <c r="I21" s="21"/>
      <c r="J21" s="14"/>
      <c r="K21" s="14">
        <f t="shared" si="0"/>
        <v>0</v>
      </c>
      <c r="L21" s="16">
        <f t="shared" si="1"/>
        <v>0</v>
      </c>
      <c r="M21" s="22"/>
      <c r="N21" s="23" t="s">
        <v>16</v>
      </c>
      <c r="O21" s="24"/>
      <c r="P21" s="25"/>
    </row>
    <row r="22" spans="1:16">
      <c r="A22" s="14">
        <v>18</v>
      </c>
      <c r="B22" s="15" t="s">
        <v>44</v>
      </c>
      <c r="C22" s="16">
        <f>'Медикаменты Январь'!L22</f>
        <v>4</v>
      </c>
      <c r="D22" s="17"/>
      <c r="E22" s="14"/>
      <c r="F22" s="18"/>
      <c r="G22" s="19"/>
      <c r="H22" s="20"/>
      <c r="I22" s="21"/>
      <c r="J22" s="14"/>
      <c r="K22" s="14">
        <f t="shared" si="0"/>
        <v>0</v>
      </c>
      <c r="L22" s="16">
        <f t="shared" si="1"/>
        <v>4</v>
      </c>
      <c r="M22" s="22">
        <v>44621</v>
      </c>
      <c r="N22" s="23" t="s">
        <v>16</v>
      </c>
      <c r="O22" s="24" t="s">
        <v>45</v>
      </c>
      <c r="P22" s="23" t="s">
        <v>46</v>
      </c>
    </row>
    <row r="23" spans="1:16">
      <c r="A23" s="14">
        <v>19</v>
      </c>
      <c r="B23" s="15" t="s">
        <v>44</v>
      </c>
      <c r="C23" s="16">
        <f>'Медикаменты Январь'!L23</f>
        <v>0</v>
      </c>
      <c r="D23" s="17"/>
      <c r="E23" s="14"/>
      <c r="F23" s="18"/>
      <c r="G23" s="19"/>
      <c r="H23" s="20"/>
      <c r="I23" s="21"/>
      <c r="J23" s="14"/>
      <c r="K23" s="14">
        <f t="shared" si="0"/>
        <v>0</v>
      </c>
      <c r="L23" s="16">
        <f t="shared" si="1"/>
        <v>0</v>
      </c>
      <c r="M23" s="22">
        <v>44621</v>
      </c>
      <c r="N23" s="23" t="s">
        <v>26</v>
      </c>
      <c r="O23" s="24"/>
      <c r="P23" s="23" t="s">
        <v>46</v>
      </c>
    </row>
    <row r="24" spans="1:16">
      <c r="A24" s="14">
        <v>20</v>
      </c>
      <c r="B24" s="15" t="s">
        <v>47</v>
      </c>
      <c r="C24" s="16">
        <f>'Медикаменты Январь'!L24</f>
        <v>181</v>
      </c>
      <c r="D24" s="17"/>
      <c r="E24" s="14"/>
      <c r="F24" s="18"/>
      <c r="G24" s="19"/>
      <c r="H24" s="20"/>
      <c r="I24" s="21"/>
      <c r="J24" s="14">
        <f>2</f>
        <v>2</v>
      </c>
      <c r="K24" s="14">
        <f t="shared" si="0"/>
        <v>2</v>
      </c>
      <c r="L24" s="16">
        <f t="shared" si="1"/>
        <v>179</v>
      </c>
      <c r="M24" s="22">
        <v>44348</v>
      </c>
      <c r="N24" s="23" t="s">
        <v>16</v>
      </c>
      <c r="O24" s="24" t="s">
        <v>45</v>
      </c>
      <c r="P24" s="23" t="s">
        <v>48</v>
      </c>
    </row>
    <row r="25" spans="1:16">
      <c r="A25" s="14">
        <v>21</v>
      </c>
      <c r="B25" s="15" t="s">
        <v>49</v>
      </c>
      <c r="C25" s="16">
        <f>'Медикаменты Январь'!L25</f>
        <v>0</v>
      </c>
      <c r="D25" s="17"/>
      <c r="E25" s="14"/>
      <c r="F25" s="18"/>
      <c r="G25" s="19"/>
      <c r="H25" s="20"/>
      <c r="I25" s="21"/>
      <c r="J25" s="14"/>
      <c r="K25" s="14">
        <f t="shared" si="0"/>
        <v>0</v>
      </c>
      <c r="L25" s="16">
        <f t="shared" si="1"/>
        <v>0</v>
      </c>
      <c r="M25" s="22">
        <v>44652</v>
      </c>
      <c r="N25" s="23" t="s">
        <v>16</v>
      </c>
      <c r="O25" s="24"/>
      <c r="P25" s="23" t="s">
        <v>50</v>
      </c>
    </row>
    <row r="26" spans="1:16">
      <c r="A26" s="14">
        <v>22</v>
      </c>
      <c r="B26" s="15" t="s">
        <v>51</v>
      </c>
      <c r="C26" s="16">
        <f>'Медикаменты Январь'!L26</f>
        <v>25</v>
      </c>
      <c r="D26" s="17"/>
      <c r="E26" s="14"/>
      <c r="F26" s="18">
        <f>3</f>
        <v>3</v>
      </c>
      <c r="G26" s="19"/>
      <c r="H26" s="20"/>
      <c r="I26" s="21"/>
      <c r="J26" s="14"/>
      <c r="K26" s="14">
        <f t="shared" si="0"/>
        <v>3</v>
      </c>
      <c r="L26" s="16">
        <f t="shared" si="1"/>
        <v>22</v>
      </c>
      <c r="M26" s="22">
        <v>44317</v>
      </c>
      <c r="N26" s="23" t="s">
        <v>16</v>
      </c>
      <c r="O26" s="24" t="s">
        <v>17</v>
      </c>
      <c r="P26" s="23" t="s">
        <v>52</v>
      </c>
    </row>
    <row r="27" spans="1:16">
      <c r="A27" s="14">
        <v>23</v>
      </c>
      <c r="B27" s="15" t="s">
        <v>53</v>
      </c>
      <c r="C27" s="16">
        <f>'Медикаменты Январь'!L27</f>
        <v>0</v>
      </c>
      <c r="D27" s="17"/>
      <c r="E27" s="14"/>
      <c r="F27" s="18"/>
      <c r="G27" s="19"/>
      <c r="H27" s="20"/>
      <c r="I27" s="21"/>
      <c r="J27" s="14"/>
      <c r="K27" s="14">
        <f t="shared" si="0"/>
        <v>0</v>
      </c>
      <c r="L27" s="16">
        <f t="shared" si="1"/>
        <v>0</v>
      </c>
      <c r="M27" s="22"/>
      <c r="N27" s="23" t="s">
        <v>16</v>
      </c>
      <c r="O27" s="24"/>
      <c r="P27" s="25"/>
    </row>
    <row r="28" spans="1:16">
      <c r="A28" s="14">
        <v>24</v>
      </c>
      <c r="B28" s="15" t="s">
        <v>54</v>
      </c>
      <c r="C28" s="16">
        <f>'Медикаменты Январь'!L28</f>
        <v>0</v>
      </c>
      <c r="D28" s="17"/>
      <c r="E28" s="14"/>
      <c r="F28" s="18"/>
      <c r="G28" s="19"/>
      <c r="H28" s="20"/>
      <c r="I28" s="21"/>
      <c r="J28" s="14"/>
      <c r="K28" s="14">
        <f t="shared" si="0"/>
        <v>0</v>
      </c>
      <c r="L28" s="16">
        <f t="shared" si="1"/>
        <v>0</v>
      </c>
      <c r="M28" s="22"/>
      <c r="N28" s="23" t="s">
        <v>16</v>
      </c>
      <c r="O28" s="24"/>
      <c r="P28" s="25"/>
    </row>
    <row r="29" spans="1:16">
      <c r="A29" s="14">
        <v>25</v>
      </c>
      <c r="B29" s="15" t="s">
        <v>55</v>
      </c>
      <c r="C29" s="16">
        <f>'Медикаменты Январь'!L29</f>
        <v>0</v>
      </c>
      <c r="D29" s="17"/>
      <c r="E29" s="14"/>
      <c r="F29" s="18"/>
      <c r="G29" s="19"/>
      <c r="H29" s="20"/>
      <c r="I29" s="21"/>
      <c r="J29" s="14"/>
      <c r="K29" s="14">
        <f t="shared" si="0"/>
        <v>0</v>
      </c>
      <c r="L29" s="16">
        <f t="shared" si="1"/>
        <v>0</v>
      </c>
      <c r="M29" s="22"/>
      <c r="N29" s="23" t="s">
        <v>16</v>
      </c>
      <c r="O29" s="24"/>
      <c r="P29" s="25"/>
    </row>
    <row r="30" spans="1:16">
      <c r="A30" s="14">
        <v>26</v>
      </c>
      <c r="B30" s="15" t="s">
        <v>56</v>
      </c>
      <c r="C30" s="16">
        <f>'Медикаменты Январь'!L30</f>
        <v>0</v>
      </c>
      <c r="D30" s="17"/>
      <c r="E30" s="14"/>
      <c r="F30" s="18"/>
      <c r="G30" s="19"/>
      <c r="H30" s="20"/>
      <c r="I30" s="21"/>
      <c r="J30" s="14"/>
      <c r="K30" s="14">
        <f t="shared" si="0"/>
        <v>0</v>
      </c>
      <c r="L30" s="16">
        <f t="shared" si="1"/>
        <v>0</v>
      </c>
      <c r="M30" s="22">
        <v>44743</v>
      </c>
      <c r="N30" s="23" t="s">
        <v>16</v>
      </c>
      <c r="O30" s="24"/>
      <c r="P30" s="25"/>
    </row>
    <row r="31" spans="1:16">
      <c r="A31" s="14">
        <v>27</v>
      </c>
      <c r="B31" s="15" t="s">
        <v>57</v>
      </c>
      <c r="C31" s="16">
        <f>'Медикаменты Январь'!L31</f>
        <v>0</v>
      </c>
      <c r="D31" s="17"/>
      <c r="E31" s="14"/>
      <c r="F31" s="18"/>
      <c r="G31" s="19"/>
      <c r="H31" s="20"/>
      <c r="I31" s="21"/>
      <c r="J31" s="14"/>
      <c r="K31" s="14">
        <f t="shared" si="0"/>
        <v>0</v>
      </c>
      <c r="L31" s="16">
        <f t="shared" si="1"/>
        <v>0</v>
      </c>
      <c r="M31" s="22">
        <v>44958</v>
      </c>
      <c r="N31" s="23" t="s">
        <v>16</v>
      </c>
      <c r="O31" s="24"/>
      <c r="P31" s="23" t="s">
        <v>58</v>
      </c>
    </row>
    <row r="32" spans="1:16" ht="25.5">
      <c r="A32" s="14">
        <v>28</v>
      </c>
      <c r="B32" s="15" t="s">
        <v>59</v>
      </c>
      <c r="C32" s="16">
        <f>'Медикаменты Январь'!L32</f>
        <v>0</v>
      </c>
      <c r="D32" s="17"/>
      <c r="E32" s="14"/>
      <c r="F32" s="18"/>
      <c r="G32" s="19"/>
      <c r="H32" s="20"/>
      <c r="I32" s="21"/>
      <c r="J32" s="14"/>
      <c r="K32" s="14">
        <f t="shared" si="0"/>
        <v>0</v>
      </c>
      <c r="L32" s="16">
        <f t="shared" si="1"/>
        <v>0</v>
      </c>
      <c r="M32" s="22">
        <v>44044</v>
      </c>
      <c r="N32" s="23" t="s">
        <v>16</v>
      </c>
      <c r="O32" s="24"/>
      <c r="P32" s="23" t="s">
        <v>60</v>
      </c>
    </row>
    <row r="33" spans="1:16">
      <c r="A33" s="14">
        <v>29</v>
      </c>
      <c r="B33" s="15" t="s">
        <v>61</v>
      </c>
      <c r="C33" s="16">
        <f>'Медикаменты Январь'!L33</f>
        <v>0</v>
      </c>
      <c r="D33" s="17"/>
      <c r="E33" s="14"/>
      <c r="F33" s="18"/>
      <c r="G33" s="19"/>
      <c r="H33" s="20"/>
      <c r="I33" s="21"/>
      <c r="J33" s="14"/>
      <c r="K33" s="14">
        <f t="shared" si="0"/>
        <v>0</v>
      </c>
      <c r="L33" s="16">
        <f t="shared" si="1"/>
        <v>0</v>
      </c>
      <c r="M33" s="22">
        <v>44713</v>
      </c>
      <c r="N33" s="23" t="s">
        <v>16</v>
      </c>
      <c r="O33" s="24"/>
      <c r="P33" s="23" t="s">
        <v>62</v>
      </c>
    </row>
    <row r="34" spans="1:16">
      <c r="A34" s="14">
        <v>30</v>
      </c>
      <c r="B34" s="15" t="s">
        <v>63</v>
      </c>
      <c r="C34" s="16">
        <f>'Медикаменты Январь'!L34</f>
        <v>0</v>
      </c>
      <c r="D34" s="17"/>
      <c r="E34" s="14"/>
      <c r="F34" s="18"/>
      <c r="G34" s="19"/>
      <c r="H34" s="20"/>
      <c r="I34" s="21"/>
      <c r="J34" s="14"/>
      <c r="K34" s="14">
        <f t="shared" si="0"/>
        <v>0</v>
      </c>
      <c r="L34" s="16">
        <f t="shared" si="1"/>
        <v>0</v>
      </c>
      <c r="M34" s="22"/>
      <c r="N34" s="23" t="s">
        <v>16</v>
      </c>
      <c r="O34" s="24"/>
      <c r="P34" s="25"/>
    </row>
    <row r="35" spans="1:16">
      <c r="A35" s="14">
        <v>31</v>
      </c>
      <c r="B35" s="15" t="s">
        <v>64</v>
      </c>
      <c r="C35" s="16">
        <f>'Медикаменты Январь'!L35</f>
        <v>0</v>
      </c>
      <c r="D35" s="17"/>
      <c r="E35" s="14"/>
      <c r="F35" s="18"/>
      <c r="G35" s="19"/>
      <c r="H35" s="20"/>
      <c r="I35" s="21"/>
      <c r="J35" s="14"/>
      <c r="K35" s="14">
        <f t="shared" si="0"/>
        <v>0</v>
      </c>
      <c r="L35" s="16">
        <f t="shared" si="1"/>
        <v>0</v>
      </c>
      <c r="M35" s="22"/>
      <c r="N35" s="23" t="s">
        <v>16</v>
      </c>
      <c r="O35" s="24"/>
      <c r="P35" s="25"/>
    </row>
    <row r="36" spans="1:16">
      <c r="A36" s="14">
        <v>32</v>
      </c>
      <c r="B36" s="15" t="s">
        <v>65</v>
      </c>
      <c r="C36" s="16">
        <f>'Медикаменты Январь'!L36</f>
        <v>86</v>
      </c>
      <c r="D36" s="17"/>
      <c r="E36" s="14"/>
      <c r="F36" s="18"/>
      <c r="G36" s="19"/>
      <c r="H36" s="20"/>
      <c r="I36" s="21"/>
      <c r="J36" s="14"/>
      <c r="K36" s="14">
        <f t="shared" si="0"/>
        <v>0</v>
      </c>
      <c r="L36" s="16">
        <f t="shared" si="1"/>
        <v>86</v>
      </c>
      <c r="M36" s="22">
        <v>45261</v>
      </c>
      <c r="N36" s="23" t="s">
        <v>16</v>
      </c>
      <c r="O36" s="24" t="s">
        <v>17</v>
      </c>
      <c r="P36" s="23" t="s">
        <v>66</v>
      </c>
    </row>
    <row r="37" spans="1:16">
      <c r="A37" s="14">
        <v>33</v>
      </c>
      <c r="B37" s="15" t="s">
        <v>67</v>
      </c>
      <c r="C37" s="16">
        <f>'Медикаменты Январь'!L37</f>
        <v>0</v>
      </c>
      <c r="D37" s="17"/>
      <c r="E37" s="14"/>
      <c r="F37" s="18"/>
      <c r="G37" s="19"/>
      <c r="H37" s="20"/>
      <c r="I37" s="21"/>
      <c r="J37" s="14"/>
      <c r="K37" s="14">
        <f t="shared" si="0"/>
        <v>0</v>
      </c>
      <c r="L37" s="16">
        <f t="shared" si="1"/>
        <v>0</v>
      </c>
      <c r="M37" s="22">
        <v>44013</v>
      </c>
      <c r="N37" s="23" t="s">
        <v>16</v>
      </c>
      <c r="O37" s="24"/>
      <c r="P37" s="27" t="s">
        <v>68</v>
      </c>
    </row>
    <row r="38" spans="1:16">
      <c r="A38" s="14">
        <v>34</v>
      </c>
      <c r="B38" s="15" t="s">
        <v>69</v>
      </c>
      <c r="C38" s="16">
        <f>'Медикаменты Январь'!L38</f>
        <v>28</v>
      </c>
      <c r="D38" s="17"/>
      <c r="E38" s="14"/>
      <c r="F38" s="18"/>
      <c r="G38" s="19"/>
      <c r="H38" s="20"/>
      <c r="I38" s="21"/>
      <c r="J38" s="14">
        <f>1</f>
        <v>1</v>
      </c>
      <c r="K38" s="14">
        <f t="shared" si="0"/>
        <v>1</v>
      </c>
      <c r="L38" s="16">
        <f t="shared" si="1"/>
        <v>27</v>
      </c>
      <c r="M38" s="22">
        <v>45383</v>
      </c>
      <c r="N38" s="23" t="s">
        <v>16</v>
      </c>
      <c r="O38" s="24" t="s">
        <v>17</v>
      </c>
      <c r="P38" s="23" t="s">
        <v>70</v>
      </c>
    </row>
    <row r="39" spans="1:16">
      <c r="A39" s="14">
        <v>35</v>
      </c>
      <c r="B39" s="15" t="s">
        <v>71</v>
      </c>
      <c r="C39" s="16">
        <f>'Медикаменты Январь'!L39</f>
        <v>0</v>
      </c>
      <c r="D39" s="17"/>
      <c r="E39" s="14"/>
      <c r="F39" s="18"/>
      <c r="G39" s="19"/>
      <c r="H39" s="20"/>
      <c r="I39" s="21"/>
      <c r="J39" s="14"/>
      <c r="K39" s="14">
        <f t="shared" si="0"/>
        <v>0</v>
      </c>
      <c r="L39" s="16">
        <f t="shared" si="1"/>
        <v>0</v>
      </c>
      <c r="M39" s="22"/>
      <c r="N39" s="23" t="s">
        <v>16</v>
      </c>
      <c r="O39" s="24"/>
      <c r="P39" s="25"/>
    </row>
    <row r="40" spans="1:16">
      <c r="A40" s="14">
        <v>36</v>
      </c>
      <c r="B40" s="15" t="s">
        <v>72</v>
      </c>
      <c r="C40" s="16">
        <f>'Медикаменты Январь'!L40</f>
        <v>25</v>
      </c>
      <c r="D40" s="17"/>
      <c r="E40" s="14"/>
      <c r="F40" s="18"/>
      <c r="G40" s="19"/>
      <c r="H40" s="20"/>
      <c r="I40" s="21"/>
      <c r="J40" s="14"/>
      <c r="K40" s="14">
        <f t="shared" si="0"/>
        <v>0</v>
      </c>
      <c r="L40" s="16">
        <f t="shared" si="1"/>
        <v>25</v>
      </c>
      <c r="M40" s="22">
        <v>44652</v>
      </c>
      <c r="N40" s="23" t="s">
        <v>16</v>
      </c>
      <c r="O40" s="24" t="s">
        <v>17</v>
      </c>
      <c r="P40" s="23" t="s">
        <v>73</v>
      </c>
    </row>
    <row r="41" spans="1:16">
      <c r="A41" s="14">
        <v>37</v>
      </c>
      <c r="B41" s="15" t="s">
        <v>74</v>
      </c>
      <c r="C41" s="16">
        <f>'Медикаменты Январь'!L41</f>
        <v>18</v>
      </c>
      <c r="D41" s="17"/>
      <c r="E41" s="14"/>
      <c r="F41" s="18"/>
      <c r="G41" s="19"/>
      <c r="H41" s="20"/>
      <c r="I41" s="21"/>
      <c r="J41" s="14"/>
      <c r="K41" s="14">
        <f t="shared" si="0"/>
        <v>0</v>
      </c>
      <c r="L41" s="16">
        <f t="shared" si="1"/>
        <v>18</v>
      </c>
      <c r="M41" s="22">
        <v>45108</v>
      </c>
      <c r="N41" s="23" t="s">
        <v>16</v>
      </c>
      <c r="O41" s="24" t="s">
        <v>17</v>
      </c>
      <c r="P41" s="23" t="s">
        <v>75</v>
      </c>
    </row>
    <row r="42" spans="1:16">
      <c r="A42" s="14">
        <v>38</v>
      </c>
      <c r="B42" s="15" t="s">
        <v>76</v>
      </c>
      <c r="C42" s="16">
        <f>'Медикаменты Январь'!L42</f>
        <v>0</v>
      </c>
      <c r="D42" s="17"/>
      <c r="E42" s="14"/>
      <c r="F42" s="18"/>
      <c r="G42" s="19"/>
      <c r="H42" s="20"/>
      <c r="I42" s="21"/>
      <c r="J42" s="14"/>
      <c r="K42" s="14">
        <f t="shared" si="0"/>
        <v>0</v>
      </c>
      <c r="L42" s="16">
        <f t="shared" si="1"/>
        <v>0</v>
      </c>
      <c r="M42" s="22"/>
      <c r="N42" s="23" t="s">
        <v>16</v>
      </c>
      <c r="O42" s="24"/>
      <c r="P42" s="25"/>
    </row>
    <row r="43" spans="1:16">
      <c r="A43" s="14">
        <v>39</v>
      </c>
      <c r="B43" s="15" t="s">
        <v>77</v>
      </c>
      <c r="C43" s="16">
        <f>'Медикаменты Январь'!L43</f>
        <v>0</v>
      </c>
      <c r="D43" s="17"/>
      <c r="E43" s="14"/>
      <c r="F43" s="18"/>
      <c r="G43" s="19"/>
      <c r="H43" s="20"/>
      <c r="I43" s="21"/>
      <c r="J43" s="14"/>
      <c r="K43" s="14">
        <f t="shared" si="0"/>
        <v>0</v>
      </c>
      <c r="L43" s="16">
        <f t="shared" si="1"/>
        <v>0</v>
      </c>
      <c r="M43" s="22"/>
      <c r="N43" s="23" t="s">
        <v>16</v>
      </c>
      <c r="O43" s="24"/>
      <c r="P43" s="25"/>
    </row>
    <row r="44" spans="1:16">
      <c r="A44" s="14">
        <v>40</v>
      </c>
      <c r="B44" s="15" t="s">
        <v>78</v>
      </c>
      <c r="C44" s="16">
        <f>'Медикаменты Январь'!L44</f>
        <v>0</v>
      </c>
      <c r="D44" s="17"/>
      <c r="E44" s="14"/>
      <c r="F44" s="18"/>
      <c r="G44" s="19"/>
      <c r="H44" s="20"/>
      <c r="I44" s="21"/>
      <c r="J44" s="14"/>
      <c r="K44" s="14">
        <f t="shared" si="0"/>
        <v>0</v>
      </c>
      <c r="L44" s="16">
        <f t="shared" si="1"/>
        <v>0</v>
      </c>
      <c r="M44" s="22">
        <v>44136</v>
      </c>
      <c r="N44" s="23" t="s">
        <v>16</v>
      </c>
      <c r="O44" s="24"/>
      <c r="P44" s="23" t="s">
        <v>79</v>
      </c>
    </row>
    <row r="45" spans="1:16">
      <c r="A45" s="14">
        <v>41</v>
      </c>
      <c r="B45" s="15" t="s">
        <v>80</v>
      </c>
      <c r="C45" s="16">
        <f>'Медикаменты Январь'!L45</f>
        <v>0</v>
      </c>
      <c r="D45" s="17"/>
      <c r="E45" s="14"/>
      <c r="F45" s="18"/>
      <c r="G45" s="19"/>
      <c r="H45" s="20"/>
      <c r="I45" s="21"/>
      <c r="J45" s="14"/>
      <c r="K45" s="14">
        <f t="shared" si="0"/>
        <v>0</v>
      </c>
      <c r="L45" s="16">
        <f t="shared" si="1"/>
        <v>0</v>
      </c>
      <c r="M45" s="22">
        <v>44317</v>
      </c>
      <c r="N45" s="23" t="s">
        <v>16</v>
      </c>
      <c r="O45" s="24" t="s">
        <v>17</v>
      </c>
      <c r="P45" s="23" t="s">
        <v>81</v>
      </c>
    </row>
    <row r="46" spans="1:16">
      <c r="A46" s="14">
        <v>42</v>
      </c>
      <c r="B46" s="15" t="s">
        <v>82</v>
      </c>
      <c r="C46" s="16">
        <f>'Медикаменты Январь'!L46</f>
        <v>0</v>
      </c>
      <c r="D46" s="17"/>
      <c r="E46" s="14"/>
      <c r="F46" s="18"/>
      <c r="G46" s="19"/>
      <c r="H46" s="20"/>
      <c r="I46" s="21"/>
      <c r="J46" s="14"/>
      <c r="K46" s="14">
        <f t="shared" si="0"/>
        <v>0</v>
      </c>
      <c r="L46" s="16">
        <f t="shared" si="1"/>
        <v>0</v>
      </c>
      <c r="M46" s="22"/>
      <c r="N46" s="23" t="s">
        <v>16</v>
      </c>
      <c r="O46" s="24"/>
      <c r="P46" s="25"/>
    </row>
    <row r="47" spans="1:16">
      <c r="A47" s="14">
        <v>43</v>
      </c>
      <c r="B47" s="15" t="s">
        <v>83</v>
      </c>
      <c r="C47" s="16">
        <f>'Медикаменты Январь'!L47</f>
        <v>66</v>
      </c>
      <c r="D47" s="17"/>
      <c r="E47" s="14"/>
      <c r="F47" s="18"/>
      <c r="G47" s="19"/>
      <c r="H47" s="20"/>
      <c r="I47" s="21"/>
      <c r="J47" s="14"/>
      <c r="K47" s="14">
        <f t="shared" si="0"/>
        <v>0</v>
      </c>
      <c r="L47" s="16">
        <f t="shared" si="1"/>
        <v>66</v>
      </c>
      <c r="M47" s="22">
        <v>44317</v>
      </c>
      <c r="N47" s="23" t="s">
        <v>16</v>
      </c>
      <c r="O47" s="24" t="s">
        <v>17</v>
      </c>
      <c r="P47" s="23" t="s">
        <v>84</v>
      </c>
    </row>
    <row r="48" spans="1:16">
      <c r="A48" s="14">
        <v>44</v>
      </c>
      <c r="B48" s="15" t="s">
        <v>85</v>
      </c>
      <c r="C48" s="16">
        <f>'Медикаменты Январь'!L48</f>
        <v>94</v>
      </c>
      <c r="D48" s="17"/>
      <c r="E48" s="14"/>
      <c r="F48" s="18"/>
      <c r="G48" s="19"/>
      <c r="H48" s="20"/>
      <c r="I48" s="21"/>
      <c r="J48" s="14"/>
      <c r="K48" s="14">
        <f t="shared" si="0"/>
        <v>0</v>
      </c>
      <c r="L48" s="16">
        <f t="shared" si="1"/>
        <v>94</v>
      </c>
      <c r="M48" s="22">
        <v>44409</v>
      </c>
      <c r="N48" s="23" t="s">
        <v>16</v>
      </c>
      <c r="O48" s="24" t="s">
        <v>17</v>
      </c>
      <c r="P48" s="23" t="s">
        <v>86</v>
      </c>
    </row>
    <row r="49" spans="1:16">
      <c r="A49" s="14">
        <v>45</v>
      </c>
      <c r="B49" s="15" t="s">
        <v>87</v>
      </c>
      <c r="C49" s="16">
        <f>'Медикаменты Январь'!L49</f>
        <v>0</v>
      </c>
      <c r="D49" s="17"/>
      <c r="E49" s="14"/>
      <c r="F49" s="18"/>
      <c r="G49" s="19"/>
      <c r="H49" s="20"/>
      <c r="I49" s="21"/>
      <c r="J49" s="14"/>
      <c r="K49" s="14">
        <f t="shared" si="0"/>
        <v>0</v>
      </c>
      <c r="L49" s="16">
        <f t="shared" si="1"/>
        <v>0</v>
      </c>
      <c r="M49" s="22">
        <v>44136</v>
      </c>
      <c r="N49" s="23" t="s">
        <v>16</v>
      </c>
      <c r="O49" s="24"/>
      <c r="P49" s="23" t="s">
        <v>88</v>
      </c>
    </row>
    <row r="50" spans="1:16">
      <c r="A50" s="14">
        <v>46</v>
      </c>
      <c r="B50" s="15" t="s">
        <v>89</v>
      </c>
      <c r="C50" s="16">
        <f>'Медикаменты Январь'!L50</f>
        <v>7</v>
      </c>
      <c r="D50" s="17"/>
      <c r="E50" s="14"/>
      <c r="F50" s="18"/>
      <c r="G50" s="19"/>
      <c r="H50" s="20"/>
      <c r="I50" s="21"/>
      <c r="J50" s="14"/>
      <c r="K50" s="14">
        <f t="shared" si="0"/>
        <v>0</v>
      </c>
      <c r="L50" s="16">
        <f t="shared" si="1"/>
        <v>7</v>
      </c>
      <c r="M50" s="22">
        <v>44256</v>
      </c>
      <c r="N50" s="23" t="s">
        <v>16</v>
      </c>
      <c r="O50" s="24" t="s">
        <v>17</v>
      </c>
      <c r="P50" s="23" t="s">
        <v>90</v>
      </c>
    </row>
    <row r="51" spans="1:16">
      <c r="A51" s="14">
        <v>47</v>
      </c>
      <c r="B51" s="15" t="s">
        <v>91</v>
      </c>
      <c r="C51" s="16">
        <f>'Медикаменты Январь'!L51</f>
        <v>140</v>
      </c>
      <c r="D51" s="17"/>
      <c r="E51" s="14"/>
      <c r="F51" s="18">
        <f>5</f>
        <v>5</v>
      </c>
      <c r="G51" s="19"/>
      <c r="H51" s="20"/>
      <c r="I51" s="21"/>
      <c r="J51" s="14"/>
      <c r="K51" s="14">
        <f t="shared" si="0"/>
        <v>5</v>
      </c>
      <c r="L51" s="16">
        <f t="shared" si="1"/>
        <v>135</v>
      </c>
      <c r="M51" s="22">
        <v>44317</v>
      </c>
      <c r="N51" s="23" t="s">
        <v>16</v>
      </c>
      <c r="O51" s="24" t="s">
        <v>17</v>
      </c>
      <c r="P51" s="23" t="s">
        <v>92</v>
      </c>
    </row>
    <row r="52" spans="1:16">
      <c r="A52" s="14">
        <v>48</v>
      </c>
      <c r="B52" s="15" t="s">
        <v>93</v>
      </c>
      <c r="C52" s="16">
        <f>'Медикаменты Январь'!L52</f>
        <v>0</v>
      </c>
      <c r="D52" s="17"/>
      <c r="E52" s="14"/>
      <c r="F52" s="18"/>
      <c r="G52" s="19"/>
      <c r="H52" s="20"/>
      <c r="I52" s="21"/>
      <c r="J52" s="14"/>
      <c r="K52" s="14">
        <f t="shared" si="0"/>
        <v>0</v>
      </c>
      <c r="L52" s="16">
        <f t="shared" si="1"/>
        <v>0</v>
      </c>
      <c r="M52" s="22">
        <v>44013</v>
      </c>
      <c r="N52" s="23" t="s">
        <v>16</v>
      </c>
      <c r="O52" s="24"/>
      <c r="P52" s="23" t="s">
        <v>94</v>
      </c>
    </row>
    <row r="53" spans="1:16">
      <c r="A53" s="14">
        <v>49</v>
      </c>
      <c r="B53" s="15" t="s">
        <v>95</v>
      </c>
      <c r="C53" s="16">
        <f>'Медикаменты Январь'!L53</f>
        <v>39</v>
      </c>
      <c r="D53" s="17"/>
      <c r="E53" s="14"/>
      <c r="F53" s="18"/>
      <c r="G53" s="19"/>
      <c r="H53" s="20"/>
      <c r="I53" s="21"/>
      <c r="J53" s="14"/>
      <c r="K53" s="14">
        <f t="shared" si="0"/>
        <v>0</v>
      </c>
      <c r="L53" s="16">
        <f t="shared" si="1"/>
        <v>39</v>
      </c>
      <c r="M53" s="22">
        <v>44986</v>
      </c>
      <c r="N53" s="23" t="s">
        <v>16</v>
      </c>
      <c r="O53" s="24" t="s">
        <v>45</v>
      </c>
      <c r="P53" s="23" t="s">
        <v>96</v>
      </c>
    </row>
    <row r="54" spans="1:16">
      <c r="A54" s="14">
        <v>50</v>
      </c>
      <c r="B54" s="15" t="s">
        <v>97</v>
      </c>
      <c r="C54" s="16">
        <f>'Медикаменты Январь'!L54</f>
        <v>0</v>
      </c>
      <c r="D54" s="17"/>
      <c r="E54" s="14"/>
      <c r="F54" s="18"/>
      <c r="G54" s="19"/>
      <c r="H54" s="20"/>
      <c r="I54" s="21"/>
      <c r="J54" s="14"/>
      <c r="K54" s="14">
        <f t="shared" si="0"/>
        <v>0</v>
      </c>
      <c r="L54" s="16">
        <f t="shared" si="1"/>
        <v>0</v>
      </c>
      <c r="M54" s="22">
        <v>44866</v>
      </c>
      <c r="N54" s="23" t="s">
        <v>16</v>
      </c>
      <c r="O54" s="24"/>
      <c r="P54" s="23" t="s">
        <v>98</v>
      </c>
    </row>
    <row r="55" spans="1:16">
      <c r="A55" s="14">
        <v>51</v>
      </c>
      <c r="B55" s="15" t="s">
        <v>99</v>
      </c>
      <c r="C55" s="16">
        <f>'Медикаменты Январь'!L55</f>
        <v>0</v>
      </c>
      <c r="D55" s="17"/>
      <c r="E55" s="14"/>
      <c r="F55" s="18"/>
      <c r="G55" s="19"/>
      <c r="H55" s="20"/>
      <c r="I55" s="21"/>
      <c r="J55" s="14"/>
      <c r="K55" s="14">
        <f t="shared" si="0"/>
        <v>0</v>
      </c>
      <c r="L55" s="16">
        <f t="shared" si="1"/>
        <v>0</v>
      </c>
      <c r="M55" s="22"/>
      <c r="N55" s="23" t="s">
        <v>16</v>
      </c>
      <c r="O55" s="24"/>
      <c r="P55" s="25"/>
    </row>
    <row r="56" spans="1:16">
      <c r="A56" s="14">
        <v>52</v>
      </c>
      <c r="B56" s="15" t="s">
        <v>100</v>
      </c>
      <c r="C56" s="16">
        <f>'Медикаменты Январь'!L56</f>
        <v>20</v>
      </c>
      <c r="D56" s="17"/>
      <c r="E56" s="14"/>
      <c r="F56" s="18"/>
      <c r="G56" s="19"/>
      <c r="H56" s="20"/>
      <c r="I56" s="21"/>
      <c r="J56" s="14"/>
      <c r="K56" s="14">
        <f t="shared" si="0"/>
        <v>0</v>
      </c>
      <c r="L56" s="16">
        <f t="shared" si="1"/>
        <v>20</v>
      </c>
      <c r="M56" s="22"/>
      <c r="N56" s="23" t="s">
        <v>26</v>
      </c>
      <c r="O56" s="24" t="s">
        <v>17</v>
      </c>
      <c r="P56" s="23" t="s">
        <v>101</v>
      </c>
    </row>
    <row r="57" spans="1:16">
      <c r="A57" s="14">
        <v>53</v>
      </c>
      <c r="B57" s="15" t="s">
        <v>102</v>
      </c>
      <c r="C57" s="16">
        <f>'Медикаменты Январь'!L57</f>
        <v>37</v>
      </c>
      <c r="D57" s="17"/>
      <c r="E57" s="14"/>
      <c r="F57" s="18"/>
      <c r="G57" s="19"/>
      <c r="H57" s="20"/>
      <c r="I57" s="21"/>
      <c r="J57" s="14"/>
      <c r="K57" s="14">
        <f t="shared" si="0"/>
        <v>0</v>
      </c>
      <c r="L57" s="16">
        <f t="shared" si="1"/>
        <v>37</v>
      </c>
      <c r="M57" s="22">
        <v>44866</v>
      </c>
      <c r="N57" s="23" t="s">
        <v>16</v>
      </c>
      <c r="O57" s="24" t="s">
        <v>45</v>
      </c>
      <c r="P57" s="23" t="s">
        <v>103</v>
      </c>
    </row>
    <row r="58" spans="1:16">
      <c r="A58" s="14">
        <v>54</v>
      </c>
      <c r="B58" s="15" t="s">
        <v>102</v>
      </c>
      <c r="C58" s="16">
        <f>'Медикаменты Январь'!L58</f>
        <v>0</v>
      </c>
      <c r="D58" s="17"/>
      <c r="E58" s="14"/>
      <c r="F58" s="18"/>
      <c r="G58" s="19"/>
      <c r="H58" s="20"/>
      <c r="I58" s="21"/>
      <c r="J58" s="14"/>
      <c r="K58" s="14">
        <f t="shared" si="0"/>
        <v>0</v>
      </c>
      <c r="L58" s="16">
        <f t="shared" si="1"/>
        <v>0</v>
      </c>
      <c r="M58" s="22">
        <v>44866</v>
      </c>
      <c r="N58" s="23" t="s">
        <v>26</v>
      </c>
      <c r="O58" s="24"/>
      <c r="P58" s="23" t="s">
        <v>103</v>
      </c>
    </row>
    <row r="59" spans="1:16">
      <c r="A59" s="14">
        <v>55</v>
      </c>
      <c r="B59" s="15" t="s">
        <v>104</v>
      </c>
      <c r="C59" s="16">
        <f>'Медикаменты Январь'!L59</f>
        <v>0</v>
      </c>
      <c r="D59" s="17"/>
      <c r="E59" s="14"/>
      <c r="F59" s="18"/>
      <c r="G59" s="19"/>
      <c r="H59" s="20"/>
      <c r="I59" s="21"/>
      <c r="J59" s="14"/>
      <c r="K59" s="14">
        <f t="shared" si="0"/>
        <v>0</v>
      </c>
      <c r="L59" s="16">
        <f t="shared" si="1"/>
        <v>0</v>
      </c>
      <c r="M59" s="22"/>
      <c r="N59" s="23" t="s">
        <v>16</v>
      </c>
      <c r="O59" s="24"/>
      <c r="P59" s="25"/>
    </row>
    <row r="60" spans="1:16">
      <c r="A60" s="14">
        <v>56</v>
      </c>
      <c r="B60" s="15" t="s">
        <v>104</v>
      </c>
      <c r="C60" s="16">
        <f>'Медикаменты Январь'!L60</f>
        <v>0</v>
      </c>
      <c r="D60" s="17"/>
      <c r="E60" s="14"/>
      <c r="F60" s="18"/>
      <c r="G60" s="19"/>
      <c r="H60" s="20"/>
      <c r="I60" s="21"/>
      <c r="J60" s="14"/>
      <c r="K60" s="14">
        <f t="shared" si="0"/>
        <v>0</v>
      </c>
      <c r="L60" s="16">
        <f t="shared" si="1"/>
        <v>0</v>
      </c>
      <c r="M60" s="22"/>
      <c r="N60" s="23" t="s">
        <v>26</v>
      </c>
      <c r="O60" s="24"/>
      <c r="P60" s="25"/>
    </row>
    <row r="61" spans="1:16">
      <c r="A61" s="14">
        <v>57</v>
      </c>
      <c r="B61" s="15" t="s">
        <v>105</v>
      </c>
      <c r="C61" s="16">
        <f>'Медикаменты Январь'!L61</f>
        <v>0</v>
      </c>
      <c r="D61" s="17"/>
      <c r="E61" s="14"/>
      <c r="F61" s="18"/>
      <c r="G61" s="19"/>
      <c r="H61" s="20"/>
      <c r="I61" s="21"/>
      <c r="J61" s="14"/>
      <c r="K61" s="14">
        <f t="shared" si="0"/>
        <v>0</v>
      </c>
      <c r="L61" s="16">
        <f t="shared" si="1"/>
        <v>0</v>
      </c>
      <c r="M61" s="22"/>
      <c r="N61" s="23" t="s">
        <v>16</v>
      </c>
      <c r="O61" s="24"/>
      <c r="P61" s="23" t="s">
        <v>106</v>
      </c>
    </row>
    <row r="62" spans="1:16">
      <c r="A62" s="14">
        <v>58</v>
      </c>
      <c r="B62" s="15" t="s">
        <v>105</v>
      </c>
      <c r="C62" s="16">
        <f>'Медикаменты Январь'!L62</f>
        <v>45</v>
      </c>
      <c r="D62" s="17"/>
      <c r="E62" s="14"/>
      <c r="F62" s="18"/>
      <c r="G62" s="19"/>
      <c r="H62" s="20"/>
      <c r="I62" s="21"/>
      <c r="J62" s="14"/>
      <c r="K62" s="14">
        <f t="shared" si="0"/>
        <v>0</v>
      </c>
      <c r="L62" s="16">
        <f t="shared" si="1"/>
        <v>45</v>
      </c>
      <c r="M62" s="22">
        <v>44531</v>
      </c>
      <c r="N62" s="23" t="s">
        <v>16</v>
      </c>
      <c r="O62" s="24" t="s">
        <v>17</v>
      </c>
      <c r="P62" s="23" t="s">
        <v>106</v>
      </c>
    </row>
    <row r="63" spans="1:16">
      <c r="A63" s="14">
        <v>59</v>
      </c>
      <c r="B63" s="15" t="s">
        <v>107</v>
      </c>
      <c r="C63" s="16">
        <f>'Медикаменты Январь'!L63</f>
        <v>42</v>
      </c>
      <c r="D63" s="17"/>
      <c r="E63" s="14"/>
      <c r="F63" s="18">
        <f>15</f>
        <v>15</v>
      </c>
      <c r="G63" s="19"/>
      <c r="H63" s="20"/>
      <c r="I63" s="21"/>
      <c r="J63" s="14"/>
      <c r="K63" s="14">
        <f t="shared" si="0"/>
        <v>15</v>
      </c>
      <c r="L63" s="16">
        <f t="shared" si="1"/>
        <v>27</v>
      </c>
      <c r="M63" s="22">
        <v>44501</v>
      </c>
      <c r="N63" s="23" t="s">
        <v>16</v>
      </c>
      <c r="O63" s="24" t="s">
        <v>17</v>
      </c>
      <c r="P63" s="23" t="s">
        <v>108</v>
      </c>
    </row>
    <row r="64" spans="1:16">
      <c r="A64" s="14">
        <v>60</v>
      </c>
      <c r="B64" s="15" t="s">
        <v>109</v>
      </c>
      <c r="C64" s="16">
        <f>'Медикаменты Январь'!L64</f>
        <v>0</v>
      </c>
      <c r="D64" s="17"/>
      <c r="E64" s="14"/>
      <c r="F64" s="18"/>
      <c r="G64" s="19"/>
      <c r="H64" s="20"/>
      <c r="I64" s="21"/>
      <c r="J64" s="14"/>
      <c r="K64" s="14">
        <f t="shared" si="0"/>
        <v>0</v>
      </c>
      <c r="L64" s="16">
        <f t="shared" si="1"/>
        <v>0</v>
      </c>
      <c r="M64" s="22"/>
      <c r="N64" s="23" t="s">
        <v>16</v>
      </c>
      <c r="O64" s="24"/>
      <c r="P64" s="25"/>
    </row>
    <row r="65" spans="1:16">
      <c r="A65" s="14">
        <v>61</v>
      </c>
      <c r="B65" s="15" t="s">
        <v>110</v>
      </c>
      <c r="C65" s="16">
        <f>'Медикаменты Январь'!L65</f>
        <v>0</v>
      </c>
      <c r="D65" s="17"/>
      <c r="E65" s="14"/>
      <c r="F65" s="18"/>
      <c r="G65" s="19"/>
      <c r="H65" s="20"/>
      <c r="I65" s="21"/>
      <c r="J65" s="14"/>
      <c r="K65" s="14">
        <f t="shared" si="0"/>
        <v>0</v>
      </c>
      <c r="L65" s="16">
        <f t="shared" si="1"/>
        <v>0</v>
      </c>
      <c r="M65" s="22">
        <v>44682</v>
      </c>
      <c r="N65" s="23" t="s">
        <v>16</v>
      </c>
      <c r="O65" s="24"/>
      <c r="P65" s="25"/>
    </row>
    <row r="66" spans="1:16">
      <c r="A66" s="14">
        <v>62</v>
      </c>
      <c r="B66" s="15" t="s">
        <v>111</v>
      </c>
      <c r="C66" s="16">
        <f>'Медикаменты Январь'!L66</f>
        <v>207</v>
      </c>
      <c r="D66" s="17"/>
      <c r="E66" s="14"/>
      <c r="F66" s="18">
        <f>5</f>
        <v>5</v>
      </c>
      <c r="G66" s="19"/>
      <c r="H66" s="20"/>
      <c r="I66" s="21"/>
      <c r="J66" s="14"/>
      <c r="K66" s="14">
        <f t="shared" si="0"/>
        <v>5</v>
      </c>
      <c r="L66" s="16">
        <f t="shared" si="1"/>
        <v>202</v>
      </c>
      <c r="M66" s="22">
        <v>44958</v>
      </c>
      <c r="N66" s="23" t="s">
        <v>16</v>
      </c>
      <c r="O66" s="24" t="s">
        <v>17</v>
      </c>
      <c r="P66" s="23" t="s">
        <v>112</v>
      </c>
    </row>
    <row r="67" spans="1:16">
      <c r="A67" s="14">
        <v>63</v>
      </c>
      <c r="B67" s="15" t="s">
        <v>111</v>
      </c>
      <c r="C67" s="16">
        <f>'Медикаменты Январь'!L67</f>
        <v>0</v>
      </c>
      <c r="D67" s="17"/>
      <c r="E67" s="14"/>
      <c r="F67" s="18"/>
      <c r="G67" s="19"/>
      <c r="H67" s="20"/>
      <c r="I67" s="21"/>
      <c r="J67" s="14"/>
      <c r="K67" s="14">
        <f t="shared" si="0"/>
        <v>0</v>
      </c>
      <c r="L67" s="16">
        <f t="shared" si="1"/>
        <v>0</v>
      </c>
      <c r="M67" s="22">
        <v>44958</v>
      </c>
      <c r="N67" s="23" t="s">
        <v>26</v>
      </c>
      <c r="O67" s="24"/>
      <c r="P67" s="25"/>
    </row>
    <row r="68" spans="1:16">
      <c r="A68" s="14">
        <v>64</v>
      </c>
      <c r="B68" s="15" t="s">
        <v>113</v>
      </c>
      <c r="C68" s="16">
        <f>'Медикаменты Январь'!L68</f>
        <v>90</v>
      </c>
      <c r="D68" s="17"/>
      <c r="E68" s="14"/>
      <c r="F68" s="18"/>
      <c r="G68" s="19"/>
      <c r="H68" s="20"/>
      <c r="I68" s="21"/>
      <c r="J68" s="14"/>
      <c r="K68" s="14">
        <f t="shared" si="0"/>
        <v>0</v>
      </c>
      <c r="L68" s="16">
        <f t="shared" si="1"/>
        <v>90</v>
      </c>
      <c r="M68" s="22">
        <v>44986</v>
      </c>
      <c r="N68" s="23" t="s">
        <v>16</v>
      </c>
      <c r="O68" s="24" t="s">
        <v>17</v>
      </c>
      <c r="P68" s="23" t="s">
        <v>114</v>
      </c>
    </row>
    <row r="69" spans="1:16">
      <c r="A69" s="14">
        <v>65</v>
      </c>
      <c r="B69" s="15" t="s">
        <v>113</v>
      </c>
      <c r="C69" s="16">
        <f>'Медикаменты Январь'!L69</f>
        <v>0</v>
      </c>
      <c r="D69" s="17"/>
      <c r="E69" s="14"/>
      <c r="F69" s="18"/>
      <c r="G69" s="19"/>
      <c r="H69" s="20"/>
      <c r="I69" s="21"/>
      <c r="J69" s="14"/>
      <c r="K69" s="14">
        <f t="shared" ref="K69:K132" si="2">SUM(F69:J69)</f>
        <v>0</v>
      </c>
      <c r="L69" s="16">
        <f t="shared" ref="L69:L132" si="3">(C69+E69)-K69</f>
        <v>0</v>
      </c>
      <c r="M69" s="22">
        <v>44986</v>
      </c>
      <c r="N69" s="23" t="s">
        <v>26</v>
      </c>
      <c r="O69" s="24"/>
      <c r="P69" s="23" t="s">
        <v>114</v>
      </c>
    </row>
    <row r="70" spans="1:16" ht="26.25">
      <c r="A70" s="14">
        <v>66</v>
      </c>
      <c r="B70" s="15" t="s">
        <v>115</v>
      </c>
      <c r="C70" s="16">
        <f>'Медикаменты Январь'!L70</f>
        <v>17</v>
      </c>
      <c r="D70" s="17"/>
      <c r="E70" s="14"/>
      <c r="F70" s="18"/>
      <c r="G70" s="19"/>
      <c r="H70" s="20"/>
      <c r="I70" s="21"/>
      <c r="J70" s="14"/>
      <c r="K70" s="14">
        <f t="shared" si="2"/>
        <v>0</v>
      </c>
      <c r="L70" s="16">
        <f t="shared" si="3"/>
        <v>17</v>
      </c>
      <c r="M70" s="22">
        <v>44835</v>
      </c>
      <c r="N70" s="23" t="s">
        <v>16</v>
      </c>
      <c r="O70" s="24" t="s">
        <v>17</v>
      </c>
      <c r="P70" s="28" t="s">
        <v>116</v>
      </c>
    </row>
    <row r="71" spans="1:16">
      <c r="A71" s="14">
        <v>67</v>
      </c>
      <c r="B71" s="15" t="s">
        <v>117</v>
      </c>
      <c r="C71" s="16">
        <f>'Медикаменты Январь'!L71</f>
        <v>0</v>
      </c>
      <c r="D71" s="17"/>
      <c r="E71" s="14"/>
      <c r="F71" s="18"/>
      <c r="G71" s="19"/>
      <c r="H71" s="20"/>
      <c r="I71" s="21"/>
      <c r="J71" s="14"/>
      <c r="K71" s="14">
        <f t="shared" si="2"/>
        <v>0</v>
      </c>
      <c r="L71" s="16">
        <f t="shared" si="3"/>
        <v>0</v>
      </c>
      <c r="M71" s="22">
        <v>44440</v>
      </c>
      <c r="N71" s="23" t="s">
        <v>16</v>
      </c>
      <c r="O71" s="24"/>
      <c r="P71" s="28" t="s">
        <v>118</v>
      </c>
    </row>
    <row r="72" spans="1:16">
      <c r="A72" s="14">
        <v>68</v>
      </c>
      <c r="B72" s="15" t="s">
        <v>117</v>
      </c>
      <c r="C72" s="16">
        <f>'Медикаменты Январь'!L72</f>
        <v>175</v>
      </c>
      <c r="D72" s="17"/>
      <c r="E72" s="14"/>
      <c r="F72" s="18">
        <f>10</f>
        <v>10</v>
      </c>
      <c r="G72" s="19"/>
      <c r="H72" s="20"/>
      <c r="I72" s="21"/>
      <c r="J72" s="14"/>
      <c r="K72" s="14">
        <f t="shared" si="2"/>
        <v>10</v>
      </c>
      <c r="L72" s="16">
        <f t="shared" si="3"/>
        <v>165</v>
      </c>
      <c r="M72" s="22">
        <v>44682</v>
      </c>
      <c r="N72" s="23" t="s">
        <v>16</v>
      </c>
      <c r="O72" s="24" t="s">
        <v>17</v>
      </c>
      <c r="P72" s="28" t="s">
        <v>118</v>
      </c>
    </row>
    <row r="73" spans="1:16">
      <c r="A73" s="14">
        <v>69</v>
      </c>
      <c r="B73" s="15" t="s">
        <v>117</v>
      </c>
      <c r="C73" s="16">
        <f>'Медикаменты Январь'!L73</f>
        <v>0</v>
      </c>
      <c r="D73" s="17"/>
      <c r="E73" s="14"/>
      <c r="F73" s="18"/>
      <c r="G73" s="19"/>
      <c r="H73" s="20"/>
      <c r="I73" s="21"/>
      <c r="J73" s="14"/>
      <c r="K73" s="14">
        <f t="shared" si="2"/>
        <v>0</v>
      </c>
      <c r="L73" s="16">
        <f t="shared" si="3"/>
        <v>0</v>
      </c>
      <c r="M73" s="22">
        <v>44682</v>
      </c>
      <c r="N73" s="23" t="s">
        <v>26</v>
      </c>
      <c r="O73" s="24"/>
      <c r="P73" s="28" t="s">
        <v>118</v>
      </c>
    </row>
    <row r="74" spans="1:16">
      <c r="A74" s="14">
        <v>70</v>
      </c>
      <c r="B74" s="15" t="s">
        <v>119</v>
      </c>
      <c r="C74" s="16">
        <f>'Медикаменты Январь'!L74</f>
        <v>0</v>
      </c>
      <c r="D74" s="17"/>
      <c r="E74" s="14"/>
      <c r="F74" s="18"/>
      <c r="G74" s="19"/>
      <c r="H74" s="20"/>
      <c r="I74" s="21"/>
      <c r="J74" s="14"/>
      <c r="K74" s="14">
        <f t="shared" si="2"/>
        <v>0</v>
      </c>
      <c r="L74" s="16">
        <f t="shared" si="3"/>
        <v>0</v>
      </c>
      <c r="M74" s="22"/>
      <c r="N74" s="23" t="s">
        <v>16</v>
      </c>
      <c r="O74" s="24"/>
      <c r="P74" s="25"/>
    </row>
    <row r="75" spans="1:16">
      <c r="A75" s="14">
        <v>71</v>
      </c>
      <c r="B75" s="15" t="s">
        <v>120</v>
      </c>
      <c r="C75" s="16">
        <f>'Медикаменты Январь'!L75</f>
        <v>0</v>
      </c>
      <c r="D75" s="17"/>
      <c r="E75" s="14"/>
      <c r="F75" s="18"/>
      <c r="G75" s="19"/>
      <c r="H75" s="20"/>
      <c r="I75" s="21"/>
      <c r="J75" s="14"/>
      <c r="K75" s="14">
        <f t="shared" si="2"/>
        <v>0</v>
      </c>
      <c r="L75" s="16">
        <f t="shared" si="3"/>
        <v>0</v>
      </c>
      <c r="M75" s="22">
        <v>45444</v>
      </c>
      <c r="N75" s="23" t="s">
        <v>26</v>
      </c>
      <c r="O75" s="24"/>
      <c r="P75" s="28" t="s">
        <v>121</v>
      </c>
    </row>
    <row r="76" spans="1:16">
      <c r="A76" s="14">
        <v>72</v>
      </c>
      <c r="B76" s="29" t="s">
        <v>122</v>
      </c>
      <c r="C76" s="16">
        <f>'Медикаменты Январь'!L76</f>
        <v>135</v>
      </c>
      <c r="D76" s="17"/>
      <c r="E76" s="14"/>
      <c r="F76" s="18">
        <f>15</f>
        <v>15</v>
      </c>
      <c r="G76" s="19"/>
      <c r="H76" s="20"/>
      <c r="I76" s="21"/>
      <c r="J76" s="14"/>
      <c r="K76" s="14">
        <f t="shared" si="2"/>
        <v>15</v>
      </c>
      <c r="L76" s="16">
        <f t="shared" si="3"/>
        <v>120</v>
      </c>
      <c r="M76" s="22">
        <v>44986</v>
      </c>
      <c r="N76" s="23" t="s">
        <v>16</v>
      </c>
      <c r="O76" s="24" t="s">
        <v>17</v>
      </c>
      <c r="P76" s="23" t="s">
        <v>123</v>
      </c>
    </row>
    <row r="77" spans="1:16">
      <c r="A77" s="14">
        <v>73</v>
      </c>
      <c r="B77" s="15" t="s">
        <v>124</v>
      </c>
      <c r="C77" s="16">
        <f>'Медикаменты Январь'!L77</f>
        <v>0</v>
      </c>
      <c r="D77" s="17"/>
      <c r="E77" s="14"/>
      <c r="F77" s="18"/>
      <c r="G77" s="19"/>
      <c r="H77" s="20"/>
      <c r="I77" s="21"/>
      <c r="J77" s="14"/>
      <c r="K77" s="14">
        <f t="shared" si="2"/>
        <v>0</v>
      </c>
      <c r="L77" s="16">
        <f t="shared" si="3"/>
        <v>0</v>
      </c>
      <c r="M77" s="22"/>
      <c r="N77" s="23" t="s">
        <v>16</v>
      </c>
      <c r="O77" s="24"/>
      <c r="P77" s="25"/>
    </row>
    <row r="78" spans="1:16">
      <c r="A78" s="14">
        <v>74</v>
      </c>
      <c r="B78" s="15" t="s">
        <v>125</v>
      </c>
      <c r="C78" s="16">
        <f>'Медикаменты Январь'!L78</f>
        <v>5</v>
      </c>
      <c r="D78" s="17"/>
      <c r="E78" s="14"/>
      <c r="F78" s="18"/>
      <c r="G78" s="19"/>
      <c r="H78" s="20"/>
      <c r="I78" s="21"/>
      <c r="J78" s="14"/>
      <c r="K78" s="14">
        <f t="shared" si="2"/>
        <v>0</v>
      </c>
      <c r="L78" s="16">
        <f t="shared" si="3"/>
        <v>5</v>
      </c>
      <c r="M78" s="22">
        <v>44531</v>
      </c>
      <c r="N78" s="23" t="s">
        <v>16</v>
      </c>
      <c r="O78" s="24" t="s">
        <v>17</v>
      </c>
      <c r="P78" s="28" t="s">
        <v>126</v>
      </c>
    </row>
    <row r="79" spans="1:16">
      <c r="A79" s="14">
        <v>75</v>
      </c>
      <c r="B79" s="15" t="s">
        <v>127</v>
      </c>
      <c r="C79" s="16">
        <f>'Медикаменты Январь'!L79</f>
        <v>10</v>
      </c>
      <c r="D79" s="17"/>
      <c r="E79" s="14"/>
      <c r="F79" s="18"/>
      <c r="G79" s="19"/>
      <c r="H79" s="20"/>
      <c r="I79" s="21"/>
      <c r="J79" s="14"/>
      <c r="K79" s="14">
        <f t="shared" si="2"/>
        <v>0</v>
      </c>
      <c r="L79" s="16">
        <f t="shared" si="3"/>
        <v>10</v>
      </c>
      <c r="M79" s="22">
        <v>44501</v>
      </c>
      <c r="N79" s="23" t="s">
        <v>16</v>
      </c>
      <c r="O79" s="24" t="s">
        <v>45</v>
      </c>
      <c r="P79" s="23" t="s">
        <v>128</v>
      </c>
    </row>
    <row r="80" spans="1:16" ht="25.5">
      <c r="A80" s="14">
        <v>76</v>
      </c>
      <c r="B80" s="15" t="s">
        <v>129</v>
      </c>
      <c r="C80" s="16">
        <f>'Медикаменты Январь'!L80</f>
        <v>15</v>
      </c>
      <c r="D80" s="17"/>
      <c r="E80" s="14"/>
      <c r="F80" s="18"/>
      <c r="G80" s="19"/>
      <c r="H80" s="20"/>
      <c r="I80" s="21"/>
      <c r="J80" s="14"/>
      <c r="K80" s="14">
        <f t="shared" si="2"/>
        <v>0</v>
      </c>
      <c r="L80" s="16">
        <f t="shared" si="3"/>
        <v>15</v>
      </c>
      <c r="M80" s="22">
        <v>44713</v>
      </c>
      <c r="N80" s="23" t="s">
        <v>16</v>
      </c>
      <c r="O80" s="24" t="s">
        <v>17</v>
      </c>
      <c r="P80" s="28" t="s">
        <v>130</v>
      </c>
    </row>
    <row r="81" spans="1:16" ht="25.5">
      <c r="A81" s="14">
        <v>77</v>
      </c>
      <c r="B81" s="15" t="s">
        <v>129</v>
      </c>
      <c r="C81" s="16">
        <f>'Медикаменты Январь'!L81</f>
        <v>0</v>
      </c>
      <c r="D81" s="17"/>
      <c r="E81" s="14"/>
      <c r="F81" s="18"/>
      <c r="G81" s="19"/>
      <c r="H81" s="20"/>
      <c r="I81" s="21"/>
      <c r="J81" s="14"/>
      <c r="K81" s="14">
        <f t="shared" si="2"/>
        <v>0</v>
      </c>
      <c r="L81" s="16">
        <f t="shared" si="3"/>
        <v>0</v>
      </c>
      <c r="M81" s="22">
        <v>44713</v>
      </c>
      <c r="N81" s="23" t="s">
        <v>26</v>
      </c>
      <c r="O81" s="24"/>
      <c r="P81" s="28" t="s">
        <v>130</v>
      </c>
    </row>
    <row r="82" spans="1:16" ht="25.5">
      <c r="A82" s="14">
        <v>78</v>
      </c>
      <c r="B82" s="15" t="s">
        <v>131</v>
      </c>
      <c r="C82" s="16">
        <f>'Медикаменты Январь'!L82</f>
        <v>0</v>
      </c>
      <c r="D82" s="17"/>
      <c r="E82" s="14"/>
      <c r="F82" s="18"/>
      <c r="G82" s="19"/>
      <c r="H82" s="20"/>
      <c r="I82" s="21"/>
      <c r="J82" s="14"/>
      <c r="K82" s="14">
        <f t="shared" si="2"/>
        <v>0</v>
      </c>
      <c r="L82" s="16">
        <f t="shared" si="3"/>
        <v>0</v>
      </c>
      <c r="M82" s="22"/>
      <c r="N82" s="23" t="s">
        <v>16</v>
      </c>
      <c r="O82" s="24"/>
      <c r="P82" s="25"/>
    </row>
    <row r="83" spans="1:16">
      <c r="A83" s="14">
        <v>79</v>
      </c>
      <c r="B83" s="15" t="s">
        <v>132</v>
      </c>
      <c r="C83" s="16">
        <f>'Медикаменты Январь'!L83</f>
        <v>135</v>
      </c>
      <c r="D83" s="17"/>
      <c r="E83" s="14"/>
      <c r="F83" s="18"/>
      <c r="G83" s="19"/>
      <c r="H83" s="20"/>
      <c r="I83" s="21"/>
      <c r="J83" s="14"/>
      <c r="K83" s="14">
        <f t="shared" si="2"/>
        <v>0</v>
      </c>
      <c r="L83" s="16">
        <f t="shared" si="3"/>
        <v>135</v>
      </c>
      <c r="M83" s="22">
        <v>44713</v>
      </c>
      <c r="N83" s="23" t="s">
        <v>16</v>
      </c>
      <c r="O83" s="24" t="s">
        <v>17</v>
      </c>
      <c r="P83" s="23" t="s">
        <v>133</v>
      </c>
    </row>
    <row r="84" spans="1:16">
      <c r="A84" s="14">
        <v>80</v>
      </c>
      <c r="B84" s="15" t="s">
        <v>132</v>
      </c>
      <c r="C84" s="16">
        <f>'Медикаменты Январь'!L84</f>
        <v>30</v>
      </c>
      <c r="D84" s="17"/>
      <c r="E84" s="14"/>
      <c r="F84" s="18"/>
      <c r="G84" s="19"/>
      <c r="H84" s="20"/>
      <c r="I84" s="21"/>
      <c r="J84" s="14"/>
      <c r="K84" s="14">
        <f t="shared" si="2"/>
        <v>0</v>
      </c>
      <c r="L84" s="16">
        <f t="shared" si="3"/>
        <v>30</v>
      </c>
      <c r="M84" s="22">
        <v>44409</v>
      </c>
      <c r="N84" s="23" t="s">
        <v>16</v>
      </c>
      <c r="O84" s="24" t="s">
        <v>17</v>
      </c>
      <c r="P84" s="23" t="s">
        <v>133</v>
      </c>
    </row>
    <row r="85" spans="1:16">
      <c r="A85" s="14">
        <v>81</v>
      </c>
      <c r="B85" s="15" t="s">
        <v>134</v>
      </c>
      <c r="C85" s="16">
        <f>'Медикаменты Январь'!L85</f>
        <v>14</v>
      </c>
      <c r="D85" s="17"/>
      <c r="E85" s="14"/>
      <c r="F85" s="18"/>
      <c r="G85" s="19"/>
      <c r="H85" s="20"/>
      <c r="I85" s="21"/>
      <c r="J85" s="14"/>
      <c r="K85" s="14">
        <f t="shared" si="2"/>
        <v>0</v>
      </c>
      <c r="L85" s="16">
        <f t="shared" si="3"/>
        <v>14</v>
      </c>
      <c r="M85" s="22">
        <v>44228</v>
      </c>
      <c r="N85" s="23" t="s">
        <v>16</v>
      </c>
      <c r="O85" s="24" t="s">
        <v>17</v>
      </c>
      <c r="P85" s="23" t="s">
        <v>135</v>
      </c>
    </row>
    <row r="86" spans="1:16">
      <c r="A86" s="14">
        <v>82</v>
      </c>
      <c r="B86" s="15" t="s">
        <v>136</v>
      </c>
      <c r="C86" s="16">
        <f>'Медикаменты Январь'!L86</f>
        <v>0</v>
      </c>
      <c r="D86" s="17"/>
      <c r="E86" s="14"/>
      <c r="F86" s="18"/>
      <c r="G86" s="19"/>
      <c r="H86" s="20"/>
      <c r="I86" s="21"/>
      <c r="J86" s="14"/>
      <c r="K86" s="14">
        <f t="shared" si="2"/>
        <v>0</v>
      </c>
      <c r="L86" s="16">
        <f t="shared" si="3"/>
        <v>0</v>
      </c>
      <c r="M86" s="22">
        <v>45413</v>
      </c>
      <c r="N86" s="23" t="s">
        <v>16</v>
      </c>
      <c r="O86" s="24"/>
      <c r="P86" s="28" t="s">
        <v>137</v>
      </c>
    </row>
    <row r="87" spans="1:16">
      <c r="A87" s="14">
        <v>83</v>
      </c>
      <c r="B87" s="15" t="s">
        <v>138</v>
      </c>
      <c r="C87" s="16">
        <f>'Медикаменты Январь'!L87</f>
        <v>0</v>
      </c>
      <c r="D87" s="30"/>
      <c r="E87" s="14"/>
      <c r="F87" s="18"/>
      <c r="G87" s="19"/>
      <c r="H87" s="20"/>
      <c r="I87" s="21"/>
      <c r="J87" s="14"/>
      <c r="K87" s="14">
        <f t="shared" si="2"/>
        <v>0</v>
      </c>
      <c r="L87" s="16">
        <f t="shared" si="3"/>
        <v>0</v>
      </c>
      <c r="M87" s="22"/>
      <c r="N87" s="23" t="s">
        <v>16</v>
      </c>
      <c r="O87" s="24"/>
      <c r="P87" s="25"/>
    </row>
    <row r="88" spans="1:16">
      <c r="A88" s="14">
        <v>84</v>
      </c>
      <c r="B88" s="15" t="s">
        <v>139</v>
      </c>
      <c r="C88" s="16">
        <f>'Медикаменты Январь'!L88</f>
        <v>0</v>
      </c>
      <c r="D88" s="17"/>
      <c r="E88" s="14"/>
      <c r="F88" s="18"/>
      <c r="G88" s="19"/>
      <c r="H88" s="20"/>
      <c r="I88" s="21"/>
      <c r="J88" s="14"/>
      <c r="K88" s="14">
        <f t="shared" si="2"/>
        <v>0</v>
      </c>
      <c r="L88" s="16">
        <f t="shared" si="3"/>
        <v>0</v>
      </c>
      <c r="M88" s="22"/>
      <c r="N88" s="23" t="s">
        <v>16</v>
      </c>
      <c r="O88" s="24"/>
      <c r="P88" s="25"/>
    </row>
    <row r="89" spans="1:16">
      <c r="A89" s="14">
        <v>85</v>
      </c>
      <c r="B89" s="15" t="s">
        <v>140</v>
      </c>
      <c r="C89" s="16">
        <f>'Медикаменты Январь'!L89</f>
        <v>60</v>
      </c>
      <c r="D89" s="17"/>
      <c r="E89" s="14"/>
      <c r="F89" s="18">
        <f>5</f>
        <v>5</v>
      </c>
      <c r="G89" s="19"/>
      <c r="H89" s="20"/>
      <c r="I89" s="21"/>
      <c r="J89" s="14"/>
      <c r="K89" s="14">
        <f t="shared" si="2"/>
        <v>5</v>
      </c>
      <c r="L89" s="16">
        <f t="shared" si="3"/>
        <v>55</v>
      </c>
      <c r="M89" s="22">
        <v>44682</v>
      </c>
      <c r="N89" s="23" t="s">
        <v>16</v>
      </c>
      <c r="O89" s="24" t="s">
        <v>45</v>
      </c>
      <c r="P89" s="23" t="s">
        <v>141</v>
      </c>
    </row>
    <row r="90" spans="1:16">
      <c r="A90" s="14">
        <v>86</v>
      </c>
      <c r="B90" s="15" t="s">
        <v>142</v>
      </c>
      <c r="C90" s="16">
        <f>'Медикаменты Январь'!L90</f>
        <v>0</v>
      </c>
      <c r="D90" s="17"/>
      <c r="E90" s="14"/>
      <c r="F90" s="18"/>
      <c r="G90" s="19"/>
      <c r="H90" s="20"/>
      <c r="I90" s="21"/>
      <c r="J90" s="14"/>
      <c r="K90" s="14">
        <f t="shared" si="2"/>
        <v>0</v>
      </c>
      <c r="L90" s="16">
        <f t="shared" si="3"/>
        <v>0</v>
      </c>
      <c r="M90" s="22">
        <v>45352</v>
      </c>
      <c r="N90" s="23" t="s">
        <v>16</v>
      </c>
      <c r="O90" s="24"/>
      <c r="P90" s="23" t="s">
        <v>143</v>
      </c>
    </row>
    <row r="91" spans="1:16">
      <c r="A91" s="14">
        <v>87</v>
      </c>
      <c r="B91" s="15" t="s">
        <v>144</v>
      </c>
      <c r="C91" s="16">
        <f>'Медикаменты Январь'!L91</f>
        <v>0</v>
      </c>
      <c r="D91" s="17"/>
      <c r="E91" s="14"/>
      <c r="F91" s="18"/>
      <c r="G91" s="19"/>
      <c r="H91" s="20"/>
      <c r="I91" s="21"/>
      <c r="J91" s="14"/>
      <c r="K91" s="14">
        <f t="shared" si="2"/>
        <v>0</v>
      </c>
      <c r="L91" s="16">
        <f t="shared" si="3"/>
        <v>0</v>
      </c>
      <c r="M91" s="22">
        <v>44228</v>
      </c>
      <c r="N91" s="23" t="s">
        <v>16</v>
      </c>
      <c r="O91" s="24"/>
      <c r="P91" s="28" t="s">
        <v>145</v>
      </c>
    </row>
    <row r="92" spans="1:16">
      <c r="A92" s="14">
        <v>88</v>
      </c>
      <c r="B92" s="15" t="s">
        <v>146</v>
      </c>
      <c r="C92" s="16">
        <f>'Медикаменты Январь'!L92</f>
        <v>3</v>
      </c>
      <c r="D92" s="17"/>
      <c r="E92" s="14"/>
      <c r="F92" s="18"/>
      <c r="G92" s="19"/>
      <c r="H92" s="20"/>
      <c r="I92" s="21"/>
      <c r="J92" s="14"/>
      <c r="K92" s="14">
        <f t="shared" si="2"/>
        <v>0</v>
      </c>
      <c r="L92" s="16">
        <f t="shared" si="3"/>
        <v>3</v>
      </c>
      <c r="M92" s="22">
        <v>45474</v>
      </c>
      <c r="N92" s="23" t="s">
        <v>16</v>
      </c>
      <c r="O92" s="24" t="s">
        <v>45</v>
      </c>
      <c r="P92" s="23" t="s">
        <v>147</v>
      </c>
    </row>
    <row r="93" spans="1:16">
      <c r="A93" s="14">
        <v>89</v>
      </c>
      <c r="B93" s="15" t="s">
        <v>148</v>
      </c>
      <c r="C93" s="16">
        <f>'Медикаменты Январь'!L93</f>
        <v>0</v>
      </c>
      <c r="D93" s="17"/>
      <c r="E93" s="14"/>
      <c r="F93" s="18"/>
      <c r="G93" s="19"/>
      <c r="H93" s="20"/>
      <c r="I93" s="21"/>
      <c r="J93" s="14"/>
      <c r="K93" s="14">
        <f t="shared" si="2"/>
        <v>0</v>
      </c>
      <c r="L93" s="16">
        <f t="shared" si="3"/>
        <v>0</v>
      </c>
      <c r="M93" s="22"/>
      <c r="N93" s="23" t="s">
        <v>16</v>
      </c>
      <c r="O93" s="24"/>
      <c r="P93" s="25"/>
    </row>
    <row r="94" spans="1:16">
      <c r="A94" s="14">
        <v>90</v>
      </c>
      <c r="B94" s="15" t="s">
        <v>149</v>
      </c>
      <c r="C94" s="16">
        <f>'Медикаменты Январь'!L94</f>
        <v>0</v>
      </c>
      <c r="D94" s="17"/>
      <c r="E94" s="14"/>
      <c r="F94" s="18"/>
      <c r="G94" s="19"/>
      <c r="H94" s="20"/>
      <c r="I94" s="21"/>
      <c r="J94" s="14"/>
      <c r="K94" s="14">
        <f t="shared" si="2"/>
        <v>0</v>
      </c>
      <c r="L94" s="16">
        <f t="shared" si="3"/>
        <v>0</v>
      </c>
      <c r="M94" s="22">
        <v>44348</v>
      </c>
      <c r="N94" s="23" t="s">
        <v>16</v>
      </c>
      <c r="O94" s="24"/>
      <c r="P94" s="23" t="s">
        <v>150</v>
      </c>
    </row>
    <row r="95" spans="1:16">
      <c r="A95" s="14">
        <v>91</v>
      </c>
      <c r="B95" s="15" t="s">
        <v>151</v>
      </c>
      <c r="C95" s="16">
        <f>'Медикаменты Январь'!L95</f>
        <v>2</v>
      </c>
      <c r="D95" s="17"/>
      <c r="E95" s="14"/>
      <c r="F95" s="18"/>
      <c r="G95" s="19"/>
      <c r="H95" s="20"/>
      <c r="I95" s="21"/>
      <c r="J95" s="14"/>
      <c r="K95" s="14">
        <f t="shared" si="2"/>
        <v>0</v>
      </c>
      <c r="L95" s="16">
        <f t="shared" si="3"/>
        <v>2</v>
      </c>
      <c r="M95" s="22">
        <v>44743</v>
      </c>
      <c r="N95" s="23" t="s">
        <v>16</v>
      </c>
      <c r="O95" s="24" t="s">
        <v>45</v>
      </c>
      <c r="P95" s="28" t="s">
        <v>152</v>
      </c>
    </row>
    <row r="96" spans="1:16">
      <c r="A96" s="14">
        <v>92</v>
      </c>
      <c r="B96" s="15" t="s">
        <v>153</v>
      </c>
      <c r="C96" s="16">
        <f>'Медикаменты Январь'!L96</f>
        <v>0</v>
      </c>
      <c r="D96" s="17"/>
      <c r="E96" s="14"/>
      <c r="F96" s="18"/>
      <c r="G96" s="19"/>
      <c r="H96" s="20"/>
      <c r="I96" s="21"/>
      <c r="J96" s="14"/>
      <c r="K96" s="14">
        <f t="shared" si="2"/>
        <v>0</v>
      </c>
      <c r="L96" s="16">
        <f t="shared" si="3"/>
        <v>0</v>
      </c>
      <c r="M96" s="22">
        <v>44256</v>
      </c>
      <c r="N96" s="23" t="s">
        <v>16</v>
      </c>
      <c r="O96" s="24"/>
      <c r="P96" s="23" t="s">
        <v>154</v>
      </c>
    </row>
    <row r="97" spans="1:16">
      <c r="A97" s="14">
        <v>93</v>
      </c>
      <c r="B97" s="15" t="s">
        <v>155</v>
      </c>
      <c r="C97" s="16">
        <f>'Медикаменты Январь'!L97</f>
        <v>0</v>
      </c>
      <c r="D97" s="17"/>
      <c r="E97" s="14"/>
      <c r="F97" s="18"/>
      <c r="G97" s="19"/>
      <c r="H97" s="20"/>
      <c r="I97" s="21"/>
      <c r="J97" s="14"/>
      <c r="K97" s="14">
        <f t="shared" si="2"/>
        <v>0</v>
      </c>
      <c r="L97" s="16">
        <f t="shared" si="3"/>
        <v>0</v>
      </c>
      <c r="M97" s="22"/>
      <c r="N97" s="23" t="s">
        <v>16</v>
      </c>
      <c r="O97" s="24"/>
      <c r="P97" s="25"/>
    </row>
    <row r="98" spans="1:16">
      <c r="A98" s="14">
        <v>94</v>
      </c>
      <c r="B98" s="15" t="s">
        <v>156</v>
      </c>
      <c r="C98" s="16">
        <f>'Медикаменты Январь'!L98</f>
        <v>0</v>
      </c>
      <c r="D98" s="17"/>
      <c r="E98" s="14"/>
      <c r="F98" s="18"/>
      <c r="G98" s="19"/>
      <c r="H98" s="20"/>
      <c r="I98" s="21"/>
      <c r="J98" s="14"/>
      <c r="K98" s="14">
        <f t="shared" si="2"/>
        <v>0</v>
      </c>
      <c r="L98" s="16">
        <f t="shared" si="3"/>
        <v>0</v>
      </c>
      <c r="M98" s="22">
        <v>44197</v>
      </c>
      <c r="N98" s="23" t="s">
        <v>16</v>
      </c>
      <c r="O98" s="24"/>
      <c r="P98" s="23" t="s">
        <v>157</v>
      </c>
    </row>
    <row r="99" spans="1:16">
      <c r="A99" s="14">
        <v>95</v>
      </c>
      <c r="B99" s="15" t="s">
        <v>158</v>
      </c>
      <c r="C99" s="16">
        <f>'Медикаменты Январь'!L99</f>
        <v>5</v>
      </c>
      <c r="D99" s="17"/>
      <c r="E99" s="14"/>
      <c r="F99" s="18"/>
      <c r="G99" s="19"/>
      <c r="H99" s="20"/>
      <c r="I99" s="21"/>
      <c r="J99" s="14"/>
      <c r="K99" s="14">
        <f t="shared" si="2"/>
        <v>0</v>
      </c>
      <c r="L99" s="16">
        <f t="shared" si="3"/>
        <v>5</v>
      </c>
      <c r="M99" s="22">
        <v>44774</v>
      </c>
      <c r="N99" s="23" t="s">
        <v>16</v>
      </c>
      <c r="O99" s="24" t="s">
        <v>17</v>
      </c>
      <c r="P99" s="23" t="s">
        <v>159</v>
      </c>
    </row>
    <row r="100" spans="1:16">
      <c r="A100" s="14">
        <v>96</v>
      </c>
      <c r="B100" s="15" t="s">
        <v>160</v>
      </c>
      <c r="C100" s="16">
        <f>'Медикаменты Январь'!L100</f>
        <v>123</v>
      </c>
      <c r="D100" s="17"/>
      <c r="E100" s="14"/>
      <c r="F100" s="18"/>
      <c r="G100" s="19"/>
      <c r="H100" s="20"/>
      <c r="I100" s="21"/>
      <c r="J100" s="14"/>
      <c r="K100" s="14">
        <f t="shared" si="2"/>
        <v>0</v>
      </c>
      <c r="L100" s="16">
        <f t="shared" si="3"/>
        <v>123</v>
      </c>
      <c r="M100" s="22">
        <v>44805</v>
      </c>
      <c r="N100" s="23" t="s">
        <v>16</v>
      </c>
      <c r="O100" s="24" t="s">
        <v>17</v>
      </c>
      <c r="P100" s="28" t="s">
        <v>161</v>
      </c>
    </row>
    <row r="101" spans="1:16">
      <c r="A101" s="14">
        <v>97</v>
      </c>
      <c r="B101" s="15" t="s">
        <v>162</v>
      </c>
      <c r="C101" s="16">
        <f>'Медикаменты Январь'!L101</f>
        <v>97</v>
      </c>
      <c r="D101" s="17"/>
      <c r="E101" s="14"/>
      <c r="F101" s="18"/>
      <c r="G101" s="19"/>
      <c r="H101" s="20"/>
      <c r="I101" s="21"/>
      <c r="J101" s="14">
        <f>2</f>
        <v>2</v>
      </c>
      <c r="K101" s="14">
        <f t="shared" si="2"/>
        <v>2</v>
      </c>
      <c r="L101" s="16">
        <f t="shared" si="3"/>
        <v>95</v>
      </c>
      <c r="M101" s="22">
        <v>44742</v>
      </c>
      <c r="N101" s="23" t="s">
        <v>16</v>
      </c>
      <c r="O101" s="24" t="s">
        <v>17</v>
      </c>
      <c r="P101" s="28" t="s">
        <v>163</v>
      </c>
    </row>
    <row r="102" spans="1:16">
      <c r="A102" s="14">
        <v>98</v>
      </c>
      <c r="B102" s="15" t="s">
        <v>164</v>
      </c>
      <c r="C102" s="16">
        <f>'Медикаменты Январь'!L102</f>
        <v>5</v>
      </c>
      <c r="D102" s="17"/>
      <c r="E102" s="14"/>
      <c r="F102" s="18"/>
      <c r="G102" s="19"/>
      <c r="H102" s="20"/>
      <c r="I102" s="21"/>
      <c r="J102" s="14"/>
      <c r="K102" s="14">
        <f t="shared" si="2"/>
        <v>0</v>
      </c>
      <c r="L102" s="16">
        <f t="shared" si="3"/>
        <v>5</v>
      </c>
      <c r="M102" s="22">
        <v>44927</v>
      </c>
      <c r="N102" s="23" t="s">
        <v>26</v>
      </c>
      <c r="O102" s="24" t="s">
        <v>17</v>
      </c>
      <c r="P102" s="28" t="s">
        <v>165</v>
      </c>
    </row>
    <row r="103" spans="1:16">
      <c r="A103" s="14">
        <v>99</v>
      </c>
      <c r="B103" s="15" t="s">
        <v>166</v>
      </c>
      <c r="C103" s="16">
        <f>'Медикаменты Январь'!L103</f>
        <v>0</v>
      </c>
      <c r="D103" s="17"/>
      <c r="E103" s="14"/>
      <c r="F103" s="18"/>
      <c r="G103" s="19"/>
      <c r="H103" s="20"/>
      <c r="I103" s="21"/>
      <c r="J103" s="14"/>
      <c r="K103" s="14">
        <f t="shared" si="2"/>
        <v>0</v>
      </c>
      <c r="L103" s="16">
        <f t="shared" si="3"/>
        <v>0</v>
      </c>
      <c r="M103" s="22">
        <v>44440</v>
      </c>
      <c r="N103" s="23" t="s">
        <v>16</v>
      </c>
      <c r="O103" s="24"/>
      <c r="P103" s="28" t="s">
        <v>165</v>
      </c>
    </row>
    <row r="104" spans="1:16">
      <c r="A104" s="14">
        <v>100</v>
      </c>
      <c r="B104" s="15" t="s">
        <v>167</v>
      </c>
      <c r="C104" s="16">
        <f>'Медикаменты Январь'!L104</f>
        <v>145</v>
      </c>
      <c r="D104" s="17"/>
      <c r="E104" s="14"/>
      <c r="F104" s="18"/>
      <c r="G104" s="19"/>
      <c r="H104" s="20"/>
      <c r="I104" s="21"/>
      <c r="J104" s="14"/>
      <c r="K104" s="14">
        <f t="shared" si="2"/>
        <v>0</v>
      </c>
      <c r="L104" s="16">
        <f t="shared" si="3"/>
        <v>145</v>
      </c>
      <c r="M104" s="22">
        <v>44256</v>
      </c>
      <c r="N104" s="23" t="s">
        <v>16</v>
      </c>
      <c r="O104" s="24" t="s">
        <v>17</v>
      </c>
      <c r="P104" s="23" t="s">
        <v>168</v>
      </c>
    </row>
    <row r="105" spans="1:16">
      <c r="A105" s="14">
        <v>101</v>
      </c>
      <c r="B105" s="15" t="s">
        <v>169</v>
      </c>
      <c r="C105" s="16">
        <f>'Медикаменты Январь'!L105</f>
        <v>0</v>
      </c>
      <c r="D105" s="17"/>
      <c r="E105" s="14"/>
      <c r="F105" s="18"/>
      <c r="G105" s="19"/>
      <c r="H105" s="20"/>
      <c r="I105" s="21"/>
      <c r="J105" s="14"/>
      <c r="K105" s="14">
        <f t="shared" si="2"/>
        <v>0</v>
      </c>
      <c r="L105" s="16">
        <f t="shared" si="3"/>
        <v>0</v>
      </c>
      <c r="M105" s="22">
        <v>44197</v>
      </c>
      <c r="N105" s="23" t="s">
        <v>16</v>
      </c>
      <c r="O105" s="24"/>
      <c r="P105" s="23" t="s">
        <v>170</v>
      </c>
    </row>
    <row r="106" spans="1:16">
      <c r="A106" s="14">
        <v>102</v>
      </c>
      <c r="B106" s="15" t="s">
        <v>171</v>
      </c>
      <c r="C106" s="16">
        <f>'Медикаменты Январь'!L106</f>
        <v>0</v>
      </c>
      <c r="D106" s="17"/>
      <c r="E106" s="14"/>
      <c r="F106" s="18"/>
      <c r="G106" s="19"/>
      <c r="H106" s="20"/>
      <c r="I106" s="21"/>
      <c r="J106" s="14"/>
      <c r="K106" s="14">
        <f t="shared" si="2"/>
        <v>0</v>
      </c>
      <c r="L106" s="16">
        <f t="shared" si="3"/>
        <v>0</v>
      </c>
      <c r="M106" s="22"/>
      <c r="N106" s="23" t="s">
        <v>16</v>
      </c>
      <c r="O106" s="24"/>
      <c r="P106" s="25"/>
    </row>
    <row r="107" spans="1:16">
      <c r="A107" s="14">
        <v>103</v>
      </c>
      <c r="B107" s="15" t="s">
        <v>172</v>
      </c>
      <c r="C107" s="16">
        <f>'Медикаменты Январь'!L107</f>
        <v>35</v>
      </c>
      <c r="D107" s="17"/>
      <c r="E107" s="14"/>
      <c r="F107" s="18"/>
      <c r="G107" s="19"/>
      <c r="H107" s="20"/>
      <c r="I107" s="21"/>
      <c r="J107" s="14"/>
      <c r="K107" s="14">
        <f t="shared" si="2"/>
        <v>0</v>
      </c>
      <c r="L107" s="16">
        <f t="shared" si="3"/>
        <v>35</v>
      </c>
      <c r="M107" s="22">
        <v>44287</v>
      </c>
      <c r="N107" s="23" t="s">
        <v>26</v>
      </c>
      <c r="O107" s="24" t="s">
        <v>17</v>
      </c>
      <c r="P107" s="23" t="s">
        <v>173</v>
      </c>
    </row>
    <row r="108" spans="1:16">
      <c r="A108" s="14">
        <v>104</v>
      </c>
      <c r="B108" s="15" t="s">
        <v>172</v>
      </c>
      <c r="C108" s="16">
        <f>'Медикаменты Январь'!L108</f>
        <v>85</v>
      </c>
      <c r="D108" s="17"/>
      <c r="E108" s="14"/>
      <c r="F108" s="18"/>
      <c r="G108" s="19"/>
      <c r="H108" s="20"/>
      <c r="I108" s="21"/>
      <c r="J108" s="14"/>
      <c r="K108" s="14">
        <f t="shared" si="2"/>
        <v>0</v>
      </c>
      <c r="L108" s="16">
        <f t="shared" si="3"/>
        <v>85</v>
      </c>
      <c r="M108" s="22">
        <v>44805</v>
      </c>
      <c r="N108" s="23" t="s">
        <v>26</v>
      </c>
      <c r="O108" s="24" t="s">
        <v>17</v>
      </c>
      <c r="P108" s="23" t="s">
        <v>173</v>
      </c>
    </row>
    <row r="109" spans="1:16">
      <c r="A109" s="14">
        <v>105</v>
      </c>
      <c r="B109" s="15" t="s">
        <v>174</v>
      </c>
      <c r="C109" s="16">
        <f>'Медикаменты Январь'!L109</f>
        <v>0</v>
      </c>
      <c r="D109" s="17"/>
      <c r="E109" s="14"/>
      <c r="F109" s="18"/>
      <c r="G109" s="19"/>
      <c r="H109" s="20"/>
      <c r="I109" s="21"/>
      <c r="J109" s="14"/>
      <c r="K109" s="14">
        <f t="shared" si="2"/>
        <v>0</v>
      </c>
      <c r="L109" s="16">
        <f t="shared" si="3"/>
        <v>0</v>
      </c>
      <c r="M109" s="22"/>
      <c r="N109" s="23" t="s">
        <v>16</v>
      </c>
      <c r="O109" s="24"/>
      <c r="P109" s="25"/>
    </row>
    <row r="110" spans="1:16">
      <c r="A110" s="14">
        <v>106</v>
      </c>
      <c r="B110" s="15" t="s">
        <v>175</v>
      </c>
      <c r="C110" s="16">
        <f>'Медикаменты Январь'!L110</f>
        <v>219</v>
      </c>
      <c r="D110" s="17"/>
      <c r="E110" s="14"/>
      <c r="F110" s="18"/>
      <c r="G110" s="19"/>
      <c r="H110" s="20"/>
      <c r="I110" s="21"/>
      <c r="J110" s="14"/>
      <c r="K110" s="14">
        <f t="shared" si="2"/>
        <v>0</v>
      </c>
      <c r="L110" s="16">
        <f t="shared" si="3"/>
        <v>219</v>
      </c>
      <c r="M110" s="22">
        <v>44317</v>
      </c>
      <c r="N110" s="23" t="s">
        <v>16</v>
      </c>
      <c r="O110" s="24" t="s">
        <v>17</v>
      </c>
      <c r="P110" s="23" t="s">
        <v>176</v>
      </c>
    </row>
    <row r="111" spans="1:16">
      <c r="A111" s="14">
        <v>107</v>
      </c>
      <c r="B111" s="15" t="s">
        <v>177</v>
      </c>
      <c r="C111" s="16">
        <f>'Медикаменты Январь'!L111</f>
        <v>0</v>
      </c>
      <c r="D111" s="17"/>
      <c r="E111" s="14"/>
      <c r="F111" s="18"/>
      <c r="G111" s="19"/>
      <c r="H111" s="20"/>
      <c r="I111" s="21"/>
      <c r="J111" s="14"/>
      <c r="K111" s="14">
        <f t="shared" si="2"/>
        <v>0</v>
      </c>
      <c r="L111" s="16">
        <f t="shared" si="3"/>
        <v>0</v>
      </c>
      <c r="M111" s="22"/>
      <c r="N111" s="23" t="s">
        <v>16</v>
      </c>
      <c r="O111" s="24"/>
      <c r="P111" s="25"/>
    </row>
    <row r="112" spans="1:16">
      <c r="A112" s="14">
        <v>108</v>
      </c>
      <c r="B112" s="15" t="s">
        <v>178</v>
      </c>
      <c r="C112" s="16">
        <f>'Медикаменты Январь'!L112</f>
        <v>23</v>
      </c>
      <c r="D112" s="17"/>
      <c r="E112" s="14"/>
      <c r="F112" s="18"/>
      <c r="G112" s="19"/>
      <c r="H112" s="20"/>
      <c r="I112" s="21"/>
      <c r="J112" s="14"/>
      <c r="K112" s="14">
        <f t="shared" si="2"/>
        <v>0</v>
      </c>
      <c r="L112" s="16">
        <f t="shared" si="3"/>
        <v>23</v>
      </c>
      <c r="M112" s="22">
        <v>44378</v>
      </c>
      <c r="N112" s="23" t="s">
        <v>16</v>
      </c>
      <c r="O112" s="24" t="s">
        <v>17</v>
      </c>
      <c r="P112" s="23" t="s">
        <v>179</v>
      </c>
    </row>
    <row r="113" spans="1:16">
      <c r="A113" s="14">
        <v>109</v>
      </c>
      <c r="B113" s="15" t="s">
        <v>180</v>
      </c>
      <c r="C113" s="16">
        <f>'Медикаменты Январь'!L113</f>
        <v>70</v>
      </c>
      <c r="D113" s="17"/>
      <c r="E113" s="14"/>
      <c r="F113" s="18"/>
      <c r="G113" s="19"/>
      <c r="H113" s="20"/>
      <c r="I113" s="21"/>
      <c r="J113" s="14"/>
      <c r="K113" s="14">
        <f t="shared" si="2"/>
        <v>0</v>
      </c>
      <c r="L113" s="16">
        <f t="shared" si="3"/>
        <v>70</v>
      </c>
      <c r="M113" s="22">
        <v>45200</v>
      </c>
      <c r="N113" s="23" t="s">
        <v>16</v>
      </c>
      <c r="O113" s="24" t="s">
        <v>17</v>
      </c>
      <c r="P113" s="23" t="s">
        <v>181</v>
      </c>
    </row>
    <row r="114" spans="1:16">
      <c r="A114" s="14">
        <v>110</v>
      </c>
      <c r="B114" s="15" t="s">
        <v>182</v>
      </c>
      <c r="C114" s="16">
        <f>'Медикаменты Январь'!L114</f>
        <v>0</v>
      </c>
      <c r="D114" s="17"/>
      <c r="E114" s="14"/>
      <c r="F114" s="18"/>
      <c r="G114" s="19"/>
      <c r="H114" s="20"/>
      <c r="I114" s="21"/>
      <c r="J114" s="14"/>
      <c r="K114" s="14">
        <f t="shared" si="2"/>
        <v>0</v>
      </c>
      <c r="L114" s="16">
        <f t="shared" si="3"/>
        <v>0</v>
      </c>
      <c r="M114" s="22">
        <v>44409</v>
      </c>
      <c r="N114" s="23" t="s">
        <v>16</v>
      </c>
      <c r="O114" s="24"/>
      <c r="P114" s="23" t="s">
        <v>183</v>
      </c>
    </row>
    <row r="115" spans="1:16">
      <c r="A115" s="14">
        <v>111</v>
      </c>
      <c r="B115" s="15" t="s">
        <v>184</v>
      </c>
      <c r="C115" s="16">
        <f>'Медикаменты Январь'!L115</f>
        <v>10</v>
      </c>
      <c r="D115" s="17"/>
      <c r="E115" s="14"/>
      <c r="F115" s="18"/>
      <c r="G115" s="19"/>
      <c r="H115" s="20"/>
      <c r="I115" s="21"/>
      <c r="J115" s="14"/>
      <c r="K115" s="14">
        <f t="shared" si="2"/>
        <v>0</v>
      </c>
      <c r="L115" s="16">
        <f t="shared" si="3"/>
        <v>10</v>
      </c>
      <c r="M115" s="22">
        <v>44986</v>
      </c>
      <c r="N115" s="23" t="s">
        <v>16</v>
      </c>
      <c r="O115" s="24" t="s">
        <v>17</v>
      </c>
      <c r="P115" s="23" t="s">
        <v>185</v>
      </c>
    </row>
    <row r="116" spans="1:16">
      <c r="A116" s="14">
        <v>112</v>
      </c>
      <c r="B116" s="15" t="s">
        <v>186</v>
      </c>
      <c r="C116" s="16">
        <f>'Медикаменты Январь'!L116</f>
        <v>4</v>
      </c>
      <c r="D116" s="17"/>
      <c r="E116" s="14"/>
      <c r="F116" s="18"/>
      <c r="G116" s="19"/>
      <c r="H116" s="20"/>
      <c r="I116" s="21"/>
      <c r="J116" s="14"/>
      <c r="K116" s="14">
        <f t="shared" si="2"/>
        <v>0</v>
      </c>
      <c r="L116" s="16">
        <f t="shared" si="3"/>
        <v>4</v>
      </c>
      <c r="M116" s="22">
        <v>44743</v>
      </c>
      <c r="N116" s="23" t="s">
        <v>16</v>
      </c>
      <c r="O116" s="24" t="s">
        <v>17</v>
      </c>
      <c r="P116" s="23" t="s">
        <v>187</v>
      </c>
    </row>
    <row r="117" spans="1:16">
      <c r="A117" s="14">
        <v>113</v>
      </c>
      <c r="B117" s="15" t="s">
        <v>188</v>
      </c>
      <c r="C117" s="16">
        <f>'Медикаменты Январь'!L117</f>
        <v>0</v>
      </c>
      <c r="D117" s="17"/>
      <c r="E117" s="14"/>
      <c r="F117" s="18"/>
      <c r="G117" s="19"/>
      <c r="H117" s="20"/>
      <c r="I117" s="21"/>
      <c r="J117" s="14"/>
      <c r="K117" s="14">
        <f t="shared" si="2"/>
        <v>0</v>
      </c>
      <c r="L117" s="16">
        <f t="shared" si="3"/>
        <v>0</v>
      </c>
      <c r="M117" s="22"/>
      <c r="N117" s="23" t="s">
        <v>16</v>
      </c>
      <c r="O117" s="24"/>
      <c r="P117" s="25"/>
    </row>
    <row r="118" spans="1:16">
      <c r="A118" s="14">
        <v>114</v>
      </c>
      <c r="B118" s="15" t="s">
        <v>189</v>
      </c>
      <c r="C118" s="16">
        <f>'Медикаменты Январь'!L118</f>
        <v>6</v>
      </c>
      <c r="D118" s="17"/>
      <c r="E118" s="14"/>
      <c r="F118" s="18"/>
      <c r="G118" s="19"/>
      <c r="H118" s="20"/>
      <c r="I118" s="21"/>
      <c r="J118" s="14"/>
      <c r="K118" s="14">
        <f t="shared" si="2"/>
        <v>0</v>
      </c>
      <c r="L118" s="16">
        <f t="shared" si="3"/>
        <v>6</v>
      </c>
      <c r="M118" s="22">
        <v>44348</v>
      </c>
      <c r="N118" s="23" t="s">
        <v>16</v>
      </c>
      <c r="O118" s="24" t="s">
        <v>45</v>
      </c>
      <c r="P118" s="28" t="s">
        <v>190</v>
      </c>
    </row>
    <row r="119" spans="1:16">
      <c r="A119" s="14">
        <v>115</v>
      </c>
      <c r="B119" s="15" t="s">
        <v>191</v>
      </c>
      <c r="C119" s="16">
        <f>'Медикаменты Январь'!L119</f>
        <v>0</v>
      </c>
      <c r="D119" s="17"/>
      <c r="E119" s="14"/>
      <c r="F119" s="18"/>
      <c r="G119" s="19"/>
      <c r="H119" s="20"/>
      <c r="I119" s="21"/>
      <c r="J119" s="14"/>
      <c r="K119" s="14">
        <f t="shared" si="2"/>
        <v>0</v>
      </c>
      <c r="L119" s="16">
        <f t="shared" si="3"/>
        <v>0</v>
      </c>
      <c r="M119" s="22"/>
      <c r="N119" s="23" t="s">
        <v>16</v>
      </c>
      <c r="O119" s="24"/>
      <c r="P119" s="25"/>
    </row>
    <row r="120" spans="1:16">
      <c r="A120" s="14">
        <v>116</v>
      </c>
      <c r="B120" s="15" t="s">
        <v>192</v>
      </c>
      <c r="C120" s="16">
        <f>'Медикаменты Январь'!L120</f>
        <v>140</v>
      </c>
      <c r="D120" s="17"/>
      <c r="E120" s="14"/>
      <c r="F120" s="18">
        <f>10</f>
        <v>10</v>
      </c>
      <c r="G120" s="19"/>
      <c r="H120" s="20"/>
      <c r="I120" s="21"/>
      <c r="J120" s="14"/>
      <c r="K120" s="14">
        <f t="shared" si="2"/>
        <v>10</v>
      </c>
      <c r="L120" s="16">
        <f t="shared" si="3"/>
        <v>130</v>
      </c>
      <c r="M120" s="22">
        <v>45047</v>
      </c>
      <c r="N120" s="23" t="s">
        <v>16</v>
      </c>
      <c r="O120" s="24" t="s">
        <v>17</v>
      </c>
      <c r="P120" s="28" t="s">
        <v>193</v>
      </c>
    </row>
    <row r="121" spans="1:16">
      <c r="A121" s="14">
        <v>117</v>
      </c>
      <c r="B121" s="15" t="s">
        <v>192</v>
      </c>
      <c r="C121" s="16">
        <f>'Медикаменты Январь'!L121</f>
        <v>0</v>
      </c>
      <c r="D121" s="17"/>
      <c r="E121" s="14"/>
      <c r="F121" s="18"/>
      <c r="G121" s="19"/>
      <c r="H121" s="20"/>
      <c r="I121" s="21"/>
      <c r="J121" s="14"/>
      <c r="K121" s="14">
        <f t="shared" si="2"/>
        <v>0</v>
      </c>
      <c r="L121" s="16">
        <f t="shared" si="3"/>
        <v>0</v>
      </c>
      <c r="M121" s="22">
        <v>45047</v>
      </c>
      <c r="N121" s="23" t="s">
        <v>26</v>
      </c>
      <c r="O121" s="24"/>
      <c r="P121" s="28" t="s">
        <v>193</v>
      </c>
    </row>
    <row r="122" spans="1:16">
      <c r="A122" s="14">
        <v>118</v>
      </c>
      <c r="B122" s="15" t="s">
        <v>194</v>
      </c>
      <c r="C122" s="16">
        <f>'Медикаменты Январь'!L122</f>
        <v>10</v>
      </c>
      <c r="D122" s="17"/>
      <c r="E122" s="14"/>
      <c r="F122" s="18"/>
      <c r="G122" s="19"/>
      <c r="H122" s="20"/>
      <c r="I122" s="21"/>
      <c r="J122" s="14"/>
      <c r="K122" s="14">
        <f t="shared" si="2"/>
        <v>0</v>
      </c>
      <c r="L122" s="16">
        <f t="shared" si="3"/>
        <v>10</v>
      </c>
      <c r="M122" s="22">
        <v>45658</v>
      </c>
      <c r="N122" s="23" t="s">
        <v>16</v>
      </c>
      <c r="O122" s="24" t="s">
        <v>45</v>
      </c>
      <c r="P122" s="28" t="s">
        <v>195</v>
      </c>
    </row>
    <row r="123" spans="1:16">
      <c r="A123" s="14">
        <v>119</v>
      </c>
      <c r="B123" s="15" t="s">
        <v>196</v>
      </c>
      <c r="C123" s="16">
        <f>'Медикаменты Январь'!L123</f>
        <v>56</v>
      </c>
      <c r="D123" s="17"/>
      <c r="E123" s="14"/>
      <c r="F123" s="18"/>
      <c r="G123" s="19"/>
      <c r="H123" s="20"/>
      <c r="I123" s="21"/>
      <c r="J123" s="14"/>
      <c r="K123" s="14">
        <f t="shared" si="2"/>
        <v>0</v>
      </c>
      <c r="L123" s="16">
        <f t="shared" si="3"/>
        <v>56</v>
      </c>
      <c r="M123" s="22">
        <v>44593</v>
      </c>
      <c r="N123" s="23" t="s">
        <v>16</v>
      </c>
      <c r="O123" s="24" t="s">
        <v>17</v>
      </c>
      <c r="P123" s="28" t="s">
        <v>197</v>
      </c>
    </row>
    <row r="124" spans="1:16">
      <c r="A124" s="14">
        <v>120</v>
      </c>
      <c r="B124" s="15" t="s">
        <v>198</v>
      </c>
      <c r="C124" s="16">
        <f>'Медикаменты Январь'!L124</f>
        <v>0</v>
      </c>
      <c r="D124" s="17"/>
      <c r="E124" s="14"/>
      <c r="F124" s="18"/>
      <c r="G124" s="19"/>
      <c r="H124" s="20"/>
      <c r="I124" s="21"/>
      <c r="J124" s="14"/>
      <c r="K124" s="14">
        <f t="shared" si="2"/>
        <v>0</v>
      </c>
      <c r="L124" s="16">
        <f t="shared" si="3"/>
        <v>0</v>
      </c>
      <c r="M124" s="22"/>
      <c r="N124" s="23" t="s">
        <v>16</v>
      </c>
      <c r="O124" s="24"/>
      <c r="P124" s="25"/>
    </row>
    <row r="125" spans="1:16">
      <c r="A125" s="14">
        <v>121</v>
      </c>
      <c r="B125" s="15" t="s">
        <v>199</v>
      </c>
      <c r="C125" s="16">
        <f>'Медикаменты Январь'!L125</f>
        <v>0</v>
      </c>
      <c r="D125" s="17"/>
      <c r="E125" s="14"/>
      <c r="F125" s="18"/>
      <c r="G125" s="19"/>
      <c r="H125" s="20"/>
      <c r="I125" s="21"/>
      <c r="J125" s="14"/>
      <c r="K125" s="14">
        <f t="shared" si="2"/>
        <v>0</v>
      </c>
      <c r="L125" s="16">
        <f t="shared" si="3"/>
        <v>0</v>
      </c>
      <c r="M125" s="22"/>
      <c r="N125" s="23" t="s">
        <v>16</v>
      </c>
      <c r="O125" s="24"/>
      <c r="P125" s="25"/>
    </row>
    <row r="126" spans="1:16">
      <c r="A126" s="14">
        <v>122</v>
      </c>
      <c r="B126" s="15" t="s">
        <v>200</v>
      </c>
      <c r="C126" s="16">
        <f>'Медикаменты Январь'!L126</f>
        <v>273</v>
      </c>
      <c r="D126" s="17"/>
      <c r="E126" s="14"/>
      <c r="F126" s="18">
        <f>5</f>
        <v>5</v>
      </c>
      <c r="G126" s="19"/>
      <c r="H126" s="20"/>
      <c r="I126" s="21"/>
      <c r="J126" s="14"/>
      <c r="K126" s="14">
        <f t="shared" si="2"/>
        <v>5</v>
      </c>
      <c r="L126" s="16">
        <f t="shared" si="3"/>
        <v>268</v>
      </c>
      <c r="M126" s="22">
        <v>45658</v>
      </c>
      <c r="N126" s="23" t="s">
        <v>26</v>
      </c>
      <c r="O126" s="24" t="s">
        <v>17</v>
      </c>
      <c r="P126" s="23" t="s">
        <v>201</v>
      </c>
    </row>
    <row r="127" spans="1:16">
      <c r="A127" s="14">
        <v>123</v>
      </c>
      <c r="B127" s="15" t="s">
        <v>202</v>
      </c>
      <c r="C127" s="16">
        <f>'Медикаменты Январь'!L127</f>
        <v>0</v>
      </c>
      <c r="D127" s="17"/>
      <c r="E127" s="14"/>
      <c r="F127" s="18"/>
      <c r="G127" s="19"/>
      <c r="H127" s="20"/>
      <c r="I127" s="21"/>
      <c r="J127" s="14"/>
      <c r="K127" s="14">
        <f t="shared" si="2"/>
        <v>0</v>
      </c>
      <c r="L127" s="16">
        <f t="shared" si="3"/>
        <v>0</v>
      </c>
      <c r="M127" s="22"/>
      <c r="N127" s="23" t="s">
        <v>16</v>
      </c>
      <c r="O127" s="24"/>
      <c r="P127" s="25"/>
    </row>
    <row r="128" spans="1:16">
      <c r="A128" s="14">
        <v>124</v>
      </c>
      <c r="B128" s="15" t="s">
        <v>203</v>
      </c>
      <c r="C128" s="16">
        <f>'Медикаменты Январь'!L128</f>
        <v>0</v>
      </c>
      <c r="D128" s="17"/>
      <c r="E128" s="14"/>
      <c r="F128" s="18"/>
      <c r="G128" s="19"/>
      <c r="H128" s="20"/>
      <c r="I128" s="21"/>
      <c r="J128" s="14"/>
      <c r="K128" s="14">
        <f t="shared" si="2"/>
        <v>0</v>
      </c>
      <c r="L128" s="16">
        <f t="shared" si="3"/>
        <v>0</v>
      </c>
      <c r="M128" s="22">
        <v>44287</v>
      </c>
      <c r="N128" s="23" t="s">
        <v>16</v>
      </c>
      <c r="O128" s="24"/>
      <c r="P128" s="23" t="s">
        <v>204</v>
      </c>
    </row>
    <row r="129" spans="1:16">
      <c r="A129" s="14">
        <v>125</v>
      </c>
      <c r="B129" s="15" t="s">
        <v>205</v>
      </c>
      <c r="C129" s="16">
        <f>'Медикаменты Январь'!L129</f>
        <v>0</v>
      </c>
      <c r="D129" s="17"/>
      <c r="E129" s="14"/>
      <c r="F129" s="18"/>
      <c r="G129" s="19"/>
      <c r="H129" s="20"/>
      <c r="I129" s="21"/>
      <c r="J129" s="14"/>
      <c r="K129" s="14">
        <f t="shared" si="2"/>
        <v>0</v>
      </c>
      <c r="L129" s="16">
        <f t="shared" si="3"/>
        <v>0</v>
      </c>
      <c r="M129" s="22"/>
      <c r="N129" s="23" t="s">
        <v>16</v>
      </c>
      <c r="O129" s="24"/>
      <c r="P129" s="25"/>
    </row>
    <row r="130" spans="1:16">
      <c r="A130" s="14">
        <v>126</v>
      </c>
      <c r="B130" s="15" t="s">
        <v>206</v>
      </c>
      <c r="C130" s="16">
        <f>'Медикаменты Январь'!L130</f>
        <v>0</v>
      </c>
      <c r="D130" s="17"/>
      <c r="E130" s="14"/>
      <c r="F130" s="18"/>
      <c r="G130" s="19"/>
      <c r="H130" s="20"/>
      <c r="I130" s="21"/>
      <c r="J130" s="14"/>
      <c r="K130" s="14">
        <f t="shared" si="2"/>
        <v>0</v>
      </c>
      <c r="L130" s="16">
        <f t="shared" si="3"/>
        <v>0</v>
      </c>
      <c r="M130" s="22"/>
      <c r="N130" s="23" t="s">
        <v>16</v>
      </c>
      <c r="O130" s="24"/>
      <c r="P130" s="25"/>
    </row>
    <row r="131" spans="1:16">
      <c r="A131" s="14">
        <v>127</v>
      </c>
      <c r="B131" s="15" t="s">
        <v>207</v>
      </c>
      <c r="C131" s="16">
        <f>'Медикаменты Январь'!L131</f>
        <v>0</v>
      </c>
      <c r="D131" s="17"/>
      <c r="E131" s="14"/>
      <c r="F131" s="18"/>
      <c r="G131" s="19"/>
      <c r="H131" s="20"/>
      <c r="I131" s="21"/>
      <c r="J131" s="14"/>
      <c r="K131" s="14">
        <f t="shared" si="2"/>
        <v>0</v>
      </c>
      <c r="L131" s="16">
        <f t="shared" si="3"/>
        <v>0</v>
      </c>
      <c r="M131" s="22"/>
      <c r="N131" s="23" t="s">
        <v>16</v>
      </c>
      <c r="O131" s="24"/>
      <c r="P131" s="25"/>
    </row>
    <row r="132" spans="1:16">
      <c r="A132" s="14">
        <v>128</v>
      </c>
      <c r="B132" s="15" t="s">
        <v>208</v>
      </c>
      <c r="C132" s="16">
        <f>'Медикаменты Январь'!L132</f>
        <v>0</v>
      </c>
      <c r="D132" s="17"/>
      <c r="E132" s="14"/>
      <c r="F132" s="18"/>
      <c r="G132" s="19"/>
      <c r="H132" s="20"/>
      <c r="I132" s="21"/>
      <c r="J132" s="14"/>
      <c r="K132" s="14">
        <f t="shared" si="2"/>
        <v>0</v>
      </c>
      <c r="L132" s="16">
        <f t="shared" si="3"/>
        <v>0</v>
      </c>
      <c r="M132" s="22">
        <v>44986</v>
      </c>
      <c r="N132" s="23" t="s">
        <v>16</v>
      </c>
      <c r="O132" s="24"/>
      <c r="P132" s="23" t="s">
        <v>209</v>
      </c>
    </row>
    <row r="133" spans="1:16">
      <c r="A133" s="14">
        <v>129</v>
      </c>
      <c r="B133" s="15" t="s">
        <v>210</v>
      </c>
      <c r="C133" s="16">
        <f>'Медикаменты Январь'!L133</f>
        <v>122</v>
      </c>
      <c r="D133" s="17"/>
      <c r="E133" s="14"/>
      <c r="F133" s="18">
        <f>10</f>
        <v>10</v>
      </c>
      <c r="G133" s="19"/>
      <c r="H133" s="20"/>
      <c r="I133" s="21"/>
      <c r="J133" s="14"/>
      <c r="K133" s="14">
        <f t="shared" ref="K133:K196" si="4">SUM(F133:J133)</f>
        <v>10</v>
      </c>
      <c r="L133" s="16">
        <f t="shared" ref="L133:L196" si="5">(C133+E133)-K133</f>
        <v>112</v>
      </c>
      <c r="M133" s="22">
        <v>45413</v>
      </c>
      <c r="N133" s="23" t="s">
        <v>16</v>
      </c>
      <c r="O133" s="24" t="s">
        <v>17</v>
      </c>
      <c r="P133" s="23" t="s">
        <v>211</v>
      </c>
    </row>
    <row r="134" spans="1:16">
      <c r="A134" s="14">
        <v>130</v>
      </c>
      <c r="B134" s="15" t="s">
        <v>210</v>
      </c>
      <c r="C134" s="16">
        <f>'Медикаменты Январь'!L134</f>
        <v>32</v>
      </c>
      <c r="D134" s="17"/>
      <c r="E134" s="14"/>
      <c r="F134" s="18"/>
      <c r="G134" s="19"/>
      <c r="H134" s="20"/>
      <c r="I134" s="21"/>
      <c r="J134" s="14"/>
      <c r="K134" s="14">
        <f t="shared" si="4"/>
        <v>0</v>
      </c>
      <c r="L134" s="16">
        <f t="shared" si="5"/>
        <v>32</v>
      </c>
      <c r="M134" s="22">
        <v>45413</v>
      </c>
      <c r="N134" s="23" t="s">
        <v>26</v>
      </c>
      <c r="O134" s="24" t="s">
        <v>17</v>
      </c>
      <c r="P134" s="23" t="s">
        <v>211</v>
      </c>
    </row>
    <row r="135" spans="1:16">
      <c r="A135" s="14">
        <v>131</v>
      </c>
      <c r="B135" s="15" t="s">
        <v>212</v>
      </c>
      <c r="C135" s="16">
        <f>'Медикаменты Январь'!L135</f>
        <v>0</v>
      </c>
      <c r="D135" s="17"/>
      <c r="E135" s="14"/>
      <c r="F135" s="18"/>
      <c r="G135" s="19"/>
      <c r="H135" s="20"/>
      <c r="I135" s="21"/>
      <c r="J135" s="14"/>
      <c r="K135" s="14">
        <f t="shared" si="4"/>
        <v>0</v>
      </c>
      <c r="L135" s="16">
        <f t="shared" si="5"/>
        <v>0</v>
      </c>
      <c r="M135" s="22"/>
      <c r="N135" s="23" t="s">
        <v>16</v>
      </c>
      <c r="O135" s="24"/>
      <c r="P135" s="25"/>
    </row>
    <row r="136" spans="1:16" ht="26.25">
      <c r="A136" s="14">
        <v>132</v>
      </c>
      <c r="B136" s="15" t="s">
        <v>213</v>
      </c>
      <c r="C136" s="16">
        <f>'Медикаменты Январь'!L136</f>
        <v>68</v>
      </c>
      <c r="D136" s="17"/>
      <c r="E136" s="14"/>
      <c r="F136" s="18"/>
      <c r="G136" s="19"/>
      <c r="H136" s="20"/>
      <c r="I136" s="21"/>
      <c r="J136" s="14"/>
      <c r="K136" s="14">
        <f t="shared" si="4"/>
        <v>0</v>
      </c>
      <c r="L136" s="16">
        <f t="shared" si="5"/>
        <v>68</v>
      </c>
      <c r="M136" s="22">
        <v>44409</v>
      </c>
      <c r="N136" s="23" t="s">
        <v>16</v>
      </c>
      <c r="O136" s="24" t="s">
        <v>17</v>
      </c>
      <c r="P136" s="28" t="s">
        <v>214</v>
      </c>
    </row>
    <row r="137" spans="1:16">
      <c r="A137" s="14">
        <v>133</v>
      </c>
      <c r="B137" s="15" t="s">
        <v>215</v>
      </c>
      <c r="C137" s="16">
        <f>'Медикаменты Январь'!L137</f>
        <v>0</v>
      </c>
      <c r="D137" s="17"/>
      <c r="E137" s="14"/>
      <c r="F137" s="18"/>
      <c r="G137" s="19"/>
      <c r="H137" s="20"/>
      <c r="I137" s="21"/>
      <c r="J137" s="14"/>
      <c r="K137" s="14">
        <f t="shared" si="4"/>
        <v>0</v>
      </c>
      <c r="L137" s="16">
        <f t="shared" si="5"/>
        <v>0</v>
      </c>
      <c r="M137" s="22"/>
      <c r="N137" s="23" t="s">
        <v>26</v>
      </c>
      <c r="O137" s="24"/>
      <c r="P137" s="25"/>
    </row>
    <row r="138" spans="1:16" ht="26.25">
      <c r="A138" s="14">
        <v>134</v>
      </c>
      <c r="B138" s="15" t="s">
        <v>216</v>
      </c>
      <c r="C138" s="16">
        <f>'Медикаменты Январь'!L138</f>
        <v>31</v>
      </c>
      <c r="D138" s="17"/>
      <c r="E138" s="14"/>
      <c r="F138" s="18"/>
      <c r="G138" s="19"/>
      <c r="H138" s="20"/>
      <c r="I138" s="21"/>
      <c r="J138" s="14"/>
      <c r="K138" s="14">
        <f t="shared" si="4"/>
        <v>0</v>
      </c>
      <c r="L138" s="16">
        <f t="shared" si="5"/>
        <v>31</v>
      </c>
      <c r="M138" s="22">
        <v>44805</v>
      </c>
      <c r="N138" s="23" t="s">
        <v>16</v>
      </c>
      <c r="O138" s="24" t="s">
        <v>17</v>
      </c>
      <c r="P138" s="28" t="s">
        <v>217</v>
      </c>
    </row>
    <row r="139" spans="1:16">
      <c r="A139" s="14">
        <v>135</v>
      </c>
      <c r="B139" s="15" t="s">
        <v>216</v>
      </c>
      <c r="C139" s="16">
        <f>'Медикаменты Январь'!L139</f>
        <v>0</v>
      </c>
      <c r="D139" s="17"/>
      <c r="E139" s="14"/>
      <c r="F139" s="18"/>
      <c r="G139" s="19"/>
      <c r="H139" s="20"/>
      <c r="I139" s="21"/>
      <c r="J139" s="14"/>
      <c r="K139" s="14">
        <f t="shared" si="4"/>
        <v>0</v>
      </c>
      <c r="L139" s="16">
        <f t="shared" si="5"/>
        <v>0</v>
      </c>
      <c r="M139" s="22"/>
      <c r="N139" s="23" t="s">
        <v>26</v>
      </c>
      <c r="O139" s="24"/>
      <c r="P139" s="25"/>
    </row>
    <row r="140" spans="1:16">
      <c r="A140" s="14">
        <v>136</v>
      </c>
      <c r="B140" s="15" t="s">
        <v>218</v>
      </c>
      <c r="C140" s="16">
        <f>'Медикаменты Январь'!L140</f>
        <v>0</v>
      </c>
      <c r="D140" s="17"/>
      <c r="E140" s="14"/>
      <c r="F140" s="18"/>
      <c r="G140" s="19"/>
      <c r="H140" s="20"/>
      <c r="I140" s="21"/>
      <c r="J140" s="14"/>
      <c r="K140" s="14">
        <f t="shared" si="4"/>
        <v>0</v>
      </c>
      <c r="L140" s="16">
        <f t="shared" si="5"/>
        <v>0</v>
      </c>
      <c r="M140" s="22"/>
      <c r="N140" s="23" t="s">
        <v>16</v>
      </c>
      <c r="O140" s="24"/>
      <c r="P140" s="25"/>
    </row>
    <row r="141" spans="1:16">
      <c r="A141" s="14">
        <v>137</v>
      </c>
      <c r="B141" s="15" t="s">
        <v>219</v>
      </c>
      <c r="C141" s="16">
        <f>'Медикаменты Январь'!L141</f>
        <v>0</v>
      </c>
      <c r="D141" s="17"/>
      <c r="E141" s="14"/>
      <c r="F141" s="18"/>
      <c r="G141" s="19"/>
      <c r="H141" s="20"/>
      <c r="I141" s="21"/>
      <c r="J141" s="14"/>
      <c r="K141" s="14">
        <f t="shared" si="4"/>
        <v>0</v>
      </c>
      <c r="L141" s="16">
        <f t="shared" si="5"/>
        <v>0</v>
      </c>
      <c r="M141" s="22"/>
      <c r="N141" s="23" t="s">
        <v>16</v>
      </c>
      <c r="O141" s="24"/>
      <c r="P141" s="25"/>
    </row>
    <row r="142" spans="1:16">
      <c r="A142" s="14">
        <v>138</v>
      </c>
      <c r="B142" s="15" t="s">
        <v>220</v>
      </c>
      <c r="C142" s="16">
        <f>'Медикаменты Январь'!L142</f>
        <v>0</v>
      </c>
      <c r="D142" s="17"/>
      <c r="E142" s="14"/>
      <c r="F142" s="18"/>
      <c r="G142" s="19"/>
      <c r="H142" s="20"/>
      <c r="I142" s="21"/>
      <c r="J142" s="14"/>
      <c r="K142" s="14">
        <f t="shared" si="4"/>
        <v>0</v>
      </c>
      <c r="L142" s="16">
        <f t="shared" si="5"/>
        <v>0</v>
      </c>
      <c r="M142" s="22">
        <v>44256</v>
      </c>
      <c r="N142" s="23" t="s">
        <v>16</v>
      </c>
      <c r="O142" s="24"/>
      <c r="P142" s="23" t="s">
        <v>221</v>
      </c>
    </row>
    <row r="143" spans="1:16">
      <c r="A143" s="14">
        <v>139</v>
      </c>
      <c r="B143" s="15" t="s">
        <v>222</v>
      </c>
      <c r="C143" s="16">
        <f>'Медикаменты Январь'!L143</f>
        <v>99</v>
      </c>
      <c r="D143" s="17"/>
      <c r="E143" s="14"/>
      <c r="F143" s="18">
        <f>5</f>
        <v>5</v>
      </c>
      <c r="G143" s="19"/>
      <c r="H143" s="20"/>
      <c r="I143" s="21"/>
      <c r="J143" s="14"/>
      <c r="K143" s="14">
        <f t="shared" si="4"/>
        <v>5</v>
      </c>
      <c r="L143" s="16">
        <f t="shared" si="5"/>
        <v>94</v>
      </c>
      <c r="M143" s="22">
        <v>44317</v>
      </c>
      <c r="N143" s="23" t="s">
        <v>16</v>
      </c>
      <c r="O143" s="24" t="s">
        <v>17</v>
      </c>
      <c r="P143" s="23" t="s">
        <v>223</v>
      </c>
    </row>
    <row r="144" spans="1:16">
      <c r="A144" s="14">
        <v>140</v>
      </c>
      <c r="B144" s="15" t="s">
        <v>224</v>
      </c>
      <c r="C144" s="16">
        <f>'Медикаменты Январь'!L144</f>
        <v>0</v>
      </c>
      <c r="D144" s="17"/>
      <c r="E144" s="14"/>
      <c r="F144" s="18"/>
      <c r="G144" s="19"/>
      <c r="H144" s="20"/>
      <c r="I144" s="21"/>
      <c r="J144" s="14"/>
      <c r="K144" s="14">
        <f t="shared" si="4"/>
        <v>0</v>
      </c>
      <c r="L144" s="16">
        <f t="shared" si="5"/>
        <v>0</v>
      </c>
      <c r="M144" s="22">
        <v>45261</v>
      </c>
      <c r="N144" s="23" t="s">
        <v>16</v>
      </c>
      <c r="O144" s="24"/>
      <c r="P144" s="28" t="s">
        <v>225</v>
      </c>
    </row>
    <row r="145" spans="1:16">
      <c r="A145" s="14">
        <v>141</v>
      </c>
      <c r="B145" s="15" t="s">
        <v>226</v>
      </c>
      <c r="C145" s="16">
        <f>'Медикаменты Январь'!L145</f>
        <v>0</v>
      </c>
      <c r="D145" s="17"/>
      <c r="E145" s="14"/>
      <c r="F145" s="18"/>
      <c r="G145" s="19"/>
      <c r="H145" s="20"/>
      <c r="I145" s="21"/>
      <c r="J145" s="14"/>
      <c r="K145" s="14">
        <f t="shared" si="4"/>
        <v>0</v>
      </c>
      <c r="L145" s="16">
        <f t="shared" si="5"/>
        <v>0</v>
      </c>
      <c r="M145" s="22"/>
      <c r="N145" s="23" t="s">
        <v>16</v>
      </c>
      <c r="O145" s="24"/>
      <c r="P145" s="25"/>
    </row>
    <row r="146" spans="1:16">
      <c r="A146" s="14">
        <v>142</v>
      </c>
      <c r="B146" s="15" t="s">
        <v>227</v>
      </c>
      <c r="C146" s="16">
        <f>'Медикаменты Январь'!L146</f>
        <v>0</v>
      </c>
      <c r="D146" s="17"/>
      <c r="E146" s="14"/>
      <c r="F146" s="18"/>
      <c r="G146" s="19"/>
      <c r="H146" s="20"/>
      <c r="I146" s="21"/>
      <c r="J146" s="14"/>
      <c r="K146" s="14">
        <f t="shared" si="4"/>
        <v>0</v>
      </c>
      <c r="L146" s="16">
        <f t="shared" si="5"/>
        <v>0</v>
      </c>
      <c r="M146" s="22">
        <v>44562</v>
      </c>
      <c r="N146" s="23" t="s">
        <v>16</v>
      </c>
      <c r="O146" s="24"/>
      <c r="P146" s="23" t="s">
        <v>228</v>
      </c>
    </row>
    <row r="147" spans="1:16">
      <c r="A147" s="14">
        <v>143</v>
      </c>
      <c r="B147" s="15" t="s">
        <v>229</v>
      </c>
      <c r="C147" s="16">
        <f>'Медикаменты Январь'!L147</f>
        <v>36</v>
      </c>
      <c r="D147" s="17"/>
      <c r="E147" s="14"/>
      <c r="F147" s="18"/>
      <c r="G147" s="19"/>
      <c r="H147" s="20"/>
      <c r="I147" s="21"/>
      <c r="J147" s="14"/>
      <c r="K147" s="14">
        <f t="shared" si="4"/>
        <v>0</v>
      </c>
      <c r="L147" s="16">
        <f t="shared" si="5"/>
        <v>36</v>
      </c>
      <c r="M147" s="22">
        <v>44986</v>
      </c>
      <c r="N147" s="23" t="s">
        <v>16</v>
      </c>
      <c r="O147" s="24" t="s">
        <v>17</v>
      </c>
      <c r="P147" s="23" t="s">
        <v>230</v>
      </c>
    </row>
    <row r="148" spans="1:16">
      <c r="A148" s="14">
        <v>144</v>
      </c>
      <c r="B148" s="15" t="s">
        <v>231</v>
      </c>
      <c r="C148" s="16">
        <f>'Медикаменты Январь'!L148</f>
        <v>0</v>
      </c>
      <c r="D148" s="17"/>
      <c r="E148" s="14"/>
      <c r="F148" s="18"/>
      <c r="G148" s="19"/>
      <c r="H148" s="20"/>
      <c r="I148" s="21"/>
      <c r="J148" s="14"/>
      <c r="K148" s="14">
        <f t="shared" si="4"/>
        <v>0</v>
      </c>
      <c r="L148" s="16">
        <f t="shared" si="5"/>
        <v>0</v>
      </c>
      <c r="M148" s="22"/>
      <c r="N148" s="23" t="s">
        <v>16</v>
      </c>
      <c r="O148" s="24"/>
      <c r="P148" s="25"/>
    </row>
    <row r="149" spans="1:16">
      <c r="A149" s="14">
        <v>145</v>
      </c>
      <c r="B149" s="15" t="s">
        <v>232</v>
      </c>
      <c r="C149" s="16">
        <f>'Медикаменты Январь'!L149</f>
        <v>0</v>
      </c>
      <c r="D149" s="17"/>
      <c r="E149" s="14"/>
      <c r="F149" s="18"/>
      <c r="G149" s="19"/>
      <c r="H149" s="20"/>
      <c r="I149" s="21"/>
      <c r="J149" s="14"/>
      <c r="K149" s="14">
        <f t="shared" si="4"/>
        <v>0</v>
      </c>
      <c r="L149" s="16">
        <f t="shared" si="5"/>
        <v>0</v>
      </c>
      <c r="M149" s="22"/>
      <c r="N149" s="23" t="s">
        <v>16</v>
      </c>
      <c r="O149" s="24"/>
      <c r="P149" s="25"/>
    </row>
    <row r="150" spans="1:16">
      <c r="A150" s="14">
        <v>146</v>
      </c>
      <c r="B150" s="15" t="s">
        <v>233</v>
      </c>
      <c r="C150" s="16">
        <f>'Медикаменты Январь'!L150</f>
        <v>31</v>
      </c>
      <c r="D150" s="17"/>
      <c r="E150" s="14"/>
      <c r="F150" s="18">
        <f>2</f>
        <v>2</v>
      </c>
      <c r="G150" s="19"/>
      <c r="H150" s="20"/>
      <c r="I150" s="21"/>
      <c r="J150" s="14"/>
      <c r="K150" s="14">
        <f t="shared" si="4"/>
        <v>2</v>
      </c>
      <c r="L150" s="16">
        <f t="shared" si="5"/>
        <v>29</v>
      </c>
      <c r="M150" s="22">
        <v>44287</v>
      </c>
      <c r="N150" s="23" t="s">
        <v>16</v>
      </c>
      <c r="O150" s="24" t="s">
        <v>45</v>
      </c>
      <c r="P150" s="23" t="s">
        <v>234</v>
      </c>
    </row>
    <row r="151" spans="1:16">
      <c r="A151" s="14">
        <v>147</v>
      </c>
      <c r="B151" s="15" t="s">
        <v>235</v>
      </c>
      <c r="C151" s="16">
        <f>'Медикаменты Январь'!L151</f>
        <v>0</v>
      </c>
      <c r="D151" s="17"/>
      <c r="E151" s="14"/>
      <c r="F151" s="18"/>
      <c r="G151" s="19"/>
      <c r="H151" s="20"/>
      <c r="I151" s="21"/>
      <c r="J151" s="14"/>
      <c r="K151" s="14">
        <f t="shared" si="4"/>
        <v>0</v>
      </c>
      <c r="L151" s="16">
        <f t="shared" si="5"/>
        <v>0</v>
      </c>
      <c r="M151" s="22"/>
      <c r="N151" s="23" t="s">
        <v>16</v>
      </c>
      <c r="O151" s="24"/>
      <c r="P151" s="25"/>
    </row>
    <row r="152" spans="1:16">
      <c r="A152" s="14">
        <v>148</v>
      </c>
      <c r="B152" s="15" t="s">
        <v>236</v>
      </c>
      <c r="C152" s="16">
        <f>'Медикаменты Январь'!L152</f>
        <v>86</v>
      </c>
      <c r="D152" s="17"/>
      <c r="E152" s="14"/>
      <c r="F152" s="18"/>
      <c r="G152" s="19"/>
      <c r="H152" s="20"/>
      <c r="I152" s="21"/>
      <c r="J152" s="14">
        <f>2</f>
        <v>2</v>
      </c>
      <c r="K152" s="14">
        <f t="shared" si="4"/>
        <v>2</v>
      </c>
      <c r="L152" s="16">
        <f t="shared" si="5"/>
        <v>84</v>
      </c>
      <c r="M152" s="22">
        <v>44593</v>
      </c>
      <c r="N152" s="23" t="s">
        <v>16</v>
      </c>
      <c r="O152" s="24" t="s">
        <v>45</v>
      </c>
      <c r="P152" s="28" t="s">
        <v>237</v>
      </c>
    </row>
    <row r="153" spans="1:16">
      <c r="A153" s="14">
        <v>149</v>
      </c>
      <c r="B153" s="15" t="s">
        <v>238</v>
      </c>
      <c r="C153" s="16">
        <f>'Медикаменты Январь'!L153</f>
        <v>0</v>
      </c>
      <c r="D153" s="17"/>
      <c r="E153" s="14"/>
      <c r="F153" s="18"/>
      <c r="G153" s="19"/>
      <c r="H153" s="20"/>
      <c r="I153" s="21"/>
      <c r="J153" s="14"/>
      <c r="K153" s="14">
        <f t="shared" si="4"/>
        <v>0</v>
      </c>
      <c r="L153" s="16">
        <f t="shared" si="5"/>
        <v>0</v>
      </c>
      <c r="M153" s="22"/>
      <c r="N153" s="23" t="s">
        <v>16</v>
      </c>
      <c r="O153" s="24"/>
      <c r="P153" s="25"/>
    </row>
    <row r="154" spans="1:16">
      <c r="A154" s="14">
        <v>150</v>
      </c>
      <c r="B154" s="15" t="s">
        <v>239</v>
      </c>
      <c r="C154" s="16">
        <f>'Медикаменты Январь'!L154</f>
        <v>0</v>
      </c>
      <c r="D154" s="17"/>
      <c r="E154" s="14"/>
      <c r="F154" s="18"/>
      <c r="G154" s="19"/>
      <c r="H154" s="20"/>
      <c r="I154" s="21"/>
      <c r="J154" s="14"/>
      <c r="K154" s="14">
        <f t="shared" si="4"/>
        <v>0</v>
      </c>
      <c r="L154" s="16">
        <f t="shared" si="5"/>
        <v>0</v>
      </c>
      <c r="M154" s="22"/>
      <c r="N154" s="23" t="s">
        <v>16</v>
      </c>
      <c r="O154" s="24"/>
      <c r="P154" s="25"/>
    </row>
    <row r="155" spans="1:16">
      <c r="A155" s="14">
        <v>151</v>
      </c>
      <c r="B155" s="15" t="s">
        <v>240</v>
      </c>
      <c r="C155" s="16">
        <f>'Медикаменты Январь'!L155</f>
        <v>153</v>
      </c>
      <c r="D155" s="17"/>
      <c r="E155" s="14"/>
      <c r="F155" s="18">
        <f>4</f>
        <v>4</v>
      </c>
      <c r="G155" s="19"/>
      <c r="H155" s="20"/>
      <c r="I155" s="21"/>
      <c r="J155" s="14"/>
      <c r="K155" s="14">
        <f t="shared" si="4"/>
        <v>4</v>
      </c>
      <c r="L155" s="16">
        <f t="shared" si="5"/>
        <v>149</v>
      </c>
      <c r="M155" s="22">
        <v>44652</v>
      </c>
      <c r="N155" s="23" t="s">
        <v>16</v>
      </c>
      <c r="O155" s="24" t="s">
        <v>17</v>
      </c>
      <c r="P155" s="28" t="s">
        <v>241</v>
      </c>
    </row>
    <row r="156" spans="1:16">
      <c r="A156" s="14">
        <v>152</v>
      </c>
      <c r="B156" s="15" t="s">
        <v>242</v>
      </c>
      <c r="C156" s="16">
        <f>'Медикаменты Январь'!L156</f>
        <v>0</v>
      </c>
      <c r="D156" s="17"/>
      <c r="E156" s="14"/>
      <c r="F156" s="18"/>
      <c r="G156" s="19"/>
      <c r="H156" s="20"/>
      <c r="I156" s="21"/>
      <c r="J156" s="14"/>
      <c r="K156" s="14">
        <f t="shared" si="4"/>
        <v>0</v>
      </c>
      <c r="L156" s="16">
        <f t="shared" si="5"/>
        <v>0</v>
      </c>
      <c r="M156" s="22"/>
      <c r="N156" s="23" t="s">
        <v>16</v>
      </c>
      <c r="O156" s="24"/>
      <c r="P156" s="25"/>
    </row>
    <row r="157" spans="1:16" ht="26.25">
      <c r="A157" s="14">
        <v>153</v>
      </c>
      <c r="B157" s="15" t="s">
        <v>243</v>
      </c>
      <c r="C157" s="16">
        <f>'Медикаменты Январь'!L157</f>
        <v>156</v>
      </c>
      <c r="D157" s="17"/>
      <c r="E157" s="14"/>
      <c r="F157" s="18"/>
      <c r="G157" s="19"/>
      <c r="H157" s="20"/>
      <c r="I157" s="21"/>
      <c r="J157" s="14">
        <f>1</f>
        <v>1</v>
      </c>
      <c r="K157" s="14">
        <f t="shared" si="4"/>
        <v>1</v>
      </c>
      <c r="L157" s="16">
        <f t="shared" si="5"/>
        <v>155</v>
      </c>
      <c r="M157" s="22">
        <v>44501</v>
      </c>
      <c r="N157" s="23" t="s">
        <v>16</v>
      </c>
      <c r="O157" s="24" t="s">
        <v>17</v>
      </c>
      <c r="P157" s="28" t="s">
        <v>244</v>
      </c>
    </row>
    <row r="158" spans="1:16">
      <c r="A158" s="14">
        <v>154</v>
      </c>
      <c r="B158" s="15" t="s">
        <v>245</v>
      </c>
      <c r="C158" s="16">
        <f>'Медикаменты Январь'!L158</f>
        <v>0</v>
      </c>
      <c r="D158" s="17"/>
      <c r="E158" s="14"/>
      <c r="F158" s="18"/>
      <c r="G158" s="19"/>
      <c r="H158" s="20"/>
      <c r="I158" s="21"/>
      <c r="J158" s="14"/>
      <c r="K158" s="14">
        <f t="shared" si="4"/>
        <v>0</v>
      </c>
      <c r="L158" s="16">
        <f t="shared" si="5"/>
        <v>0</v>
      </c>
      <c r="M158" s="22"/>
      <c r="N158" s="23" t="s">
        <v>16</v>
      </c>
      <c r="O158" s="24"/>
      <c r="P158" s="25"/>
    </row>
    <row r="159" spans="1:16">
      <c r="A159" s="14">
        <v>155</v>
      </c>
      <c r="B159" s="15" t="s">
        <v>246</v>
      </c>
      <c r="C159" s="16">
        <f>'Медикаменты Январь'!L159</f>
        <v>0</v>
      </c>
      <c r="D159" s="17"/>
      <c r="E159" s="14"/>
      <c r="F159" s="18"/>
      <c r="G159" s="19"/>
      <c r="H159" s="20"/>
      <c r="I159" s="21"/>
      <c r="J159" s="14"/>
      <c r="K159" s="14">
        <f t="shared" si="4"/>
        <v>0</v>
      </c>
      <c r="L159" s="16">
        <f t="shared" si="5"/>
        <v>0</v>
      </c>
      <c r="M159" s="22"/>
      <c r="N159" s="23" t="s">
        <v>16</v>
      </c>
      <c r="O159" s="24"/>
      <c r="P159" s="25"/>
    </row>
    <row r="160" spans="1:16">
      <c r="A160" s="14">
        <v>156</v>
      </c>
      <c r="B160" s="15" t="s">
        <v>247</v>
      </c>
      <c r="C160" s="16">
        <f>'Медикаменты Январь'!L160</f>
        <v>0</v>
      </c>
      <c r="D160" s="17"/>
      <c r="E160" s="14"/>
      <c r="F160" s="18"/>
      <c r="G160" s="19"/>
      <c r="H160" s="20"/>
      <c r="I160" s="21"/>
      <c r="J160" s="14"/>
      <c r="K160" s="14">
        <f t="shared" si="4"/>
        <v>0</v>
      </c>
      <c r="L160" s="16">
        <f t="shared" si="5"/>
        <v>0</v>
      </c>
      <c r="M160" s="22"/>
      <c r="N160" s="23" t="s">
        <v>16</v>
      </c>
      <c r="O160" s="24"/>
      <c r="P160" s="25"/>
    </row>
    <row r="161" spans="1:16">
      <c r="A161" s="14">
        <v>157</v>
      </c>
      <c r="B161" s="15" t="s">
        <v>248</v>
      </c>
      <c r="C161" s="16">
        <f>'Медикаменты Январь'!L161</f>
        <v>0</v>
      </c>
      <c r="D161" s="17"/>
      <c r="E161" s="14"/>
      <c r="F161" s="18"/>
      <c r="G161" s="19"/>
      <c r="H161" s="20"/>
      <c r="I161" s="21"/>
      <c r="J161" s="14"/>
      <c r="K161" s="14">
        <f t="shared" si="4"/>
        <v>0</v>
      </c>
      <c r="L161" s="16">
        <f t="shared" si="5"/>
        <v>0</v>
      </c>
      <c r="M161" s="22"/>
      <c r="N161" s="23" t="s">
        <v>16</v>
      </c>
      <c r="O161" s="24"/>
      <c r="P161" s="25"/>
    </row>
    <row r="162" spans="1:16">
      <c r="A162" s="14">
        <v>158</v>
      </c>
      <c r="B162" s="15" t="s">
        <v>249</v>
      </c>
      <c r="C162" s="16">
        <f>'Медикаменты Январь'!L162</f>
        <v>0</v>
      </c>
      <c r="D162" s="17"/>
      <c r="E162" s="14"/>
      <c r="F162" s="18"/>
      <c r="G162" s="19"/>
      <c r="H162" s="20"/>
      <c r="I162" s="21"/>
      <c r="J162" s="14"/>
      <c r="K162" s="14">
        <f t="shared" si="4"/>
        <v>0</v>
      </c>
      <c r="L162" s="16">
        <f t="shared" si="5"/>
        <v>0</v>
      </c>
      <c r="M162" s="22"/>
      <c r="N162" s="23" t="s">
        <v>16</v>
      </c>
      <c r="O162" s="24"/>
      <c r="P162" s="25"/>
    </row>
    <row r="163" spans="1:16">
      <c r="A163" s="14">
        <v>159</v>
      </c>
      <c r="B163" s="15" t="s">
        <v>250</v>
      </c>
      <c r="C163" s="16">
        <f>'Медикаменты Январь'!L163</f>
        <v>0</v>
      </c>
      <c r="D163" s="17"/>
      <c r="E163" s="14"/>
      <c r="F163" s="18"/>
      <c r="G163" s="19"/>
      <c r="H163" s="20"/>
      <c r="I163" s="21"/>
      <c r="J163" s="14"/>
      <c r="K163" s="14">
        <f t="shared" si="4"/>
        <v>0</v>
      </c>
      <c r="L163" s="16">
        <f t="shared" si="5"/>
        <v>0</v>
      </c>
      <c r="M163" s="22"/>
      <c r="N163" s="23" t="s">
        <v>16</v>
      </c>
      <c r="O163" s="24"/>
      <c r="P163" s="25"/>
    </row>
    <row r="164" spans="1:16">
      <c r="A164" s="14">
        <v>160</v>
      </c>
      <c r="B164" s="15" t="s">
        <v>251</v>
      </c>
      <c r="C164" s="16">
        <f>'Медикаменты Январь'!L164</f>
        <v>5</v>
      </c>
      <c r="D164" s="17"/>
      <c r="E164" s="14"/>
      <c r="F164" s="18"/>
      <c r="G164" s="19"/>
      <c r="H164" s="20"/>
      <c r="I164" s="21"/>
      <c r="J164" s="14"/>
      <c r="K164" s="14">
        <f t="shared" si="4"/>
        <v>0</v>
      </c>
      <c r="L164" s="16">
        <f t="shared" si="5"/>
        <v>5</v>
      </c>
      <c r="M164" s="22">
        <v>44682</v>
      </c>
      <c r="N164" s="23" t="s">
        <v>16</v>
      </c>
      <c r="O164" s="24" t="s">
        <v>45</v>
      </c>
      <c r="P164" s="23" t="s">
        <v>252</v>
      </c>
    </row>
    <row r="165" spans="1:16">
      <c r="A165" s="14">
        <v>161</v>
      </c>
      <c r="B165" s="15" t="s">
        <v>253</v>
      </c>
      <c r="C165" s="16">
        <f>'Медикаменты Январь'!L165</f>
        <v>100</v>
      </c>
      <c r="D165" s="17"/>
      <c r="E165" s="14"/>
      <c r="F165" s="18"/>
      <c r="G165" s="19"/>
      <c r="H165" s="20"/>
      <c r="I165" s="21"/>
      <c r="J165" s="14"/>
      <c r="K165" s="14">
        <f t="shared" si="4"/>
        <v>0</v>
      </c>
      <c r="L165" s="16">
        <f t="shared" si="5"/>
        <v>100</v>
      </c>
      <c r="M165" s="22">
        <v>45047</v>
      </c>
      <c r="N165" s="23" t="s">
        <v>16</v>
      </c>
      <c r="O165" s="24" t="s">
        <v>17</v>
      </c>
      <c r="P165" s="23" t="s">
        <v>254</v>
      </c>
    </row>
    <row r="166" spans="1:16">
      <c r="A166" s="14">
        <v>162</v>
      </c>
      <c r="B166" s="15" t="s">
        <v>255</v>
      </c>
      <c r="C166" s="16">
        <f>'Медикаменты Январь'!L166</f>
        <v>0</v>
      </c>
      <c r="D166" s="17"/>
      <c r="E166" s="14"/>
      <c r="F166" s="18"/>
      <c r="G166" s="19"/>
      <c r="H166" s="20"/>
      <c r="I166" s="21"/>
      <c r="J166" s="14"/>
      <c r="K166" s="14">
        <f t="shared" si="4"/>
        <v>0</v>
      </c>
      <c r="L166" s="16">
        <f t="shared" si="5"/>
        <v>0</v>
      </c>
      <c r="M166" s="22">
        <v>44562</v>
      </c>
      <c r="N166" s="23" t="s">
        <v>26</v>
      </c>
      <c r="O166" s="24"/>
      <c r="P166" s="23"/>
    </row>
    <row r="167" spans="1:16">
      <c r="A167" s="14">
        <v>163</v>
      </c>
      <c r="B167" s="15" t="s">
        <v>256</v>
      </c>
      <c r="C167" s="16">
        <f>'Медикаменты Январь'!L167</f>
        <v>0</v>
      </c>
      <c r="D167" s="17"/>
      <c r="E167" s="14"/>
      <c r="F167" s="18"/>
      <c r="G167" s="19"/>
      <c r="H167" s="20"/>
      <c r="I167" s="21"/>
      <c r="J167" s="14"/>
      <c r="K167" s="14">
        <f t="shared" si="4"/>
        <v>0</v>
      </c>
      <c r="L167" s="16">
        <f t="shared" si="5"/>
        <v>0</v>
      </c>
      <c r="M167" s="22">
        <v>44044</v>
      </c>
      <c r="N167" s="23" t="s">
        <v>16</v>
      </c>
      <c r="O167" s="24"/>
      <c r="P167" s="25"/>
    </row>
    <row r="168" spans="1:16">
      <c r="A168" s="14">
        <v>164</v>
      </c>
      <c r="B168" s="15" t="s">
        <v>257</v>
      </c>
      <c r="C168" s="16">
        <f>'Медикаменты Январь'!L168</f>
        <v>91</v>
      </c>
      <c r="D168" s="17"/>
      <c r="E168" s="14"/>
      <c r="F168" s="18"/>
      <c r="G168" s="19"/>
      <c r="H168" s="20"/>
      <c r="I168" s="21"/>
      <c r="J168" s="14"/>
      <c r="K168" s="14">
        <f t="shared" si="4"/>
        <v>0</v>
      </c>
      <c r="L168" s="16">
        <f t="shared" si="5"/>
        <v>91</v>
      </c>
      <c r="M168" s="22">
        <v>44287</v>
      </c>
      <c r="N168" s="23" t="s">
        <v>16</v>
      </c>
      <c r="O168" s="24" t="s">
        <v>17</v>
      </c>
      <c r="P168" s="23" t="s">
        <v>258</v>
      </c>
    </row>
    <row r="169" spans="1:16">
      <c r="A169" s="14">
        <v>165</v>
      </c>
      <c r="B169" s="15" t="s">
        <v>259</v>
      </c>
      <c r="C169" s="16">
        <f>'Медикаменты Январь'!L169</f>
        <v>13</v>
      </c>
      <c r="D169" s="17"/>
      <c r="E169" s="14"/>
      <c r="F169" s="18"/>
      <c r="G169" s="19"/>
      <c r="H169" s="20"/>
      <c r="I169" s="21"/>
      <c r="J169" s="14"/>
      <c r="K169" s="14">
        <f t="shared" si="4"/>
        <v>0</v>
      </c>
      <c r="L169" s="16">
        <f t="shared" si="5"/>
        <v>13</v>
      </c>
      <c r="M169" s="22">
        <v>44531</v>
      </c>
      <c r="N169" s="23" t="s">
        <v>16</v>
      </c>
      <c r="O169" s="24" t="s">
        <v>17</v>
      </c>
      <c r="P169" s="28" t="s">
        <v>260</v>
      </c>
    </row>
    <row r="170" spans="1:16">
      <c r="A170" s="14">
        <v>166</v>
      </c>
      <c r="B170" s="15" t="s">
        <v>261</v>
      </c>
      <c r="C170" s="16">
        <f>'Медикаменты Январь'!L170</f>
        <v>0</v>
      </c>
      <c r="D170" s="17"/>
      <c r="E170" s="14"/>
      <c r="F170" s="18"/>
      <c r="G170" s="19"/>
      <c r="H170" s="20"/>
      <c r="I170" s="21"/>
      <c r="J170" s="14"/>
      <c r="K170" s="14">
        <f t="shared" si="4"/>
        <v>0</v>
      </c>
      <c r="L170" s="16">
        <f t="shared" si="5"/>
        <v>0</v>
      </c>
      <c r="M170" s="22">
        <v>44440</v>
      </c>
      <c r="N170" s="23" t="s">
        <v>16</v>
      </c>
      <c r="O170" s="24"/>
      <c r="P170" s="28" t="s">
        <v>262</v>
      </c>
    </row>
    <row r="171" spans="1:16">
      <c r="A171" s="14">
        <v>167</v>
      </c>
      <c r="B171" s="15" t="s">
        <v>261</v>
      </c>
      <c r="C171" s="16">
        <f>'Медикаменты Январь'!L171</f>
        <v>84</v>
      </c>
      <c r="D171" s="17"/>
      <c r="E171" s="14"/>
      <c r="F171" s="18"/>
      <c r="G171" s="19"/>
      <c r="H171" s="20"/>
      <c r="I171" s="21"/>
      <c r="J171" s="14"/>
      <c r="K171" s="14">
        <f t="shared" si="4"/>
        <v>0</v>
      </c>
      <c r="L171" s="16">
        <f t="shared" si="5"/>
        <v>84</v>
      </c>
      <c r="M171" s="22">
        <v>44501</v>
      </c>
      <c r="N171" s="23" t="s">
        <v>16</v>
      </c>
      <c r="O171" s="24" t="s">
        <v>17</v>
      </c>
      <c r="P171" s="28" t="s">
        <v>262</v>
      </c>
    </row>
    <row r="172" spans="1:16">
      <c r="A172" s="14">
        <v>168</v>
      </c>
      <c r="B172" s="15" t="s">
        <v>263</v>
      </c>
      <c r="C172" s="16">
        <f>'Медикаменты Январь'!L172</f>
        <v>0</v>
      </c>
      <c r="D172" s="17"/>
      <c r="E172" s="14"/>
      <c r="F172" s="18"/>
      <c r="G172" s="19"/>
      <c r="H172" s="20"/>
      <c r="I172" s="21"/>
      <c r="J172" s="14"/>
      <c r="K172" s="14">
        <f t="shared" si="4"/>
        <v>0</v>
      </c>
      <c r="L172" s="16">
        <f t="shared" si="5"/>
        <v>0</v>
      </c>
      <c r="M172" s="22"/>
      <c r="N172" s="23" t="s">
        <v>16</v>
      </c>
      <c r="O172" s="24"/>
      <c r="P172" s="25"/>
    </row>
    <row r="173" spans="1:16">
      <c r="A173" s="14">
        <v>169</v>
      </c>
      <c r="B173" s="15" t="s">
        <v>264</v>
      </c>
      <c r="C173" s="16">
        <f>'Медикаменты Январь'!L173</f>
        <v>0</v>
      </c>
      <c r="D173" s="17"/>
      <c r="E173" s="14"/>
      <c r="F173" s="18"/>
      <c r="G173" s="19"/>
      <c r="H173" s="20"/>
      <c r="I173" s="21"/>
      <c r="J173" s="14"/>
      <c r="K173" s="14">
        <f t="shared" si="4"/>
        <v>0</v>
      </c>
      <c r="L173" s="16">
        <f t="shared" si="5"/>
        <v>0</v>
      </c>
      <c r="M173" s="22"/>
      <c r="N173" s="23" t="s">
        <v>16</v>
      </c>
      <c r="O173" s="24"/>
      <c r="P173" s="25"/>
    </row>
    <row r="174" spans="1:16">
      <c r="A174" s="14">
        <v>170</v>
      </c>
      <c r="B174" s="15" t="s">
        <v>265</v>
      </c>
      <c r="C174" s="16">
        <f>'Медикаменты Январь'!L174</f>
        <v>0</v>
      </c>
      <c r="D174" s="17"/>
      <c r="E174" s="14"/>
      <c r="F174" s="18"/>
      <c r="G174" s="19"/>
      <c r="H174" s="20"/>
      <c r="I174" s="21"/>
      <c r="J174" s="14"/>
      <c r="K174" s="14">
        <f t="shared" si="4"/>
        <v>0</v>
      </c>
      <c r="L174" s="16">
        <f t="shared" si="5"/>
        <v>0</v>
      </c>
      <c r="M174" s="22"/>
      <c r="N174" s="23" t="s">
        <v>16</v>
      </c>
      <c r="O174" s="24"/>
      <c r="P174" s="25"/>
    </row>
    <row r="175" spans="1:16">
      <c r="A175" s="14">
        <v>171</v>
      </c>
      <c r="B175" s="15" t="s">
        <v>266</v>
      </c>
      <c r="C175" s="16">
        <f>'Медикаменты Январь'!L175</f>
        <v>0</v>
      </c>
      <c r="D175" s="17"/>
      <c r="E175" s="14"/>
      <c r="F175" s="18"/>
      <c r="G175" s="19"/>
      <c r="H175" s="20"/>
      <c r="I175" s="21"/>
      <c r="J175" s="14"/>
      <c r="K175" s="14">
        <f t="shared" si="4"/>
        <v>0</v>
      </c>
      <c r="L175" s="16">
        <f t="shared" si="5"/>
        <v>0</v>
      </c>
      <c r="M175" s="22"/>
      <c r="N175" s="23" t="s">
        <v>16</v>
      </c>
      <c r="O175" s="24"/>
      <c r="P175" s="25"/>
    </row>
    <row r="176" spans="1:16">
      <c r="A176" s="14">
        <v>172</v>
      </c>
      <c r="B176" s="15" t="s">
        <v>267</v>
      </c>
      <c r="C176" s="16">
        <f>'Медикаменты Январь'!L176</f>
        <v>0</v>
      </c>
      <c r="D176" s="17"/>
      <c r="E176" s="14"/>
      <c r="F176" s="18"/>
      <c r="G176" s="19"/>
      <c r="H176" s="20"/>
      <c r="I176" s="21"/>
      <c r="J176" s="14"/>
      <c r="K176" s="14">
        <f t="shared" si="4"/>
        <v>0</v>
      </c>
      <c r="L176" s="16">
        <f t="shared" si="5"/>
        <v>0</v>
      </c>
      <c r="M176" s="22"/>
      <c r="N176" s="23" t="s">
        <v>16</v>
      </c>
      <c r="O176" s="24"/>
      <c r="P176" s="25"/>
    </row>
    <row r="177" spans="1:16">
      <c r="A177" s="14">
        <v>173</v>
      </c>
      <c r="B177" s="15" t="s">
        <v>268</v>
      </c>
      <c r="C177" s="16">
        <f>'Медикаменты Январь'!L177</f>
        <v>0</v>
      </c>
      <c r="D177" s="17"/>
      <c r="E177" s="14"/>
      <c r="F177" s="18"/>
      <c r="G177" s="19"/>
      <c r="H177" s="20"/>
      <c r="I177" s="21"/>
      <c r="J177" s="14"/>
      <c r="K177" s="14">
        <f t="shared" si="4"/>
        <v>0</v>
      </c>
      <c r="L177" s="16">
        <f t="shared" si="5"/>
        <v>0</v>
      </c>
      <c r="M177" s="22">
        <v>45323</v>
      </c>
      <c r="N177" s="23" t="s">
        <v>16</v>
      </c>
      <c r="O177" s="24"/>
      <c r="P177" s="28" t="s">
        <v>269</v>
      </c>
    </row>
    <row r="178" spans="1:16">
      <c r="A178" s="14">
        <v>174</v>
      </c>
      <c r="B178" s="15" t="s">
        <v>268</v>
      </c>
      <c r="C178" s="16">
        <f>'Медикаменты Январь'!L178</f>
        <v>0</v>
      </c>
      <c r="D178" s="17"/>
      <c r="E178" s="14"/>
      <c r="F178" s="18"/>
      <c r="G178" s="19"/>
      <c r="H178" s="20"/>
      <c r="I178" s="21"/>
      <c r="J178" s="14"/>
      <c r="K178" s="14">
        <f t="shared" si="4"/>
        <v>0</v>
      </c>
      <c r="L178" s="16">
        <f t="shared" si="5"/>
        <v>0</v>
      </c>
      <c r="M178" s="22">
        <v>45323</v>
      </c>
      <c r="N178" s="23" t="s">
        <v>26</v>
      </c>
      <c r="O178" s="24"/>
      <c r="P178" s="28" t="s">
        <v>269</v>
      </c>
    </row>
    <row r="179" spans="1:16">
      <c r="A179" s="14">
        <v>175</v>
      </c>
      <c r="B179" s="15" t="s">
        <v>270</v>
      </c>
      <c r="C179" s="16">
        <f>'Медикаменты Январь'!L179</f>
        <v>0</v>
      </c>
      <c r="D179" s="17"/>
      <c r="E179" s="14"/>
      <c r="F179" s="18"/>
      <c r="G179" s="19"/>
      <c r="H179" s="20"/>
      <c r="I179" s="21"/>
      <c r="J179" s="14"/>
      <c r="K179" s="14">
        <f t="shared" si="4"/>
        <v>0</v>
      </c>
      <c r="L179" s="16">
        <f t="shared" si="5"/>
        <v>0</v>
      </c>
      <c r="M179" s="22">
        <v>44075</v>
      </c>
      <c r="N179" s="23" t="s">
        <v>16</v>
      </c>
      <c r="O179" s="24"/>
      <c r="P179" s="23" t="s">
        <v>271</v>
      </c>
    </row>
    <row r="180" spans="1:16">
      <c r="A180" s="14">
        <v>176</v>
      </c>
      <c r="B180" s="15" t="s">
        <v>272</v>
      </c>
      <c r="C180" s="16">
        <f>'Медикаменты Январь'!L180</f>
        <v>40</v>
      </c>
      <c r="D180" s="17"/>
      <c r="E180" s="14"/>
      <c r="F180" s="18"/>
      <c r="G180" s="19"/>
      <c r="H180" s="20"/>
      <c r="I180" s="21"/>
      <c r="J180" s="14"/>
      <c r="K180" s="14">
        <f t="shared" si="4"/>
        <v>0</v>
      </c>
      <c r="L180" s="16">
        <f t="shared" si="5"/>
        <v>40</v>
      </c>
      <c r="M180" s="22">
        <v>45352</v>
      </c>
      <c r="N180" s="23" t="s">
        <v>16</v>
      </c>
      <c r="O180" s="24" t="s">
        <v>17</v>
      </c>
      <c r="P180" s="23" t="s">
        <v>273</v>
      </c>
    </row>
    <row r="181" spans="1:16">
      <c r="A181" s="14">
        <v>177</v>
      </c>
      <c r="B181" s="15" t="s">
        <v>274</v>
      </c>
      <c r="C181" s="16">
        <f>'Медикаменты Январь'!L181</f>
        <v>0</v>
      </c>
      <c r="D181" s="17"/>
      <c r="E181" s="14"/>
      <c r="F181" s="18"/>
      <c r="G181" s="19"/>
      <c r="H181" s="20"/>
      <c r="I181" s="21"/>
      <c r="J181" s="14"/>
      <c r="K181" s="14">
        <f t="shared" si="4"/>
        <v>0</v>
      </c>
      <c r="L181" s="16">
        <f t="shared" si="5"/>
        <v>0</v>
      </c>
      <c r="M181" s="22">
        <v>44593</v>
      </c>
      <c r="N181" s="23" t="s">
        <v>16</v>
      </c>
      <c r="O181" s="24"/>
      <c r="P181" s="23" t="s">
        <v>275</v>
      </c>
    </row>
    <row r="182" spans="1:16">
      <c r="A182" s="14">
        <v>178</v>
      </c>
      <c r="B182" s="15" t="s">
        <v>276</v>
      </c>
      <c r="C182" s="16">
        <f>'Медикаменты Январь'!L182</f>
        <v>0</v>
      </c>
      <c r="D182" s="17"/>
      <c r="E182" s="14"/>
      <c r="F182" s="18"/>
      <c r="G182" s="19"/>
      <c r="H182" s="20"/>
      <c r="I182" s="21"/>
      <c r="J182" s="14"/>
      <c r="K182" s="14">
        <f t="shared" si="4"/>
        <v>0</v>
      </c>
      <c r="L182" s="16">
        <f t="shared" si="5"/>
        <v>0</v>
      </c>
      <c r="M182" s="22"/>
      <c r="N182" s="23" t="s">
        <v>16</v>
      </c>
      <c r="O182" s="24"/>
      <c r="P182" s="25"/>
    </row>
    <row r="183" spans="1:16">
      <c r="A183" s="14">
        <v>179</v>
      </c>
      <c r="B183" s="15" t="s">
        <v>277</v>
      </c>
      <c r="C183" s="16">
        <f>'Медикаменты Январь'!L183</f>
        <v>33</v>
      </c>
      <c r="D183" s="17"/>
      <c r="E183" s="14"/>
      <c r="F183" s="18"/>
      <c r="G183" s="19"/>
      <c r="H183" s="20"/>
      <c r="I183" s="21"/>
      <c r="J183" s="14"/>
      <c r="K183" s="14">
        <f t="shared" si="4"/>
        <v>0</v>
      </c>
      <c r="L183" s="16">
        <f t="shared" si="5"/>
        <v>33</v>
      </c>
      <c r="M183" s="22">
        <v>44409</v>
      </c>
      <c r="N183" s="23" t="s">
        <v>16</v>
      </c>
      <c r="O183" s="24" t="s">
        <v>17</v>
      </c>
      <c r="P183" s="28" t="s">
        <v>278</v>
      </c>
    </row>
    <row r="184" spans="1:16">
      <c r="A184" s="14">
        <v>180</v>
      </c>
      <c r="B184" s="15" t="s">
        <v>279</v>
      </c>
      <c r="C184" s="16">
        <f>'Медикаменты Январь'!L184</f>
        <v>1</v>
      </c>
      <c r="D184" s="17"/>
      <c r="E184" s="14"/>
      <c r="F184" s="18"/>
      <c r="G184" s="19"/>
      <c r="H184" s="20"/>
      <c r="I184" s="21"/>
      <c r="J184" s="14"/>
      <c r="K184" s="14">
        <f t="shared" si="4"/>
        <v>0</v>
      </c>
      <c r="L184" s="16">
        <f t="shared" si="5"/>
        <v>1</v>
      </c>
      <c r="M184" s="22">
        <v>44378</v>
      </c>
      <c r="N184" s="23" t="s">
        <v>16</v>
      </c>
      <c r="O184" s="24" t="s">
        <v>17</v>
      </c>
      <c r="P184" s="23" t="s">
        <v>280</v>
      </c>
    </row>
    <row r="185" spans="1:16">
      <c r="A185" s="14">
        <v>181</v>
      </c>
      <c r="B185" s="15" t="s">
        <v>281</v>
      </c>
      <c r="C185" s="16">
        <f>'Медикаменты Январь'!L185</f>
        <v>13</v>
      </c>
      <c r="D185" s="17"/>
      <c r="E185" s="14"/>
      <c r="F185" s="18"/>
      <c r="G185" s="19"/>
      <c r="H185" s="20"/>
      <c r="I185" s="21"/>
      <c r="J185" s="14">
        <f>1</f>
        <v>1</v>
      </c>
      <c r="K185" s="14">
        <f t="shared" si="4"/>
        <v>1</v>
      </c>
      <c r="L185" s="16">
        <f t="shared" si="5"/>
        <v>12</v>
      </c>
      <c r="M185" s="22">
        <v>44593</v>
      </c>
      <c r="N185" s="23" t="s">
        <v>16</v>
      </c>
      <c r="O185" s="24" t="s">
        <v>17</v>
      </c>
      <c r="P185" s="23" t="s">
        <v>282</v>
      </c>
    </row>
    <row r="186" spans="1:16">
      <c r="A186" s="14">
        <v>182</v>
      </c>
      <c r="B186" s="15" t="s">
        <v>283</v>
      </c>
      <c r="C186" s="16">
        <f>'Медикаменты Январь'!L186</f>
        <v>0</v>
      </c>
      <c r="D186" s="17"/>
      <c r="E186" s="14"/>
      <c r="F186" s="18"/>
      <c r="G186" s="19"/>
      <c r="H186" s="20"/>
      <c r="I186" s="21"/>
      <c r="J186" s="14"/>
      <c r="K186" s="14">
        <f t="shared" si="4"/>
        <v>0</v>
      </c>
      <c r="L186" s="16">
        <f t="shared" si="5"/>
        <v>0</v>
      </c>
      <c r="M186" s="22">
        <v>44136</v>
      </c>
      <c r="N186" s="23" t="s">
        <v>16</v>
      </c>
      <c r="O186" s="24"/>
      <c r="P186" s="23" t="s">
        <v>284</v>
      </c>
    </row>
    <row r="187" spans="1:16">
      <c r="A187" s="14">
        <v>183</v>
      </c>
      <c r="B187" s="15" t="s">
        <v>285</v>
      </c>
      <c r="C187" s="16">
        <f>'Медикаменты Январь'!L187</f>
        <v>0</v>
      </c>
      <c r="D187" s="17"/>
      <c r="E187" s="14"/>
      <c r="F187" s="18"/>
      <c r="G187" s="19"/>
      <c r="H187" s="20"/>
      <c r="I187" s="21"/>
      <c r="J187" s="14"/>
      <c r="K187" s="14">
        <f t="shared" si="4"/>
        <v>0</v>
      </c>
      <c r="L187" s="16">
        <f t="shared" si="5"/>
        <v>0</v>
      </c>
      <c r="M187" s="22"/>
      <c r="N187" s="23" t="s">
        <v>16</v>
      </c>
      <c r="O187" s="24"/>
      <c r="P187" s="25"/>
    </row>
    <row r="188" spans="1:16">
      <c r="A188" s="14">
        <v>184</v>
      </c>
      <c r="B188" s="15" t="s">
        <v>286</v>
      </c>
      <c r="C188" s="16">
        <f>'Медикаменты Январь'!L188</f>
        <v>0</v>
      </c>
      <c r="D188" s="17"/>
      <c r="E188" s="14"/>
      <c r="F188" s="18"/>
      <c r="G188" s="19"/>
      <c r="H188" s="20"/>
      <c r="I188" s="21"/>
      <c r="J188" s="14"/>
      <c r="K188" s="14">
        <f t="shared" si="4"/>
        <v>0</v>
      </c>
      <c r="L188" s="16">
        <f t="shared" si="5"/>
        <v>0</v>
      </c>
      <c r="M188" s="22">
        <v>44197</v>
      </c>
      <c r="N188" s="23" t="s">
        <v>16</v>
      </c>
      <c r="O188" s="24"/>
      <c r="P188" s="23" t="s">
        <v>287</v>
      </c>
    </row>
    <row r="189" spans="1:16">
      <c r="A189" s="14">
        <v>185</v>
      </c>
      <c r="B189" s="15" t="s">
        <v>288</v>
      </c>
      <c r="C189" s="16">
        <f>'Медикаменты Январь'!L189</f>
        <v>0</v>
      </c>
      <c r="D189" s="17"/>
      <c r="E189" s="14"/>
      <c r="F189" s="18"/>
      <c r="G189" s="19"/>
      <c r="H189" s="20"/>
      <c r="I189" s="21"/>
      <c r="J189" s="14"/>
      <c r="K189" s="14">
        <f t="shared" si="4"/>
        <v>0</v>
      </c>
      <c r="L189" s="16">
        <f t="shared" si="5"/>
        <v>0</v>
      </c>
      <c r="M189" s="22">
        <v>44105</v>
      </c>
      <c r="N189" s="23" t="s">
        <v>16</v>
      </c>
      <c r="O189" s="24"/>
      <c r="P189" s="28" t="s">
        <v>289</v>
      </c>
    </row>
    <row r="190" spans="1:16">
      <c r="A190" s="14">
        <v>186</v>
      </c>
      <c r="B190" s="15" t="s">
        <v>290</v>
      </c>
      <c r="C190" s="16">
        <f>'Медикаменты Январь'!L190</f>
        <v>67</v>
      </c>
      <c r="D190" s="17"/>
      <c r="E190" s="14"/>
      <c r="F190" s="18"/>
      <c r="G190" s="19"/>
      <c r="H190" s="20"/>
      <c r="I190" s="21"/>
      <c r="J190" s="14"/>
      <c r="K190" s="14">
        <f t="shared" si="4"/>
        <v>0</v>
      </c>
      <c r="L190" s="16">
        <f t="shared" si="5"/>
        <v>67</v>
      </c>
      <c r="M190" s="22">
        <v>44317</v>
      </c>
      <c r="N190" s="23" t="s">
        <v>16</v>
      </c>
      <c r="O190" s="24" t="s">
        <v>17</v>
      </c>
      <c r="P190" s="23" t="s">
        <v>291</v>
      </c>
    </row>
    <row r="191" spans="1:16">
      <c r="A191" s="14">
        <v>187</v>
      </c>
      <c r="B191" s="15" t="s">
        <v>292</v>
      </c>
      <c r="C191" s="16">
        <f>'Медикаменты Январь'!L191</f>
        <v>0</v>
      </c>
      <c r="D191" s="17"/>
      <c r="E191" s="14"/>
      <c r="F191" s="18"/>
      <c r="G191" s="19"/>
      <c r="H191" s="20"/>
      <c r="I191" s="21"/>
      <c r="J191" s="14"/>
      <c r="K191" s="14">
        <f t="shared" si="4"/>
        <v>0</v>
      </c>
      <c r="L191" s="16">
        <f t="shared" si="5"/>
        <v>0</v>
      </c>
      <c r="M191" s="22">
        <v>44197</v>
      </c>
      <c r="N191" s="23" t="s">
        <v>16</v>
      </c>
      <c r="O191" s="24"/>
      <c r="P191" s="23" t="s">
        <v>293</v>
      </c>
    </row>
    <row r="192" spans="1:16">
      <c r="A192" s="14">
        <v>188</v>
      </c>
      <c r="B192" s="15" t="s">
        <v>292</v>
      </c>
      <c r="C192" s="16">
        <f>'Медикаменты Январь'!L192</f>
        <v>55</v>
      </c>
      <c r="D192" s="17"/>
      <c r="E192" s="14"/>
      <c r="F192" s="18"/>
      <c r="G192" s="19"/>
      <c r="H192" s="20"/>
      <c r="I192" s="21"/>
      <c r="J192" s="14"/>
      <c r="K192" s="14">
        <f t="shared" si="4"/>
        <v>0</v>
      </c>
      <c r="L192" s="16">
        <f t="shared" si="5"/>
        <v>55</v>
      </c>
      <c r="M192" s="22">
        <v>44713</v>
      </c>
      <c r="N192" s="23" t="s">
        <v>16</v>
      </c>
      <c r="O192" s="24" t="s">
        <v>45</v>
      </c>
      <c r="P192" s="23" t="s">
        <v>293</v>
      </c>
    </row>
    <row r="193" spans="1:16">
      <c r="A193" s="14">
        <v>189</v>
      </c>
      <c r="B193" s="15" t="s">
        <v>294</v>
      </c>
      <c r="C193" s="16">
        <f>'Медикаменты Январь'!L193</f>
        <v>9</v>
      </c>
      <c r="D193" s="17"/>
      <c r="E193" s="14"/>
      <c r="F193" s="18"/>
      <c r="G193" s="19"/>
      <c r="H193" s="20"/>
      <c r="I193" s="21"/>
      <c r="J193" s="14"/>
      <c r="K193" s="14">
        <f t="shared" si="4"/>
        <v>0</v>
      </c>
      <c r="L193" s="16">
        <f t="shared" si="5"/>
        <v>9</v>
      </c>
      <c r="M193" s="22">
        <v>44409</v>
      </c>
      <c r="N193" s="23" t="s">
        <v>16</v>
      </c>
      <c r="O193" s="24" t="s">
        <v>45</v>
      </c>
      <c r="P193" s="23" t="s">
        <v>295</v>
      </c>
    </row>
    <row r="194" spans="1:16">
      <c r="A194" s="14">
        <v>190</v>
      </c>
      <c r="B194" s="15" t="s">
        <v>296</v>
      </c>
      <c r="C194" s="16">
        <f>'Медикаменты Январь'!L194</f>
        <v>0</v>
      </c>
      <c r="D194" s="17"/>
      <c r="E194" s="14"/>
      <c r="F194" s="18"/>
      <c r="G194" s="19"/>
      <c r="H194" s="20"/>
      <c r="I194" s="21"/>
      <c r="J194" s="14"/>
      <c r="K194" s="14">
        <f t="shared" si="4"/>
        <v>0</v>
      </c>
      <c r="L194" s="16">
        <f t="shared" si="5"/>
        <v>0</v>
      </c>
      <c r="M194" s="22"/>
      <c r="N194" s="23" t="s">
        <v>16</v>
      </c>
      <c r="O194" s="24"/>
      <c r="P194" s="25"/>
    </row>
    <row r="195" spans="1:16">
      <c r="A195" s="14">
        <v>191</v>
      </c>
      <c r="B195" s="15" t="s">
        <v>297</v>
      </c>
      <c r="C195" s="16">
        <f>'Медикаменты Январь'!L195</f>
        <v>0</v>
      </c>
      <c r="D195" s="17"/>
      <c r="E195" s="14"/>
      <c r="F195" s="18"/>
      <c r="G195" s="19"/>
      <c r="H195" s="20"/>
      <c r="I195" s="21"/>
      <c r="J195" s="14"/>
      <c r="K195" s="14">
        <f t="shared" si="4"/>
        <v>0</v>
      </c>
      <c r="L195" s="16">
        <f t="shared" si="5"/>
        <v>0</v>
      </c>
      <c r="M195" s="22"/>
      <c r="N195" s="23" t="s">
        <v>16</v>
      </c>
      <c r="O195" s="24"/>
      <c r="P195" s="25"/>
    </row>
    <row r="196" spans="1:16" ht="25.5">
      <c r="A196" s="14">
        <v>192</v>
      </c>
      <c r="B196" s="15" t="s">
        <v>298</v>
      </c>
      <c r="C196" s="16">
        <f>'Медикаменты Январь'!L196</f>
        <v>0</v>
      </c>
      <c r="D196" s="17"/>
      <c r="E196" s="14"/>
      <c r="F196" s="18"/>
      <c r="G196" s="19"/>
      <c r="H196" s="20"/>
      <c r="I196" s="21"/>
      <c r="J196" s="14"/>
      <c r="K196" s="14">
        <f t="shared" si="4"/>
        <v>0</v>
      </c>
      <c r="L196" s="16">
        <f t="shared" si="5"/>
        <v>0</v>
      </c>
      <c r="M196" s="22">
        <v>44593</v>
      </c>
      <c r="N196" s="23" t="s">
        <v>26</v>
      </c>
      <c r="O196" s="24"/>
      <c r="P196" s="23"/>
    </row>
    <row r="197" spans="1:16">
      <c r="A197" s="14">
        <v>193</v>
      </c>
      <c r="B197" s="15" t="s">
        <v>299</v>
      </c>
      <c r="C197" s="16">
        <f>'Медикаменты Январь'!L197</f>
        <v>0</v>
      </c>
      <c r="D197" s="17"/>
      <c r="E197" s="14"/>
      <c r="F197" s="18"/>
      <c r="G197" s="19"/>
      <c r="H197" s="20"/>
      <c r="I197" s="21"/>
      <c r="J197" s="14"/>
      <c r="K197" s="14">
        <f t="shared" ref="K197:K260" si="6">SUM(F197:J197)</f>
        <v>0</v>
      </c>
      <c r="L197" s="16">
        <f t="shared" ref="L197:L260" si="7">(C197+E197)-K197</f>
        <v>0</v>
      </c>
      <c r="M197" s="22">
        <v>44256</v>
      </c>
      <c r="N197" s="23" t="s">
        <v>16</v>
      </c>
      <c r="O197" s="24"/>
      <c r="P197" s="23" t="s">
        <v>300</v>
      </c>
    </row>
    <row r="198" spans="1:16">
      <c r="A198" s="14">
        <v>194</v>
      </c>
      <c r="B198" s="15" t="s">
        <v>301</v>
      </c>
      <c r="C198" s="16">
        <f>'Медикаменты Январь'!L198</f>
        <v>0</v>
      </c>
      <c r="D198" s="17"/>
      <c r="E198" s="14"/>
      <c r="F198" s="18"/>
      <c r="G198" s="19"/>
      <c r="H198" s="20"/>
      <c r="I198" s="21"/>
      <c r="J198" s="14"/>
      <c r="K198" s="14">
        <f t="shared" si="6"/>
        <v>0</v>
      </c>
      <c r="L198" s="16">
        <f t="shared" si="7"/>
        <v>0</v>
      </c>
      <c r="M198" s="22"/>
      <c r="N198" s="23" t="s">
        <v>16</v>
      </c>
      <c r="O198" s="24"/>
      <c r="P198" s="25"/>
    </row>
    <row r="199" spans="1:16">
      <c r="A199" s="14">
        <v>195</v>
      </c>
      <c r="B199" s="15" t="s">
        <v>302</v>
      </c>
      <c r="C199" s="16">
        <f>'Медикаменты Январь'!L199</f>
        <v>0</v>
      </c>
      <c r="D199" s="17"/>
      <c r="E199" s="14"/>
      <c r="F199" s="18"/>
      <c r="G199" s="19"/>
      <c r="H199" s="20"/>
      <c r="I199" s="21"/>
      <c r="J199" s="14"/>
      <c r="K199" s="14">
        <f t="shared" si="6"/>
        <v>0</v>
      </c>
      <c r="L199" s="16">
        <f t="shared" si="7"/>
        <v>0</v>
      </c>
      <c r="M199" s="22"/>
      <c r="N199" s="23" t="s">
        <v>16</v>
      </c>
      <c r="O199" s="24"/>
      <c r="P199" s="25"/>
    </row>
    <row r="200" spans="1:16">
      <c r="A200" s="14">
        <v>196</v>
      </c>
      <c r="B200" s="15" t="s">
        <v>303</v>
      </c>
      <c r="C200" s="16">
        <f>'Медикаменты Январь'!L200</f>
        <v>0</v>
      </c>
      <c r="D200" s="17"/>
      <c r="E200" s="14"/>
      <c r="F200" s="18"/>
      <c r="G200" s="19"/>
      <c r="H200" s="20"/>
      <c r="I200" s="21"/>
      <c r="J200" s="14"/>
      <c r="K200" s="14">
        <f t="shared" si="6"/>
        <v>0</v>
      </c>
      <c r="L200" s="16">
        <f t="shared" si="7"/>
        <v>0</v>
      </c>
      <c r="M200" s="22"/>
      <c r="N200" s="23" t="s">
        <v>16</v>
      </c>
      <c r="O200" s="24"/>
      <c r="P200" s="25"/>
    </row>
    <row r="201" spans="1:16">
      <c r="A201" s="14">
        <v>197</v>
      </c>
      <c r="B201" s="15" t="s">
        <v>304</v>
      </c>
      <c r="C201" s="16">
        <f>'Медикаменты Январь'!L201</f>
        <v>0</v>
      </c>
      <c r="D201" s="17"/>
      <c r="E201" s="14"/>
      <c r="F201" s="18"/>
      <c r="G201" s="19"/>
      <c r="H201" s="20"/>
      <c r="I201" s="21"/>
      <c r="J201" s="14"/>
      <c r="K201" s="14">
        <f t="shared" si="6"/>
        <v>0</v>
      </c>
      <c r="L201" s="16">
        <f t="shared" si="7"/>
        <v>0</v>
      </c>
      <c r="M201" s="22">
        <v>45261</v>
      </c>
      <c r="N201" s="23" t="s">
        <v>16</v>
      </c>
      <c r="O201" s="24"/>
      <c r="P201" s="23" t="s">
        <v>305</v>
      </c>
    </row>
    <row r="202" spans="1:16">
      <c r="A202" s="14">
        <v>198</v>
      </c>
      <c r="B202" s="15" t="s">
        <v>304</v>
      </c>
      <c r="C202" s="16">
        <f>'Медикаменты Январь'!L202</f>
        <v>1880</v>
      </c>
      <c r="D202" s="17"/>
      <c r="E202" s="14"/>
      <c r="F202" s="18">
        <f>120</f>
        <v>120</v>
      </c>
      <c r="G202" s="19"/>
      <c r="H202" s="20"/>
      <c r="I202" s="21"/>
      <c r="J202" s="14"/>
      <c r="K202" s="14">
        <f t="shared" si="6"/>
        <v>120</v>
      </c>
      <c r="L202" s="16">
        <f t="shared" si="7"/>
        <v>1760</v>
      </c>
      <c r="M202" s="22">
        <v>45413</v>
      </c>
      <c r="N202" s="23" t="s">
        <v>26</v>
      </c>
      <c r="O202" s="24" t="s">
        <v>17</v>
      </c>
      <c r="P202" s="23" t="s">
        <v>305</v>
      </c>
    </row>
    <row r="203" spans="1:16">
      <c r="A203" s="14">
        <v>199</v>
      </c>
      <c r="B203" s="15" t="s">
        <v>306</v>
      </c>
      <c r="C203" s="16">
        <f>'Медикаменты Январь'!L203</f>
        <v>0</v>
      </c>
      <c r="D203" s="17"/>
      <c r="E203" s="14"/>
      <c r="F203" s="18"/>
      <c r="G203" s="19"/>
      <c r="H203" s="20"/>
      <c r="I203" s="21"/>
      <c r="J203" s="14"/>
      <c r="K203" s="14">
        <f t="shared" si="6"/>
        <v>0</v>
      </c>
      <c r="L203" s="16">
        <f t="shared" si="7"/>
        <v>0</v>
      </c>
      <c r="M203" s="22"/>
      <c r="N203" s="23" t="s">
        <v>16</v>
      </c>
      <c r="O203" s="24"/>
      <c r="P203" s="25"/>
    </row>
    <row r="204" spans="1:16">
      <c r="A204" s="14">
        <v>200</v>
      </c>
      <c r="B204" s="15" t="s">
        <v>307</v>
      </c>
      <c r="C204" s="16">
        <f>'Медикаменты Январь'!L204</f>
        <v>0</v>
      </c>
      <c r="D204" s="17"/>
      <c r="E204" s="14"/>
      <c r="F204" s="18"/>
      <c r="G204" s="19"/>
      <c r="H204" s="20"/>
      <c r="I204" s="21"/>
      <c r="J204" s="14"/>
      <c r="K204" s="14">
        <f t="shared" si="6"/>
        <v>0</v>
      </c>
      <c r="L204" s="16">
        <f t="shared" si="7"/>
        <v>0</v>
      </c>
      <c r="M204" s="22"/>
      <c r="N204" s="23" t="s">
        <v>16</v>
      </c>
      <c r="O204" s="24"/>
      <c r="P204" s="25"/>
    </row>
    <row r="205" spans="1:16">
      <c r="A205" s="14">
        <v>201</v>
      </c>
      <c r="B205" s="15" t="s">
        <v>308</v>
      </c>
      <c r="C205" s="16">
        <f>'Медикаменты Январь'!L205</f>
        <v>0</v>
      </c>
      <c r="D205" s="17"/>
      <c r="E205" s="14"/>
      <c r="F205" s="18"/>
      <c r="G205" s="19"/>
      <c r="H205" s="20"/>
      <c r="I205" s="21"/>
      <c r="J205" s="14"/>
      <c r="K205" s="14">
        <f t="shared" si="6"/>
        <v>0</v>
      </c>
      <c r="L205" s="16">
        <f t="shared" si="7"/>
        <v>0</v>
      </c>
      <c r="M205" s="22">
        <v>44136</v>
      </c>
      <c r="N205" s="23" t="s">
        <v>16</v>
      </c>
      <c r="O205" s="24"/>
      <c r="P205" s="23" t="s">
        <v>309</v>
      </c>
    </row>
    <row r="206" spans="1:16">
      <c r="A206" s="14">
        <v>202</v>
      </c>
      <c r="B206" s="15" t="s">
        <v>310</v>
      </c>
      <c r="C206" s="16">
        <f>'Медикаменты Январь'!L206</f>
        <v>17</v>
      </c>
      <c r="D206" s="17"/>
      <c r="E206" s="14"/>
      <c r="F206" s="18"/>
      <c r="G206" s="19"/>
      <c r="H206" s="20"/>
      <c r="I206" s="21"/>
      <c r="J206" s="14"/>
      <c r="K206" s="14">
        <f t="shared" si="6"/>
        <v>0</v>
      </c>
      <c r="L206" s="16">
        <f t="shared" si="7"/>
        <v>17</v>
      </c>
      <c r="M206" s="22">
        <v>44652</v>
      </c>
      <c r="N206" s="23" t="s">
        <v>16</v>
      </c>
      <c r="O206" s="24" t="s">
        <v>17</v>
      </c>
      <c r="P206" s="28" t="s">
        <v>311</v>
      </c>
    </row>
    <row r="207" spans="1:16">
      <c r="A207" s="14">
        <v>203</v>
      </c>
      <c r="B207" s="15" t="s">
        <v>310</v>
      </c>
      <c r="C207" s="16">
        <f>'Медикаменты Январь'!L207</f>
        <v>0</v>
      </c>
      <c r="D207" s="17"/>
      <c r="E207" s="14"/>
      <c r="F207" s="18"/>
      <c r="G207" s="19"/>
      <c r="H207" s="20"/>
      <c r="I207" s="21"/>
      <c r="J207" s="14"/>
      <c r="K207" s="14">
        <f t="shared" si="6"/>
        <v>0</v>
      </c>
      <c r="L207" s="16">
        <f t="shared" si="7"/>
        <v>0</v>
      </c>
      <c r="M207" s="22">
        <v>44652</v>
      </c>
      <c r="N207" s="23" t="s">
        <v>26</v>
      </c>
      <c r="O207" s="24"/>
      <c r="P207" s="28" t="s">
        <v>311</v>
      </c>
    </row>
    <row r="208" spans="1:16">
      <c r="A208" s="14">
        <v>204</v>
      </c>
      <c r="B208" s="15" t="s">
        <v>312</v>
      </c>
      <c r="C208" s="16">
        <f>'Медикаменты Январь'!L208</f>
        <v>0</v>
      </c>
      <c r="D208" s="17"/>
      <c r="E208" s="14"/>
      <c r="F208" s="18"/>
      <c r="G208" s="19"/>
      <c r="H208" s="20"/>
      <c r="I208" s="21"/>
      <c r="J208" s="14"/>
      <c r="K208" s="14">
        <f t="shared" si="6"/>
        <v>0</v>
      </c>
      <c r="L208" s="16">
        <f t="shared" si="7"/>
        <v>0</v>
      </c>
      <c r="M208" s="22">
        <v>45658</v>
      </c>
      <c r="N208" s="23" t="s">
        <v>16</v>
      </c>
      <c r="O208" s="24"/>
      <c r="P208" s="28" t="s">
        <v>313</v>
      </c>
    </row>
    <row r="209" spans="1:16">
      <c r="A209" s="14">
        <v>205</v>
      </c>
      <c r="B209" s="15" t="s">
        <v>312</v>
      </c>
      <c r="C209" s="16">
        <f>'Медикаменты Январь'!L209</f>
        <v>0</v>
      </c>
      <c r="D209" s="17"/>
      <c r="E209" s="14"/>
      <c r="F209" s="18"/>
      <c r="G209" s="19"/>
      <c r="H209" s="20"/>
      <c r="I209" s="21"/>
      <c r="J209" s="14"/>
      <c r="K209" s="14">
        <f t="shared" si="6"/>
        <v>0</v>
      </c>
      <c r="L209" s="16">
        <f t="shared" si="7"/>
        <v>0</v>
      </c>
      <c r="M209" s="22">
        <v>45658</v>
      </c>
      <c r="N209" s="23" t="s">
        <v>26</v>
      </c>
      <c r="O209" s="24"/>
      <c r="P209" s="28" t="s">
        <v>313</v>
      </c>
    </row>
    <row r="210" spans="1:16">
      <c r="A210" s="14">
        <v>206</v>
      </c>
      <c r="B210" s="15" t="s">
        <v>314</v>
      </c>
      <c r="C210" s="16">
        <f>'Медикаменты Январь'!L210</f>
        <v>0</v>
      </c>
      <c r="D210" s="17"/>
      <c r="E210" s="14"/>
      <c r="F210" s="18"/>
      <c r="G210" s="19"/>
      <c r="H210" s="20"/>
      <c r="I210" s="21"/>
      <c r="J210" s="14"/>
      <c r="K210" s="14">
        <f t="shared" si="6"/>
        <v>0</v>
      </c>
      <c r="L210" s="16">
        <f t="shared" si="7"/>
        <v>0</v>
      </c>
      <c r="M210" s="22">
        <v>44562</v>
      </c>
      <c r="N210" s="23" t="s">
        <v>16</v>
      </c>
      <c r="O210" s="24"/>
      <c r="P210" s="23" t="s">
        <v>315</v>
      </c>
    </row>
    <row r="211" spans="1:16">
      <c r="A211" s="14">
        <v>207</v>
      </c>
      <c r="B211" s="15" t="s">
        <v>316</v>
      </c>
      <c r="C211" s="16">
        <f>'Медикаменты Январь'!L211</f>
        <v>0</v>
      </c>
      <c r="D211" s="17"/>
      <c r="E211" s="14"/>
      <c r="F211" s="18"/>
      <c r="G211" s="19"/>
      <c r="H211" s="20"/>
      <c r="I211" s="21"/>
      <c r="J211" s="14"/>
      <c r="K211" s="14">
        <f t="shared" si="6"/>
        <v>0</v>
      </c>
      <c r="L211" s="16">
        <f t="shared" si="7"/>
        <v>0</v>
      </c>
      <c r="M211" s="22"/>
      <c r="N211" s="23" t="s">
        <v>16</v>
      </c>
      <c r="O211" s="24"/>
      <c r="P211" s="25"/>
    </row>
    <row r="212" spans="1:16">
      <c r="A212" s="14">
        <v>208</v>
      </c>
      <c r="B212" s="29" t="s">
        <v>317</v>
      </c>
      <c r="C212" s="16">
        <f>'Медикаменты Январь'!L212</f>
        <v>0</v>
      </c>
      <c r="D212" s="17"/>
      <c r="E212" s="14"/>
      <c r="F212" s="18"/>
      <c r="G212" s="19"/>
      <c r="H212" s="20"/>
      <c r="I212" s="21"/>
      <c r="J212" s="14"/>
      <c r="K212" s="14">
        <f t="shared" si="6"/>
        <v>0</v>
      </c>
      <c r="L212" s="16">
        <f t="shared" si="7"/>
        <v>0</v>
      </c>
      <c r="M212" s="22"/>
      <c r="N212" s="23" t="s">
        <v>16</v>
      </c>
      <c r="O212" s="24"/>
      <c r="P212" s="25"/>
    </row>
    <row r="213" spans="1:16">
      <c r="A213" s="14">
        <v>209</v>
      </c>
      <c r="B213" s="29" t="s">
        <v>318</v>
      </c>
      <c r="C213" s="16">
        <f>'Медикаменты Январь'!L213</f>
        <v>0</v>
      </c>
      <c r="D213" s="17"/>
      <c r="E213" s="14"/>
      <c r="F213" s="18"/>
      <c r="G213" s="19"/>
      <c r="H213" s="20"/>
      <c r="I213" s="21"/>
      <c r="J213" s="14"/>
      <c r="K213" s="14">
        <f t="shared" si="6"/>
        <v>0</v>
      </c>
      <c r="L213" s="16">
        <f t="shared" si="7"/>
        <v>0</v>
      </c>
      <c r="M213" s="22"/>
      <c r="N213" s="23" t="s">
        <v>16</v>
      </c>
      <c r="O213" s="24"/>
      <c r="P213" s="25"/>
    </row>
    <row r="214" spans="1:16">
      <c r="A214" s="14">
        <v>210</v>
      </c>
      <c r="B214" s="29" t="s">
        <v>319</v>
      </c>
      <c r="C214" s="16">
        <f>'Медикаменты Январь'!L214</f>
        <v>0</v>
      </c>
      <c r="D214" s="17"/>
      <c r="E214" s="14"/>
      <c r="F214" s="18"/>
      <c r="G214" s="19"/>
      <c r="H214" s="20"/>
      <c r="I214" s="21"/>
      <c r="J214" s="14"/>
      <c r="K214" s="14">
        <f t="shared" si="6"/>
        <v>0</v>
      </c>
      <c r="L214" s="16">
        <f t="shared" si="7"/>
        <v>0</v>
      </c>
      <c r="M214" s="22"/>
      <c r="N214" s="23" t="s">
        <v>16</v>
      </c>
      <c r="O214" s="24"/>
      <c r="P214" s="25"/>
    </row>
    <row r="215" spans="1:16">
      <c r="A215" s="14">
        <v>211</v>
      </c>
      <c r="B215" s="29" t="s">
        <v>320</v>
      </c>
      <c r="C215" s="16">
        <f>'Медикаменты Январь'!L215</f>
        <v>2</v>
      </c>
      <c r="D215" s="17"/>
      <c r="E215" s="14"/>
      <c r="F215" s="18"/>
      <c r="G215" s="19"/>
      <c r="H215" s="20"/>
      <c r="I215" s="21"/>
      <c r="J215" s="14"/>
      <c r="K215" s="14">
        <f t="shared" si="6"/>
        <v>0</v>
      </c>
      <c r="L215" s="16">
        <f t="shared" si="7"/>
        <v>2</v>
      </c>
      <c r="M215" s="22">
        <v>44652</v>
      </c>
      <c r="N215" s="23" t="s">
        <v>16</v>
      </c>
      <c r="O215" s="24" t="s">
        <v>17</v>
      </c>
      <c r="P215" s="28" t="s">
        <v>321</v>
      </c>
    </row>
    <row r="216" spans="1:16">
      <c r="A216" s="14">
        <v>212</v>
      </c>
      <c r="B216" s="29" t="s">
        <v>322</v>
      </c>
      <c r="C216" s="16">
        <f>'Медикаменты Январь'!L216</f>
        <v>0</v>
      </c>
      <c r="D216" s="17"/>
      <c r="E216" s="14"/>
      <c r="F216" s="18"/>
      <c r="G216" s="19"/>
      <c r="H216" s="20"/>
      <c r="I216" s="21"/>
      <c r="J216" s="14"/>
      <c r="K216" s="14">
        <f t="shared" si="6"/>
        <v>0</v>
      </c>
      <c r="L216" s="16">
        <f t="shared" si="7"/>
        <v>0</v>
      </c>
      <c r="M216" s="22"/>
      <c r="N216" s="23" t="s">
        <v>16</v>
      </c>
      <c r="O216" s="24"/>
      <c r="P216" s="25"/>
    </row>
    <row r="217" spans="1:16">
      <c r="A217" s="14">
        <v>213</v>
      </c>
      <c r="B217" s="29" t="s">
        <v>323</v>
      </c>
      <c r="C217" s="16">
        <f>'Медикаменты Январь'!L217</f>
        <v>0</v>
      </c>
      <c r="D217" s="17"/>
      <c r="E217" s="14"/>
      <c r="F217" s="18"/>
      <c r="G217" s="19"/>
      <c r="H217" s="20"/>
      <c r="I217" s="21"/>
      <c r="J217" s="14"/>
      <c r="K217" s="14">
        <f t="shared" si="6"/>
        <v>0</v>
      </c>
      <c r="L217" s="16">
        <f t="shared" si="7"/>
        <v>0</v>
      </c>
      <c r="M217" s="22"/>
      <c r="N217" s="23" t="s">
        <v>16</v>
      </c>
      <c r="O217" s="24"/>
      <c r="P217" s="25"/>
    </row>
    <row r="218" spans="1:16">
      <c r="A218" s="14">
        <v>214</v>
      </c>
      <c r="B218" s="29" t="s">
        <v>324</v>
      </c>
      <c r="C218" s="16">
        <f>'Медикаменты Январь'!L218</f>
        <v>84</v>
      </c>
      <c r="D218" s="17"/>
      <c r="E218" s="14"/>
      <c r="F218" s="18"/>
      <c r="G218" s="19"/>
      <c r="H218" s="20"/>
      <c r="I218" s="21"/>
      <c r="J218" s="14"/>
      <c r="K218" s="14">
        <f t="shared" si="6"/>
        <v>0</v>
      </c>
      <c r="L218" s="16">
        <f t="shared" si="7"/>
        <v>84</v>
      </c>
      <c r="M218" s="22">
        <v>45017</v>
      </c>
      <c r="N218" s="23" t="s">
        <v>16</v>
      </c>
      <c r="O218" s="24" t="s">
        <v>17</v>
      </c>
      <c r="P218" s="23" t="s">
        <v>325</v>
      </c>
    </row>
    <row r="219" spans="1:16">
      <c r="A219" s="14">
        <v>215</v>
      </c>
      <c r="B219" s="29" t="s">
        <v>326</v>
      </c>
      <c r="C219" s="16">
        <f>'Медикаменты Январь'!L219</f>
        <v>0</v>
      </c>
      <c r="D219" s="17"/>
      <c r="E219" s="14"/>
      <c r="F219" s="18"/>
      <c r="G219" s="19"/>
      <c r="H219" s="20"/>
      <c r="I219" s="21"/>
      <c r="J219" s="14"/>
      <c r="K219" s="14">
        <f t="shared" si="6"/>
        <v>0</v>
      </c>
      <c r="L219" s="16">
        <f t="shared" si="7"/>
        <v>0</v>
      </c>
      <c r="M219" s="22"/>
      <c r="N219" s="23" t="s">
        <v>16</v>
      </c>
      <c r="O219" s="24"/>
      <c r="P219" s="25"/>
    </row>
    <row r="220" spans="1:16">
      <c r="A220" s="14">
        <v>216</v>
      </c>
      <c r="B220" s="29" t="s">
        <v>327</v>
      </c>
      <c r="C220" s="16">
        <f>'Медикаменты Январь'!L220</f>
        <v>96</v>
      </c>
      <c r="D220" s="17"/>
      <c r="E220" s="14"/>
      <c r="F220" s="18"/>
      <c r="G220" s="19"/>
      <c r="H220" s="20"/>
      <c r="I220" s="21"/>
      <c r="J220" s="14"/>
      <c r="K220" s="14">
        <f t="shared" si="6"/>
        <v>0</v>
      </c>
      <c r="L220" s="16">
        <f t="shared" si="7"/>
        <v>96</v>
      </c>
      <c r="M220" s="22">
        <v>44774</v>
      </c>
      <c r="N220" s="23" t="s">
        <v>16</v>
      </c>
      <c r="O220" s="24" t="s">
        <v>17</v>
      </c>
      <c r="P220" s="23" t="s">
        <v>328</v>
      </c>
    </row>
    <row r="221" spans="1:16">
      <c r="A221" s="14">
        <v>217</v>
      </c>
      <c r="B221" s="29" t="s">
        <v>327</v>
      </c>
      <c r="C221" s="16">
        <f>'Медикаменты Январь'!L221</f>
        <v>0</v>
      </c>
      <c r="D221" s="17"/>
      <c r="E221" s="14"/>
      <c r="F221" s="18"/>
      <c r="G221" s="19"/>
      <c r="H221" s="20"/>
      <c r="I221" s="21"/>
      <c r="J221" s="14"/>
      <c r="K221" s="14">
        <f t="shared" si="6"/>
        <v>0</v>
      </c>
      <c r="L221" s="16">
        <f t="shared" si="7"/>
        <v>0</v>
      </c>
      <c r="M221" s="22">
        <v>44743</v>
      </c>
      <c r="N221" s="23" t="s">
        <v>16</v>
      </c>
      <c r="O221" s="24" t="s">
        <v>17</v>
      </c>
      <c r="P221" s="23" t="s">
        <v>328</v>
      </c>
    </row>
    <row r="222" spans="1:16">
      <c r="A222" s="14">
        <v>218</v>
      </c>
      <c r="B222" s="29" t="s">
        <v>327</v>
      </c>
      <c r="C222" s="16">
        <f>'Медикаменты Январь'!L222</f>
        <v>25</v>
      </c>
      <c r="D222" s="17"/>
      <c r="E222" s="14"/>
      <c r="F222" s="18"/>
      <c r="G222" s="19"/>
      <c r="H222" s="20"/>
      <c r="I222" s="21"/>
      <c r="J222" s="14"/>
      <c r="K222" s="14">
        <f t="shared" si="6"/>
        <v>0</v>
      </c>
      <c r="L222" s="16">
        <f t="shared" si="7"/>
        <v>25</v>
      </c>
      <c r="M222" s="22">
        <v>44774</v>
      </c>
      <c r="N222" s="23" t="s">
        <v>26</v>
      </c>
      <c r="O222" s="24" t="s">
        <v>17</v>
      </c>
      <c r="P222" s="23" t="s">
        <v>328</v>
      </c>
    </row>
    <row r="223" spans="1:16">
      <c r="A223" s="14">
        <v>219</v>
      </c>
      <c r="B223" s="29" t="s">
        <v>329</v>
      </c>
      <c r="C223" s="16">
        <f>'Медикаменты Январь'!L223</f>
        <v>0</v>
      </c>
      <c r="D223" s="17"/>
      <c r="E223" s="14"/>
      <c r="F223" s="18"/>
      <c r="G223" s="19"/>
      <c r="H223" s="20"/>
      <c r="I223" s="21"/>
      <c r="J223" s="14"/>
      <c r="K223" s="14">
        <f t="shared" si="6"/>
        <v>0</v>
      </c>
      <c r="L223" s="16">
        <f t="shared" si="7"/>
        <v>0</v>
      </c>
      <c r="M223" s="22">
        <v>44713</v>
      </c>
      <c r="N223" s="23" t="s">
        <v>16</v>
      </c>
      <c r="O223" s="24"/>
      <c r="P223" s="23" t="s">
        <v>330</v>
      </c>
    </row>
    <row r="224" spans="1:16">
      <c r="A224" s="14">
        <v>220</v>
      </c>
      <c r="B224" s="29" t="s">
        <v>331</v>
      </c>
      <c r="C224" s="16">
        <f>'Медикаменты Январь'!L224</f>
        <v>5</v>
      </c>
      <c r="D224" s="17"/>
      <c r="E224" s="14"/>
      <c r="F224" s="18"/>
      <c r="G224" s="19"/>
      <c r="H224" s="20"/>
      <c r="I224" s="21"/>
      <c r="J224" s="14"/>
      <c r="K224" s="14">
        <f t="shared" si="6"/>
        <v>0</v>
      </c>
      <c r="L224" s="16">
        <f t="shared" si="7"/>
        <v>5</v>
      </c>
      <c r="M224" s="22">
        <v>44317</v>
      </c>
      <c r="N224" s="23" t="s">
        <v>16</v>
      </c>
      <c r="O224" s="24" t="s">
        <v>45</v>
      </c>
      <c r="P224" s="23" t="s">
        <v>332</v>
      </c>
    </row>
    <row r="225" spans="1:16">
      <c r="A225" s="14">
        <v>221</v>
      </c>
      <c r="B225" s="29" t="s">
        <v>333</v>
      </c>
      <c r="C225" s="16">
        <f>'Медикаменты Январь'!L225</f>
        <v>0</v>
      </c>
      <c r="D225" s="17"/>
      <c r="E225" s="14"/>
      <c r="F225" s="18"/>
      <c r="G225" s="19"/>
      <c r="H225" s="20"/>
      <c r="I225" s="21"/>
      <c r="J225" s="14"/>
      <c r="K225" s="14">
        <f t="shared" si="6"/>
        <v>0</v>
      </c>
      <c r="L225" s="16">
        <f t="shared" si="7"/>
        <v>0</v>
      </c>
      <c r="M225" s="22">
        <v>44348</v>
      </c>
      <c r="N225" s="23" t="s">
        <v>16</v>
      </c>
      <c r="O225" s="24"/>
      <c r="P225" s="23" t="s">
        <v>334</v>
      </c>
    </row>
    <row r="226" spans="1:16">
      <c r="A226" s="14">
        <v>222</v>
      </c>
      <c r="B226" s="29" t="s">
        <v>335</v>
      </c>
      <c r="C226" s="16">
        <f>'Медикаменты Январь'!L226</f>
        <v>0</v>
      </c>
      <c r="D226" s="17"/>
      <c r="E226" s="14"/>
      <c r="F226" s="18"/>
      <c r="G226" s="19"/>
      <c r="H226" s="20"/>
      <c r="I226" s="21"/>
      <c r="J226" s="14"/>
      <c r="K226" s="14">
        <f t="shared" si="6"/>
        <v>0</v>
      </c>
      <c r="L226" s="16">
        <f t="shared" si="7"/>
        <v>0</v>
      </c>
      <c r="M226" s="22">
        <v>44348</v>
      </c>
      <c r="N226" s="23" t="s">
        <v>16</v>
      </c>
      <c r="O226" s="24"/>
      <c r="P226" s="25"/>
    </row>
    <row r="227" spans="1:16">
      <c r="A227" s="14">
        <v>223</v>
      </c>
      <c r="B227" s="29" t="s">
        <v>336</v>
      </c>
      <c r="C227" s="16">
        <f>'Медикаменты Январь'!L227</f>
        <v>162</v>
      </c>
      <c r="D227" s="17"/>
      <c r="E227" s="14"/>
      <c r="F227" s="18"/>
      <c r="G227" s="19"/>
      <c r="H227" s="20"/>
      <c r="I227" s="21"/>
      <c r="J227" s="14"/>
      <c r="K227" s="14">
        <f t="shared" si="6"/>
        <v>0</v>
      </c>
      <c r="L227" s="16">
        <f t="shared" si="7"/>
        <v>162</v>
      </c>
      <c r="M227" s="22">
        <v>45413</v>
      </c>
      <c r="N227" s="23" t="s">
        <v>16</v>
      </c>
      <c r="O227" s="24" t="s">
        <v>17</v>
      </c>
      <c r="P227" s="23" t="s">
        <v>337</v>
      </c>
    </row>
    <row r="228" spans="1:16">
      <c r="A228" s="14">
        <v>224</v>
      </c>
      <c r="B228" s="29" t="s">
        <v>338</v>
      </c>
      <c r="C228" s="16">
        <f>'Медикаменты Январь'!L228</f>
        <v>0</v>
      </c>
      <c r="D228" s="17"/>
      <c r="E228" s="14"/>
      <c r="F228" s="18"/>
      <c r="G228" s="19"/>
      <c r="H228" s="20"/>
      <c r="I228" s="21"/>
      <c r="J228" s="14"/>
      <c r="K228" s="14">
        <f t="shared" si="6"/>
        <v>0</v>
      </c>
      <c r="L228" s="16">
        <f t="shared" si="7"/>
        <v>0</v>
      </c>
      <c r="M228" s="22">
        <v>44562</v>
      </c>
      <c r="N228" s="23" t="s">
        <v>16</v>
      </c>
      <c r="O228" s="24"/>
      <c r="P228" s="23" t="s">
        <v>339</v>
      </c>
    </row>
    <row r="229" spans="1:16">
      <c r="A229" s="14">
        <v>225</v>
      </c>
      <c r="B229" s="29" t="s">
        <v>340</v>
      </c>
      <c r="C229" s="16">
        <f>'Медикаменты Январь'!L229</f>
        <v>0</v>
      </c>
      <c r="D229" s="17"/>
      <c r="E229" s="14"/>
      <c r="F229" s="18"/>
      <c r="G229" s="19"/>
      <c r="H229" s="20"/>
      <c r="I229" s="21"/>
      <c r="J229" s="14"/>
      <c r="K229" s="14">
        <f t="shared" si="6"/>
        <v>0</v>
      </c>
      <c r="L229" s="16">
        <f t="shared" si="7"/>
        <v>0</v>
      </c>
      <c r="M229" s="22"/>
      <c r="N229" s="23" t="s">
        <v>16</v>
      </c>
      <c r="O229" s="24"/>
      <c r="P229" s="25"/>
    </row>
    <row r="230" spans="1:16">
      <c r="A230" s="14">
        <v>226</v>
      </c>
      <c r="B230" s="29" t="s">
        <v>341</v>
      </c>
      <c r="C230" s="16">
        <f>'Медикаменты Январь'!L230</f>
        <v>62</v>
      </c>
      <c r="D230" s="17"/>
      <c r="E230" s="14"/>
      <c r="F230" s="18"/>
      <c r="G230" s="19"/>
      <c r="H230" s="20"/>
      <c r="I230" s="21"/>
      <c r="J230" s="14"/>
      <c r="K230" s="14">
        <f t="shared" si="6"/>
        <v>0</v>
      </c>
      <c r="L230" s="16">
        <f t="shared" si="7"/>
        <v>62</v>
      </c>
      <c r="M230" s="22">
        <v>45108</v>
      </c>
      <c r="N230" s="23" t="s">
        <v>16</v>
      </c>
      <c r="O230" s="24" t="s">
        <v>17</v>
      </c>
      <c r="P230" s="28" t="s">
        <v>342</v>
      </c>
    </row>
    <row r="231" spans="1:16">
      <c r="A231" s="14">
        <v>227</v>
      </c>
      <c r="B231" s="29" t="s">
        <v>343</v>
      </c>
      <c r="C231" s="16">
        <f>'Медикаменты Январь'!L231</f>
        <v>25</v>
      </c>
      <c r="D231" s="17"/>
      <c r="E231" s="14"/>
      <c r="F231" s="18"/>
      <c r="G231" s="19"/>
      <c r="H231" s="20"/>
      <c r="I231" s="21"/>
      <c r="J231" s="14"/>
      <c r="K231" s="14">
        <f t="shared" si="6"/>
        <v>0</v>
      </c>
      <c r="L231" s="16">
        <f t="shared" si="7"/>
        <v>25</v>
      </c>
      <c r="M231" s="22">
        <v>44835</v>
      </c>
      <c r="N231" s="23" t="s">
        <v>16</v>
      </c>
      <c r="O231" s="24" t="s">
        <v>17</v>
      </c>
      <c r="P231" s="28" t="s">
        <v>344</v>
      </c>
    </row>
    <row r="232" spans="1:16">
      <c r="A232" s="14">
        <v>228</v>
      </c>
      <c r="B232" s="29" t="s">
        <v>343</v>
      </c>
      <c r="C232" s="16">
        <f>'Медикаменты Январь'!L232</f>
        <v>0</v>
      </c>
      <c r="D232" s="17"/>
      <c r="E232" s="14"/>
      <c r="F232" s="18"/>
      <c r="G232" s="19"/>
      <c r="H232" s="20"/>
      <c r="I232" s="21"/>
      <c r="J232" s="14"/>
      <c r="K232" s="14">
        <f t="shared" si="6"/>
        <v>0</v>
      </c>
      <c r="L232" s="16">
        <f t="shared" si="7"/>
        <v>0</v>
      </c>
      <c r="M232" s="22">
        <v>44835</v>
      </c>
      <c r="N232" s="23" t="s">
        <v>26</v>
      </c>
      <c r="O232" s="24"/>
      <c r="P232" s="28" t="s">
        <v>344</v>
      </c>
    </row>
    <row r="233" spans="1:16">
      <c r="A233" s="14">
        <v>229</v>
      </c>
      <c r="B233" s="29" t="s">
        <v>345</v>
      </c>
      <c r="C233" s="16">
        <f>'Медикаменты Январь'!L233</f>
        <v>52</v>
      </c>
      <c r="D233" s="17"/>
      <c r="E233" s="14"/>
      <c r="F233" s="18">
        <f>5</f>
        <v>5</v>
      </c>
      <c r="G233" s="19"/>
      <c r="H233" s="20"/>
      <c r="I233" s="21"/>
      <c r="J233" s="14"/>
      <c r="K233" s="14">
        <f t="shared" si="6"/>
        <v>5</v>
      </c>
      <c r="L233" s="16">
        <f t="shared" si="7"/>
        <v>47</v>
      </c>
      <c r="M233" s="22">
        <v>44562</v>
      </c>
      <c r="N233" s="23" t="s">
        <v>16</v>
      </c>
      <c r="O233" s="24" t="s">
        <v>45</v>
      </c>
      <c r="P233" s="28" t="s">
        <v>346</v>
      </c>
    </row>
    <row r="234" spans="1:16">
      <c r="A234" s="14">
        <v>230</v>
      </c>
      <c r="B234" s="29" t="s">
        <v>347</v>
      </c>
      <c r="C234" s="16">
        <f>'Медикаменты Январь'!L234</f>
        <v>0</v>
      </c>
      <c r="D234" s="17"/>
      <c r="E234" s="14"/>
      <c r="F234" s="18"/>
      <c r="G234" s="19"/>
      <c r="H234" s="20"/>
      <c r="I234" s="21"/>
      <c r="J234" s="14"/>
      <c r="K234" s="14">
        <f t="shared" si="6"/>
        <v>0</v>
      </c>
      <c r="L234" s="16">
        <f t="shared" si="7"/>
        <v>0</v>
      </c>
      <c r="M234" s="22">
        <v>44896</v>
      </c>
      <c r="N234" s="23" t="s">
        <v>16</v>
      </c>
      <c r="O234" s="24" t="s">
        <v>45</v>
      </c>
      <c r="P234" s="23" t="s">
        <v>348</v>
      </c>
    </row>
    <row r="235" spans="1:16">
      <c r="A235" s="14">
        <v>231</v>
      </c>
      <c r="B235" s="29" t="s">
        <v>349</v>
      </c>
      <c r="C235" s="16">
        <f>'Медикаменты Январь'!L235</f>
        <v>0</v>
      </c>
      <c r="D235" s="17"/>
      <c r="E235" s="14"/>
      <c r="F235" s="18"/>
      <c r="G235" s="19"/>
      <c r="H235" s="20"/>
      <c r="I235" s="21"/>
      <c r="J235" s="14"/>
      <c r="K235" s="14">
        <f t="shared" si="6"/>
        <v>0</v>
      </c>
      <c r="L235" s="16">
        <f t="shared" si="7"/>
        <v>0</v>
      </c>
      <c r="M235" s="22"/>
      <c r="N235" s="23" t="s">
        <v>16</v>
      </c>
      <c r="O235" s="24"/>
      <c r="P235" s="25"/>
    </row>
    <row r="236" spans="1:16">
      <c r="A236" s="14">
        <v>232</v>
      </c>
      <c r="B236" s="29" t="s">
        <v>350</v>
      </c>
      <c r="C236" s="16">
        <f>'Медикаменты Январь'!L236</f>
        <v>0</v>
      </c>
      <c r="D236" s="17"/>
      <c r="E236" s="14"/>
      <c r="F236" s="18"/>
      <c r="G236" s="19"/>
      <c r="H236" s="20"/>
      <c r="I236" s="21"/>
      <c r="J236" s="14"/>
      <c r="K236" s="14">
        <f t="shared" si="6"/>
        <v>0</v>
      </c>
      <c r="L236" s="16">
        <f t="shared" si="7"/>
        <v>0</v>
      </c>
      <c r="M236" s="22"/>
      <c r="N236" s="23" t="s">
        <v>16</v>
      </c>
      <c r="O236" s="24"/>
      <c r="P236" s="25"/>
    </row>
    <row r="237" spans="1:16">
      <c r="A237" s="14">
        <v>233</v>
      </c>
      <c r="B237" s="29" t="s">
        <v>351</v>
      </c>
      <c r="C237" s="16">
        <f>'Медикаменты Январь'!L237</f>
        <v>0</v>
      </c>
      <c r="D237" s="17"/>
      <c r="E237" s="14"/>
      <c r="F237" s="18"/>
      <c r="G237" s="19"/>
      <c r="H237" s="20"/>
      <c r="I237" s="21"/>
      <c r="J237" s="14"/>
      <c r="K237" s="14">
        <f t="shared" si="6"/>
        <v>0</v>
      </c>
      <c r="L237" s="16">
        <f t="shared" si="7"/>
        <v>0</v>
      </c>
      <c r="M237" s="22">
        <v>44197</v>
      </c>
      <c r="N237" s="23" t="s">
        <v>16</v>
      </c>
      <c r="O237" s="24"/>
      <c r="P237" s="28" t="s">
        <v>352</v>
      </c>
    </row>
    <row r="238" spans="1:16">
      <c r="A238" s="14">
        <v>234</v>
      </c>
      <c r="B238" s="29" t="s">
        <v>353</v>
      </c>
      <c r="C238" s="16">
        <f>'Медикаменты Январь'!L238</f>
        <v>393</v>
      </c>
      <c r="D238" s="17"/>
      <c r="E238" s="14"/>
      <c r="F238" s="18">
        <f>25</f>
        <v>25</v>
      </c>
      <c r="G238" s="19"/>
      <c r="H238" s="20"/>
      <c r="I238" s="21"/>
      <c r="J238" s="14"/>
      <c r="K238" s="14">
        <f t="shared" si="6"/>
        <v>25</v>
      </c>
      <c r="L238" s="16">
        <f t="shared" si="7"/>
        <v>368</v>
      </c>
      <c r="M238" s="22">
        <v>44652</v>
      </c>
      <c r="N238" s="23" t="s">
        <v>16</v>
      </c>
      <c r="O238" s="24" t="s">
        <v>17</v>
      </c>
      <c r="P238" s="28" t="s">
        <v>354</v>
      </c>
    </row>
    <row r="239" spans="1:16">
      <c r="A239" s="14">
        <v>235</v>
      </c>
      <c r="B239" s="29" t="s">
        <v>355</v>
      </c>
      <c r="C239" s="16">
        <f>'Медикаменты Январь'!L239</f>
        <v>8</v>
      </c>
      <c r="D239" s="17"/>
      <c r="E239" s="14"/>
      <c r="F239" s="18"/>
      <c r="G239" s="19"/>
      <c r="H239" s="20"/>
      <c r="I239" s="21"/>
      <c r="J239" s="14"/>
      <c r="K239" s="14">
        <f t="shared" si="6"/>
        <v>0</v>
      </c>
      <c r="L239" s="16">
        <f t="shared" si="7"/>
        <v>8</v>
      </c>
      <c r="M239" s="22">
        <v>44713</v>
      </c>
      <c r="N239" s="23" t="s">
        <v>16</v>
      </c>
      <c r="O239" s="24" t="s">
        <v>17</v>
      </c>
      <c r="P239" s="28" t="s">
        <v>356</v>
      </c>
    </row>
    <row r="240" spans="1:16">
      <c r="A240" s="14">
        <v>236</v>
      </c>
      <c r="B240" s="29" t="s">
        <v>357</v>
      </c>
      <c r="C240" s="16">
        <f>'Медикаменты Январь'!L240</f>
        <v>0</v>
      </c>
      <c r="D240" s="17"/>
      <c r="E240" s="14"/>
      <c r="F240" s="18"/>
      <c r="G240" s="19"/>
      <c r="H240" s="20"/>
      <c r="I240" s="21"/>
      <c r="J240" s="14"/>
      <c r="K240" s="14">
        <f t="shared" si="6"/>
        <v>0</v>
      </c>
      <c r="L240" s="16">
        <f t="shared" si="7"/>
        <v>0</v>
      </c>
      <c r="M240" s="22"/>
      <c r="N240" s="23" t="s">
        <v>16</v>
      </c>
      <c r="O240" s="24"/>
      <c r="P240" s="25"/>
    </row>
    <row r="241" spans="1:16">
      <c r="A241" s="14">
        <v>237</v>
      </c>
      <c r="B241" s="29" t="s">
        <v>358</v>
      </c>
      <c r="C241" s="16">
        <f>'Медикаменты Январь'!L241</f>
        <v>0</v>
      </c>
      <c r="D241" s="17"/>
      <c r="E241" s="14"/>
      <c r="F241" s="18"/>
      <c r="G241" s="19"/>
      <c r="H241" s="20"/>
      <c r="I241" s="21"/>
      <c r="J241" s="14"/>
      <c r="K241" s="14">
        <f t="shared" si="6"/>
        <v>0</v>
      </c>
      <c r="L241" s="16">
        <f t="shared" si="7"/>
        <v>0</v>
      </c>
      <c r="M241" s="22">
        <v>44562</v>
      </c>
      <c r="N241" s="23" t="s">
        <v>26</v>
      </c>
      <c r="O241" s="24"/>
      <c r="P241" s="28" t="s">
        <v>359</v>
      </c>
    </row>
    <row r="242" spans="1:16">
      <c r="A242" s="14">
        <v>238</v>
      </c>
      <c r="B242" s="29" t="s">
        <v>360</v>
      </c>
      <c r="C242" s="16">
        <f>'Медикаменты Январь'!L242</f>
        <v>0</v>
      </c>
      <c r="D242" s="17"/>
      <c r="E242" s="14"/>
      <c r="F242" s="18"/>
      <c r="G242" s="19"/>
      <c r="H242" s="20"/>
      <c r="I242" s="21"/>
      <c r="J242" s="14"/>
      <c r="K242" s="14">
        <f t="shared" si="6"/>
        <v>0</v>
      </c>
      <c r="L242" s="16">
        <f t="shared" si="7"/>
        <v>0</v>
      </c>
      <c r="M242" s="22"/>
      <c r="N242" s="23" t="s">
        <v>16</v>
      </c>
      <c r="O242" s="24"/>
      <c r="P242" s="25"/>
    </row>
    <row r="243" spans="1:16">
      <c r="A243" s="14">
        <v>239</v>
      </c>
      <c r="B243" s="29" t="s">
        <v>361</v>
      </c>
      <c r="C243" s="16">
        <f>'Медикаменты Январь'!L243</f>
        <v>0</v>
      </c>
      <c r="D243" s="17"/>
      <c r="E243" s="14"/>
      <c r="F243" s="18"/>
      <c r="G243" s="19"/>
      <c r="H243" s="20"/>
      <c r="I243" s="21"/>
      <c r="J243" s="14"/>
      <c r="K243" s="14">
        <f t="shared" si="6"/>
        <v>0</v>
      </c>
      <c r="L243" s="16">
        <f t="shared" si="7"/>
        <v>0</v>
      </c>
      <c r="M243" s="22"/>
      <c r="N243" s="23" t="s">
        <v>16</v>
      </c>
      <c r="O243" s="24"/>
      <c r="P243" s="25"/>
    </row>
    <row r="244" spans="1:16">
      <c r="A244" s="14">
        <v>240</v>
      </c>
      <c r="B244" s="29" t="s">
        <v>362</v>
      </c>
      <c r="C244" s="16">
        <f>'Медикаменты Январь'!L244</f>
        <v>0</v>
      </c>
      <c r="D244" s="17"/>
      <c r="E244" s="14"/>
      <c r="F244" s="18"/>
      <c r="G244" s="19"/>
      <c r="H244" s="20"/>
      <c r="I244" s="21"/>
      <c r="J244" s="14"/>
      <c r="K244" s="14">
        <f t="shared" si="6"/>
        <v>0</v>
      </c>
      <c r="L244" s="16">
        <f t="shared" si="7"/>
        <v>0</v>
      </c>
      <c r="M244" s="22">
        <v>45200</v>
      </c>
      <c r="N244" s="23" t="s">
        <v>16</v>
      </c>
      <c r="O244" s="24"/>
      <c r="P244" s="23" t="s">
        <v>363</v>
      </c>
    </row>
    <row r="245" spans="1:16">
      <c r="A245" s="14">
        <v>241</v>
      </c>
      <c r="B245" s="29" t="s">
        <v>364</v>
      </c>
      <c r="C245" s="16">
        <f>'Медикаменты Январь'!L245</f>
        <v>0</v>
      </c>
      <c r="D245" s="17"/>
      <c r="E245" s="14"/>
      <c r="F245" s="18"/>
      <c r="G245" s="19"/>
      <c r="H245" s="20"/>
      <c r="I245" s="21"/>
      <c r="J245" s="14"/>
      <c r="K245" s="14">
        <f t="shared" si="6"/>
        <v>0</v>
      </c>
      <c r="L245" s="16">
        <f t="shared" si="7"/>
        <v>0</v>
      </c>
      <c r="M245" s="22">
        <v>44378</v>
      </c>
      <c r="N245" s="23" t="s">
        <v>26</v>
      </c>
      <c r="O245" s="24"/>
      <c r="P245" s="25"/>
    </row>
    <row r="246" spans="1:16">
      <c r="A246" s="14">
        <v>242</v>
      </c>
      <c r="B246" s="29" t="s">
        <v>365</v>
      </c>
      <c r="C246" s="16">
        <f>'Медикаменты Январь'!L246</f>
        <v>0</v>
      </c>
      <c r="D246" s="17"/>
      <c r="E246" s="14"/>
      <c r="F246" s="18"/>
      <c r="G246" s="19"/>
      <c r="H246" s="20"/>
      <c r="I246" s="21"/>
      <c r="J246" s="14"/>
      <c r="K246" s="14">
        <f t="shared" si="6"/>
        <v>0</v>
      </c>
      <c r="L246" s="16">
        <f t="shared" si="7"/>
        <v>0</v>
      </c>
      <c r="M246" s="22"/>
      <c r="N246" s="23" t="s">
        <v>16</v>
      </c>
      <c r="O246" s="24"/>
      <c r="P246" s="25"/>
    </row>
    <row r="247" spans="1:16">
      <c r="A247" s="14">
        <v>243</v>
      </c>
      <c r="B247" s="29" t="s">
        <v>366</v>
      </c>
      <c r="C247" s="16">
        <f>'Медикаменты Январь'!L247</f>
        <v>0</v>
      </c>
      <c r="D247" s="17"/>
      <c r="E247" s="14"/>
      <c r="F247" s="18"/>
      <c r="G247" s="19"/>
      <c r="H247" s="20"/>
      <c r="I247" s="21"/>
      <c r="J247" s="14"/>
      <c r="K247" s="14">
        <f t="shared" si="6"/>
        <v>0</v>
      </c>
      <c r="L247" s="16">
        <f t="shared" si="7"/>
        <v>0</v>
      </c>
      <c r="M247" s="22"/>
      <c r="N247" s="23" t="s">
        <v>16</v>
      </c>
      <c r="O247" s="24"/>
      <c r="P247" s="25"/>
    </row>
    <row r="248" spans="1:16">
      <c r="A248" s="14">
        <v>244</v>
      </c>
      <c r="B248" s="29" t="s">
        <v>367</v>
      </c>
      <c r="C248" s="16">
        <f>'Медикаменты Январь'!L248</f>
        <v>25</v>
      </c>
      <c r="D248" s="17"/>
      <c r="E248" s="14"/>
      <c r="F248" s="18"/>
      <c r="G248" s="19"/>
      <c r="H248" s="20"/>
      <c r="I248" s="21"/>
      <c r="J248" s="14"/>
      <c r="K248" s="14">
        <f t="shared" si="6"/>
        <v>0</v>
      </c>
      <c r="L248" s="16">
        <f t="shared" si="7"/>
        <v>25</v>
      </c>
      <c r="M248" s="22">
        <v>45261</v>
      </c>
      <c r="N248" s="23" t="s">
        <v>16</v>
      </c>
      <c r="O248" s="24" t="s">
        <v>17</v>
      </c>
      <c r="P248" s="23" t="s">
        <v>368</v>
      </c>
    </row>
    <row r="249" spans="1:16">
      <c r="A249" s="14">
        <v>245</v>
      </c>
      <c r="B249" s="29" t="s">
        <v>369</v>
      </c>
      <c r="C249" s="16">
        <f>'Медикаменты Январь'!L249</f>
        <v>20</v>
      </c>
      <c r="D249" s="17"/>
      <c r="E249" s="14"/>
      <c r="F249" s="18"/>
      <c r="G249" s="19"/>
      <c r="H249" s="20"/>
      <c r="I249" s="21"/>
      <c r="J249" s="14"/>
      <c r="K249" s="14">
        <f t="shared" si="6"/>
        <v>0</v>
      </c>
      <c r="L249" s="16">
        <f t="shared" si="7"/>
        <v>20</v>
      </c>
      <c r="M249" s="22">
        <v>44927</v>
      </c>
      <c r="N249" s="23" t="s">
        <v>16</v>
      </c>
      <c r="O249" s="24" t="s">
        <v>45</v>
      </c>
      <c r="P249" s="28" t="s">
        <v>370</v>
      </c>
    </row>
    <row r="250" spans="1:16">
      <c r="A250" s="14">
        <v>246</v>
      </c>
      <c r="B250" s="29" t="s">
        <v>371</v>
      </c>
      <c r="C250" s="16">
        <f>'Медикаменты Январь'!L250</f>
        <v>47</v>
      </c>
      <c r="D250" s="17"/>
      <c r="E250" s="14"/>
      <c r="F250" s="18"/>
      <c r="G250" s="19"/>
      <c r="H250" s="20"/>
      <c r="I250" s="21"/>
      <c r="J250" s="14"/>
      <c r="K250" s="14">
        <f t="shared" si="6"/>
        <v>0</v>
      </c>
      <c r="L250" s="16">
        <f t="shared" si="7"/>
        <v>47</v>
      </c>
      <c r="M250" s="22">
        <v>45413</v>
      </c>
      <c r="N250" s="23" t="s">
        <v>16</v>
      </c>
      <c r="O250" s="24" t="s">
        <v>17</v>
      </c>
      <c r="P250" s="23" t="s">
        <v>372</v>
      </c>
    </row>
    <row r="251" spans="1:16">
      <c r="A251" s="14">
        <v>247</v>
      </c>
      <c r="B251" s="29" t="s">
        <v>371</v>
      </c>
      <c r="C251" s="16">
        <f>'Медикаменты Январь'!L251</f>
        <v>0</v>
      </c>
      <c r="D251" s="17"/>
      <c r="E251" s="14"/>
      <c r="F251" s="18"/>
      <c r="G251" s="19"/>
      <c r="H251" s="20"/>
      <c r="I251" s="21"/>
      <c r="J251" s="14"/>
      <c r="K251" s="14">
        <f t="shared" si="6"/>
        <v>0</v>
      </c>
      <c r="L251" s="16">
        <f t="shared" si="7"/>
        <v>0</v>
      </c>
      <c r="M251" s="22">
        <v>45413</v>
      </c>
      <c r="N251" s="23" t="s">
        <v>26</v>
      </c>
      <c r="O251" s="24"/>
      <c r="P251" s="23" t="s">
        <v>372</v>
      </c>
    </row>
    <row r="252" spans="1:16">
      <c r="A252" s="14">
        <v>248</v>
      </c>
      <c r="B252" s="29" t="s">
        <v>373</v>
      </c>
      <c r="C252" s="16">
        <f>'Медикаменты Январь'!L252</f>
        <v>0</v>
      </c>
      <c r="D252" s="17"/>
      <c r="E252" s="14"/>
      <c r="F252" s="18"/>
      <c r="G252" s="19"/>
      <c r="H252" s="20"/>
      <c r="I252" s="21"/>
      <c r="J252" s="14"/>
      <c r="K252" s="14">
        <f t="shared" si="6"/>
        <v>0</v>
      </c>
      <c r="L252" s="16">
        <f t="shared" si="7"/>
        <v>0</v>
      </c>
      <c r="M252" s="22">
        <v>45108</v>
      </c>
      <c r="N252" s="23" t="s">
        <v>16</v>
      </c>
      <c r="O252" s="24"/>
      <c r="P252" s="23" t="s">
        <v>374</v>
      </c>
    </row>
    <row r="253" spans="1:16">
      <c r="A253" s="14">
        <v>249</v>
      </c>
      <c r="B253" s="29" t="s">
        <v>373</v>
      </c>
      <c r="C253" s="16">
        <f>'Медикаменты Январь'!L253</f>
        <v>0</v>
      </c>
      <c r="D253" s="17"/>
      <c r="E253" s="14"/>
      <c r="F253" s="18"/>
      <c r="G253" s="19"/>
      <c r="H253" s="20"/>
      <c r="I253" s="21"/>
      <c r="J253" s="14"/>
      <c r="K253" s="14">
        <f t="shared" si="6"/>
        <v>0</v>
      </c>
      <c r="L253" s="16">
        <f t="shared" si="7"/>
        <v>0</v>
      </c>
      <c r="M253" s="22">
        <v>45108</v>
      </c>
      <c r="N253" s="23" t="s">
        <v>26</v>
      </c>
      <c r="O253" s="24"/>
      <c r="P253" s="23" t="s">
        <v>374</v>
      </c>
    </row>
    <row r="254" spans="1:16">
      <c r="A254" s="14">
        <v>250</v>
      </c>
      <c r="B254" s="29" t="s">
        <v>375</v>
      </c>
      <c r="C254" s="16">
        <f>'Медикаменты Январь'!L254</f>
        <v>3</v>
      </c>
      <c r="D254" s="17"/>
      <c r="E254" s="14"/>
      <c r="F254" s="18"/>
      <c r="G254" s="19"/>
      <c r="H254" s="20"/>
      <c r="I254" s="21"/>
      <c r="J254" s="14"/>
      <c r="K254" s="14">
        <f t="shared" si="6"/>
        <v>0</v>
      </c>
      <c r="L254" s="16">
        <f t="shared" si="7"/>
        <v>3</v>
      </c>
      <c r="M254" s="22">
        <v>44805</v>
      </c>
      <c r="N254" s="23" t="s">
        <v>16</v>
      </c>
      <c r="O254" s="24" t="s">
        <v>17</v>
      </c>
      <c r="P254" s="28" t="s">
        <v>376</v>
      </c>
    </row>
    <row r="255" spans="1:16">
      <c r="A255" s="14">
        <v>251</v>
      </c>
      <c r="B255" s="29" t="s">
        <v>375</v>
      </c>
      <c r="C255" s="16">
        <f>'Медикаменты Январь'!L255</f>
        <v>0</v>
      </c>
      <c r="D255" s="17"/>
      <c r="E255" s="14"/>
      <c r="F255" s="18"/>
      <c r="G255" s="19"/>
      <c r="H255" s="20"/>
      <c r="I255" s="21"/>
      <c r="J255" s="14"/>
      <c r="K255" s="14">
        <f t="shared" si="6"/>
        <v>0</v>
      </c>
      <c r="L255" s="16">
        <f t="shared" si="7"/>
        <v>0</v>
      </c>
      <c r="M255" s="22">
        <v>44958</v>
      </c>
      <c r="N255" s="23" t="s">
        <v>26</v>
      </c>
      <c r="O255" s="24"/>
      <c r="P255" s="28" t="s">
        <v>376</v>
      </c>
    </row>
    <row r="256" spans="1:16">
      <c r="A256" s="14">
        <v>252</v>
      </c>
      <c r="B256" s="29" t="s">
        <v>377</v>
      </c>
      <c r="C256" s="16">
        <f>'Медикаменты Январь'!L256</f>
        <v>161</v>
      </c>
      <c r="D256" s="17"/>
      <c r="E256" s="14"/>
      <c r="F256" s="18"/>
      <c r="G256" s="19"/>
      <c r="H256" s="20"/>
      <c r="I256" s="21"/>
      <c r="J256" s="14"/>
      <c r="K256" s="14">
        <f t="shared" si="6"/>
        <v>0</v>
      </c>
      <c r="L256" s="16">
        <f t="shared" si="7"/>
        <v>161</v>
      </c>
      <c r="M256" s="22">
        <v>45170</v>
      </c>
      <c r="N256" s="23" t="s">
        <v>16</v>
      </c>
      <c r="O256" s="24" t="s">
        <v>17</v>
      </c>
      <c r="P256" s="23" t="s">
        <v>378</v>
      </c>
    </row>
    <row r="257" spans="1:16">
      <c r="A257" s="14">
        <v>253</v>
      </c>
      <c r="B257" s="29" t="s">
        <v>377</v>
      </c>
      <c r="C257" s="16">
        <f>'Медикаменты Январь'!L257</f>
        <v>114</v>
      </c>
      <c r="D257" s="17"/>
      <c r="E257" s="14"/>
      <c r="F257" s="18"/>
      <c r="G257" s="19"/>
      <c r="H257" s="20"/>
      <c r="I257" s="21"/>
      <c r="J257" s="14"/>
      <c r="K257" s="14">
        <f t="shared" si="6"/>
        <v>0</v>
      </c>
      <c r="L257" s="16">
        <f t="shared" si="7"/>
        <v>114</v>
      </c>
      <c r="M257" s="22">
        <v>45170</v>
      </c>
      <c r="N257" s="23" t="s">
        <v>26</v>
      </c>
      <c r="O257" s="24" t="s">
        <v>17</v>
      </c>
      <c r="P257" s="23" t="s">
        <v>378</v>
      </c>
    </row>
    <row r="258" spans="1:16">
      <c r="A258" s="14">
        <v>254</v>
      </c>
      <c r="B258" s="29" t="s">
        <v>379</v>
      </c>
      <c r="C258" s="16">
        <f>'Медикаменты Январь'!L258</f>
        <v>0</v>
      </c>
      <c r="D258" s="17"/>
      <c r="E258" s="14"/>
      <c r="F258" s="18"/>
      <c r="G258" s="19"/>
      <c r="H258" s="20"/>
      <c r="I258" s="21"/>
      <c r="J258" s="14"/>
      <c r="K258" s="14">
        <f t="shared" si="6"/>
        <v>0</v>
      </c>
      <c r="L258" s="16">
        <f t="shared" si="7"/>
        <v>0</v>
      </c>
      <c r="M258" s="22"/>
      <c r="N258" s="23" t="s">
        <v>16</v>
      </c>
      <c r="O258" s="24"/>
      <c r="P258" s="25"/>
    </row>
    <row r="259" spans="1:16">
      <c r="A259" s="14">
        <v>255</v>
      </c>
      <c r="B259" s="29" t="s">
        <v>380</v>
      </c>
      <c r="C259" s="16">
        <f>'Медикаменты Январь'!L259</f>
        <v>2</v>
      </c>
      <c r="D259" s="17"/>
      <c r="E259" s="14"/>
      <c r="F259" s="18"/>
      <c r="G259" s="19"/>
      <c r="H259" s="20"/>
      <c r="I259" s="21"/>
      <c r="J259" s="14"/>
      <c r="K259" s="14">
        <f t="shared" si="6"/>
        <v>0</v>
      </c>
      <c r="L259" s="16">
        <f t="shared" si="7"/>
        <v>2</v>
      </c>
      <c r="M259" s="22">
        <v>44682</v>
      </c>
      <c r="N259" s="23" t="s">
        <v>16</v>
      </c>
      <c r="O259" s="24" t="s">
        <v>45</v>
      </c>
      <c r="P259" s="23" t="s">
        <v>381</v>
      </c>
    </row>
    <row r="260" spans="1:16">
      <c r="A260" s="14">
        <v>256</v>
      </c>
      <c r="B260" s="29" t="s">
        <v>382</v>
      </c>
      <c r="C260" s="16">
        <f>'Медикаменты Январь'!L260</f>
        <v>0</v>
      </c>
      <c r="D260" s="17"/>
      <c r="E260" s="14"/>
      <c r="F260" s="18"/>
      <c r="G260" s="19"/>
      <c r="H260" s="20"/>
      <c r="I260" s="21"/>
      <c r="J260" s="14"/>
      <c r="K260" s="14">
        <f t="shared" si="6"/>
        <v>0</v>
      </c>
      <c r="L260" s="16">
        <f t="shared" si="7"/>
        <v>0</v>
      </c>
      <c r="M260" s="22">
        <v>44743</v>
      </c>
      <c r="N260" s="23" t="s">
        <v>16</v>
      </c>
      <c r="O260" s="24"/>
      <c r="P260" s="23" t="s">
        <v>383</v>
      </c>
    </row>
    <row r="261" spans="1:16">
      <c r="A261" s="14">
        <v>257</v>
      </c>
      <c r="B261" s="29" t="s">
        <v>384</v>
      </c>
      <c r="C261" s="16">
        <f>'Медикаменты Январь'!L261</f>
        <v>0</v>
      </c>
      <c r="D261" s="17"/>
      <c r="E261" s="14"/>
      <c r="F261" s="18"/>
      <c r="G261" s="19"/>
      <c r="H261" s="20"/>
      <c r="I261" s="21"/>
      <c r="J261" s="14"/>
      <c r="K261" s="14">
        <f t="shared" ref="K261:K324" si="8">SUM(F261:J261)</f>
        <v>0</v>
      </c>
      <c r="L261" s="16">
        <f t="shared" ref="L261:L324" si="9">(C261+E261)-K261</f>
        <v>0</v>
      </c>
      <c r="M261" s="22"/>
      <c r="N261" s="23" t="s">
        <v>16</v>
      </c>
      <c r="O261" s="24"/>
      <c r="P261" s="25"/>
    </row>
    <row r="262" spans="1:16">
      <c r="A262" s="14">
        <v>258</v>
      </c>
      <c r="B262" s="29" t="s">
        <v>385</v>
      </c>
      <c r="C262" s="16">
        <f>'Медикаменты Январь'!L262</f>
        <v>0</v>
      </c>
      <c r="D262" s="17"/>
      <c r="E262" s="14"/>
      <c r="F262" s="18"/>
      <c r="G262" s="19"/>
      <c r="H262" s="20"/>
      <c r="I262" s="21"/>
      <c r="J262" s="14"/>
      <c r="K262" s="14">
        <f t="shared" si="8"/>
        <v>0</v>
      </c>
      <c r="L262" s="16">
        <f t="shared" si="9"/>
        <v>0</v>
      </c>
      <c r="M262" s="22"/>
      <c r="N262" s="23" t="s">
        <v>16</v>
      </c>
      <c r="O262" s="24"/>
      <c r="P262" s="25"/>
    </row>
    <row r="263" spans="1:16">
      <c r="A263" s="14">
        <v>259</v>
      </c>
      <c r="B263" s="29" t="s">
        <v>386</v>
      </c>
      <c r="C263" s="16">
        <f>'Медикаменты Январь'!L263</f>
        <v>0</v>
      </c>
      <c r="D263" s="17"/>
      <c r="E263" s="14"/>
      <c r="F263" s="18"/>
      <c r="G263" s="19"/>
      <c r="H263" s="20"/>
      <c r="I263" s="21"/>
      <c r="J263" s="14"/>
      <c r="K263" s="14">
        <f t="shared" si="8"/>
        <v>0</v>
      </c>
      <c r="L263" s="16">
        <f t="shared" si="9"/>
        <v>0</v>
      </c>
      <c r="M263" s="22"/>
      <c r="N263" s="23" t="s">
        <v>16</v>
      </c>
      <c r="O263" s="24"/>
      <c r="P263" s="25"/>
    </row>
    <row r="264" spans="1:16">
      <c r="A264" s="14">
        <v>260</v>
      </c>
      <c r="B264" s="29" t="s">
        <v>387</v>
      </c>
      <c r="C264" s="16">
        <f>'Медикаменты Январь'!L264</f>
        <v>0</v>
      </c>
      <c r="D264" s="17"/>
      <c r="E264" s="14"/>
      <c r="F264" s="18"/>
      <c r="G264" s="19"/>
      <c r="H264" s="20"/>
      <c r="I264" s="21"/>
      <c r="J264" s="14"/>
      <c r="K264" s="14">
        <f t="shared" si="8"/>
        <v>0</v>
      </c>
      <c r="L264" s="16">
        <f t="shared" si="9"/>
        <v>0</v>
      </c>
      <c r="M264" s="22"/>
      <c r="N264" s="23" t="s">
        <v>16</v>
      </c>
      <c r="O264" s="24"/>
      <c r="P264" s="25"/>
    </row>
    <row r="265" spans="1:16">
      <c r="A265" s="14">
        <v>261</v>
      </c>
      <c r="B265" s="29" t="s">
        <v>388</v>
      </c>
      <c r="C265" s="16">
        <f>'Медикаменты Январь'!L265</f>
        <v>0</v>
      </c>
      <c r="D265" s="17"/>
      <c r="E265" s="14"/>
      <c r="F265" s="18"/>
      <c r="G265" s="19"/>
      <c r="H265" s="20"/>
      <c r="I265" s="21"/>
      <c r="J265" s="14"/>
      <c r="K265" s="14">
        <f t="shared" si="8"/>
        <v>0</v>
      </c>
      <c r="L265" s="16">
        <f t="shared" si="9"/>
        <v>0</v>
      </c>
      <c r="M265" s="22">
        <v>45139</v>
      </c>
      <c r="N265" s="23" t="s">
        <v>16</v>
      </c>
      <c r="O265" s="24"/>
      <c r="P265" s="23" t="s">
        <v>389</v>
      </c>
    </row>
    <row r="266" spans="1:16">
      <c r="A266" s="14">
        <v>262</v>
      </c>
      <c r="B266" s="29" t="s">
        <v>390</v>
      </c>
      <c r="C266" s="16">
        <f>'Медикаменты Январь'!L266</f>
        <v>0</v>
      </c>
      <c r="D266" s="26"/>
      <c r="E266" s="14"/>
      <c r="F266" s="18"/>
      <c r="G266" s="19"/>
      <c r="H266" s="20"/>
      <c r="I266" s="21"/>
      <c r="J266" s="14"/>
      <c r="K266" s="14">
        <f t="shared" si="8"/>
        <v>0</v>
      </c>
      <c r="L266" s="16">
        <f t="shared" si="9"/>
        <v>0</v>
      </c>
      <c r="M266" s="22"/>
      <c r="N266" s="23" t="s">
        <v>16</v>
      </c>
      <c r="O266" s="24"/>
      <c r="P266" s="23" t="s">
        <v>391</v>
      </c>
    </row>
    <row r="267" spans="1:16">
      <c r="A267" s="14">
        <v>263</v>
      </c>
      <c r="B267" s="29" t="s">
        <v>392</v>
      </c>
      <c r="C267" s="16">
        <f>'Медикаменты Январь'!L267</f>
        <v>0</v>
      </c>
      <c r="D267" s="17"/>
      <c r="E267" s="14"/>
      <c r="F267" s="18"/>
      <c r="G267" s="19"/>
      <c r="H267" s="20"/>
      <c r="I267" s="21"/>
      <c r="J267" s="14"/>
      <c r="K267" s="14">
        <f t="shared" si="8"/>
        <v>0</v>
      </c>
      <c r="L267" s="16">
        <f t="shared" si="9"/>
        <v>0</v>
      </c>
      <c r="M267" s="22"/>
      <c r="N267" s="23" t="s">
        <v>16</v>
      </c>
      <c r="O267" s="24"/>
      <c r="P267" s="25"/>
    </row>
    <row r="268" spans="1:16">
      <c r="A268" s="14">
        <v>264</v>
      </c>
      <c r="B268" s="29" t="s">
        <v>393</v>
      </c>
      <c r="C268" s="16">
        <f>'Медикаменты Январь'!L268</f>
        <v>69</v>
      </c>
      <c r="D268" s="17"/>
      <c r="E268" s="14"/>
      <c r="F268" s="18"/>
      <c r="G268" s="19"/>
      <c r="H268" s="20"/>
      <c r="I268" s="21"/>
      <c r="J268" s="14"/>
      <c r="K268" s="14">
        <f t="shared" si="8"/>
        <v>0</v>
      </c>
      <c r="L268" s="16">
        <f t="shared" si="9"/>
        <v>69</v>
      </c>
      <c r="M268" s="22">
        <v>44652</v>
      </c>
      <c r="N268" s="23" t="s">
        <v>16</v>
      </c>
      <c r="O268" s="24" t="s">
        <v>17</v>
      </c>
      <c r="P268" s="23" t="s">
        <v>394</v>
      </c>
    </row>
    <row r="269" spans="1:16">
      <c r="A269" s="14">
        <v>265</v>
      </c>
      <c r="B269" s="29" t="s">
        <v>395</v>
      </c>
      <c r="C269" s="16">
        <f>'Медикаменты Январь'!L269</f>
        <v>0</v>
      </c>
      <c r="D269" s="17"/>
      <c r="E269" s="14"/>
      <c r="F269" s="18"/>
      <c r="G269" s="19"/>
      <c r="H269" s="20"/>
      <c r="I269" s="21"/>
      <c r="J269" s="14"/>
      <c r="K269" s="14">
        <f t="shared" si="8"/>
        <v>0</v>
      </c>
      <c r="L269" s="16">
        <f t="shared" si="9"/>
        <v>0</v>
      </c>
      <c r="M269" s="22">
        <v>44378</v>
      </c>
      <c r="N269" s="23" t="s">
        <v>16</v>
      </c>
      <c r="O269" s="24"/>
      <c r="P269" s="23" t="s">
        <v>396</v>
      </c>
    </row>
    <row r="270" spans="1:16">
      <c r="A270" s="14">
        <v>266</v>
      </c>
      <c r="B270" s="29" t="s">
        <v>397</v>
      </c>
      <c r="C270" s="16">
        <f>'Медикаменты Январь'!L270</f>
        <v>0</v>
      </c>
      <c r="D270" s="17"/>
      <c r="E270" s="14"/>
      <c r="F270" s="18"/>
      <c r="G270" s="19"/>
      <c r="H270" s="20"/>
      <c r="I270" s="21"/>
      <c r="J270" s="14"/>
      <c r="K270" s="14">
        <f t="shared" si="8"/>
        <v>0</v>
      </c>
      <c r="L270" s="16">
        <f t="shared" si="9"/>
        <v>0</v>
      </c>
      <c r="M270" s="22"/>
      <c r="N270" s="23" t="s">
        <v>16</v>
      </c>
      <c r="O270" s="24"/>
      <c r="P270" s="25"/>
    </row>
    <row r="271" spans="1:16">
      <c r="A271" s="14">
        <v>267</v>
      </c>
      <c r="B271" s="29" t="s">
        <v>398</v>
      </c>
      <c r="C271" s="16">
        <f>'Медикаменты Январь'!L271</f>
        <v>0</v>
      </c>
      <c r="D271" s="17"/>
      <c r="E271" s="14"/>
      <c r="F271" s="18"/>
      <c r="G271" s="19"/>
      <c r="H271" s="20"/>
      <c r="I271" s="21"/>
      <c r="J271" s="14"/>
      <c r="K271" s="14">
        <f t="shared" si="8"/>
        <v>0</v>
      </c>
      <c r="L271" s="16">
        <f t="shared" si="9"/>
        <v>0</v>
      </c>
      <c r="M271" s="22">
        <v>44256</v>
      </c>
      <c r="N271" s="23" t="s">
        <v>16</v>
      </c>
      <c r="O271" s="24"/>
      <c r="P271" s="28" t="s">
        <v>399</v>
      </c>
    </row>
    <row r="272" spans="1:16">
      <c r="A272" s="14">
        <v>268</v>
      </c>
      <c r="B272" s="29" t="s">
        <v>400</v>
      </c>
      <c r="C272" s="16">
        <f>'Медикаменты Январь'!L272</f>
        <v>4</v>
      </c>
      <c r="D272" s="17"/>
      <c r="E272" s="14"/>
      <c r="F272" s="18"/>
      <c r="G272" s="19"/>
      <c r="H272" s="20"/>
      <c r="I272" s="21"/>
      <c r="J272" s="14"/>
      <c r="K272" s="14">
        <f t="shared" si="8"/>
        <v>0</v>
      </c>
      <c r="L272" s="16">
        <f t="shared" si="9"/>
        <v>4</v>
      </c>
      <c r="M272" s="22">
        <v>44531</v>
      </c>
      <c r="N272" s="23" t="s">
        <v>16</v>
      </c>
      <c r="O272" s="24" t="s">
        <v>45</v>
      </c>
      <c r="P272" s="28" t="s">
        <v>401</v>
      </c>
    </row>
    <row r="273" spans="1:16">
      <c r="A273" s="14">
        <v>269</v>
      </c>
      <c r="B273" s="29" t="s">
        <v>402</v>
      </c>
      <c r="C273" s="16">
        <f>'Медикаменты Январь'!L273</f>
        <v>36</v>
      </c>
      <c r="D273" s="17"/>
      <c r="E273" s="14"/>
      <c r="F273" s="18"/>
      <c r="G273" s="19"/>
      <c r="H273" s="20"/>
      <c r="I273" s="21"/>
      <c r="J273" s="14"/>
      <c r="K273" s="14">
        <f t="shared" si="8"/>
        <v>0</v>
      </c>
      <c r="L273" s="16">
        <f t="shared" si="9"/>
        <v>36</v>
      </c>
      <c r="M273" s="22">
        <v>45108</v>
      </c>
      <c r="N273" s="23" t="s">
        <v>26</v>
      </c>
      <c r="O273" s="24" t="s">
        <v>45</v>
      </c>
      <c r="P273" s="23" t="s">
        <v>403</v>
      </c>
    </row>
    <row r="274" spans="1:16">
      <c r="A274" s="14">
        <v>270</v>
      </c>
      <c r="B274" s="29" t="s">
        <v>404</v>
      </c>
      <c r="C274" s="16">
        <f>'Медикаменты Январь'!L274</f>
        <v>0</v>
      </c>
      <c r="D274" s="17"/>
      <c r="E274" s="14"/>
      <c r="F274" s="18"/>
      <c r="G274" s="19"/>
      <c r="H274" s="20"/>
      <c r="I274" s="21"/>
      <c r="J274" s="14"/>
      <c r="K274" s="14">
        <f t="shared" si="8"/>
        <v>0</v>
      </c>
      <c r="L274" s="16">
        <f t="shared" si="9"/>
        <v>0</v>
      </c>
      <c r="M274" s="22"/>
      <c r="N274" s="23" t="s">
        <v>16</v>
      </c>
      <c r="O274" s="24"/>
      <c r="P274" s="25"/>
    </row>
    <row r="275" spans="1:16">
      <c r="A275" s="14">
        <v>271</v>
      </c>
      <c r="B275" s="29" t="s">
        <v>405</v>
      </c>
      <c r="C275" s="16">
        <f>'Медикаменты Январь'!L275</f>
        <v>15</v>
      </c>
      <c r="D275" s="17"/>
      <c r="E275" s="14"/>
      <c r="F275" s="18"/>
      <c r="G275" s="19"/>
      <c r="H275" s="20"/>
      <c r="I275" s="21"/>
      <c r="J275" s="14"/>
      <c r="K275" s="14">
        <f t="shared" si="8"/>
        <v>0</v>
      </c>
      <c r="L275" s="16">
        <f t="shared" si="9"/>
        <v>15</v>
      </c>
      <c r="M275" s="22">
        <v>44287</v>
      </c>
      <c r="N275" s="23" t="s">
        <v>16</v>
      </c>
      <c r="O275" s="24" t="s">
        <v>45</v>
      </c>
      <c r="P275" s="23" t="s">
        <v>406</v>
      </c>
    </row>
    <row r="276" spans="1:16">
      <c r="A276" s="14">
        <v>272</v>
      </c>
      <c r="B276" s="29" t="s">
        <v>407</v>
      </c>
      <c r="C276" s="16">
        <f>'Медикаменты Январь'!L276</f>
        <v>0</v>
      </c>
      <c r="D276" s="17"/>
      <c r="E276" s="14"/>
      <c r="F276" s="18"/>
      <c r="G276" s="19"/>
      <c r="H276" s="20"/>
      <c r="I276" s="21"/>
      <c r="J276" s="14"/>
      <c r="K276" s="14">
        <f t="shared" si="8"/>
        <v>0</v>
      </c>
      <c r="L276" s="16">
        <f t="shared" si="9"/>
        <v>0</v>
      </c>
      <c r="M276" s="22">
        <v>44562</v>
      </c>
      <c r="N276" s="23" t="s">
        <v>16</v>
      </c>
      <c r="O276" s="24" t="s">
        <v>17</v>
      </c>
      <c r="P276" s="28" t="s">
        <v>408</v>
      </c>
    </row>
    <row r="277" spans="1:16">
      <c r="A277" s="14">
        <v>273</v>
      </c>
      <c r="B277" s="29" t="s">
        <v>409</v>
      </c>
      <c r="C277" s="16">
        <f>'Медикаменты Январь'!L277</f>
        <v>295</v>
      </c>
      <c r="D277" s="17"/>
      <c r="E277" s="14"/>
      <c r="F277" s="18"/>
      <c r="G277" s="19"/>
      <c r="H277" s="20"/>
      <c r="I277" s="21"/>
      <c r="J277" s="14"/>
      <c r="K277" s="14">
        <f t="shared" si="8"/>
        <v>0</v>
      </c>
      <c r="L277" s="16">
        <f t="shared" si="9"/>
        <v>295</v>
      </c>
      <c r="M277" s="22">
        <v>45139</v>
      </c>
      <c r="N277" s="23" t="s">
        <v>16</v>
      </c>
      <c r="O277" s="24" t="s">
        <v>17</v>
      </c>
      <c r="P277" s="28" t="s">
        <v>410</v>
      </c>
    </row>
    <row r="278" spans="1:16">
      <c r="A278" s="14">
        <v>274</v>
      </c>
      <c r="B278" s="29" t="s">
        <v>411</v>
      </c>
      <c r="C278" s="16">
        <f>'Медикаменты Январь'!L278</f>
        <v>17</v>
      </c>
      <c r="D278" s="17"/>
      <c r="E278" s="14"/>
      <c r="F278" s="18"/>
      <c r="G278" s="19"/>
      <c r="H278" s="20"/>
      <c r="I278" s="21"/>
      <c r="J278" s="14"/>
      <c r="K278" s="14">
        <f t="shared" si="8"/>
        <v>0</v>
      </c>
      <c r="L278" s="16">
        <f t="shared" si="9"/>
        <v>17</v>
      </c>
      <c r="M278" s="22">
        <v>45413</v>
      </c>
      <c r="N278" s="23" t="s">
        <v>16</v>
      </c>
      <c r="O278" s="24" t="s">
        <v>45</v>
      </c>
      <c r="P278" s="23" t="s">
        <v>412</v>
      </c>
    </row>
    <row r="279" spans="1:16">
      <c r="A279" s="14">
        <v>275</v>
      </c>
      <c r="B279" s="29" t="s">
        <v>413</v>
      </c>
      <c r="C279" s="16">
        <f>'Медикаменты Январь'!L279</f>
        <v>0</v>
      </c>
      <c r="D279" s="17"/>
      <c r="E279" s="14"/>
      <c r="F279" s="18"/>
      <c r="G279" s="19"/>
      <c r="H279" s="20"/>
      <c r="I279" s="21"/>
      <c r="J279" s="14"/>
      <c r="K279" s="14">
        <f t="shared" si="8"/>
        <v>0</v>
      </c>
      <c r="L279" s="16">
        <f t="shared" si="9"/>
        <v>0</v>
      </c>
      <c r="M279" s="22">
        <v>45474</v>
      </c>
      <c r="N279" s="23" t="s">
        <v>16</v>
      </c>
      <c r="O279" s="24"/>
      <c r="P279" s="23"/>
    </row>
    <row r="280" spans="1:16">
      <c r="A280" s="14">
        <v>276</v>
      </c>
      <c r="B280" s="29" t="s">
        <v>414</v>
      </c>
      <c r="C280" s="16">
        <f>'Медикаменты Январь'!L280</f>
        <v>0</v>
      </c>
      <c r="D280" s="17"/>
      <c r="E280" s="14"/>
      <c r="F280" s="18"/>
      <c r="G280" s="19"/>
      <c r="H280" s="20"/>
      <c r="I280" s="21"/>
      <c r="J280" s="14"/>
      <c r="K280" s="14">
        <f t="shared" si="8"/>
        <v>0</v>
      </c>
      <c r="L280" s="16">
        <f t="shared" si="9"/>
        <v>0</v>
      </c>
      <c r="M280" s="22"/>
      <c r="N280" s="23" t="s">
        <v>16</v>
      </c>
      <c r="O280" s="24"/>
      <c r="P280" s="23"/>
    </row>
    <row r="281" spans="1:16">
      <c r="A281" s="14">
        <v>277</v>
      </c>
      <c r="B281" s="29" t="s">
        <v>415</v>
      </c>
      <c r="C281" s="16">
        <f>'Медикаменты Январь'!L281</f>
        <v>20</v>
      </c>
      <c r="D281" s="17"/>
      <c r="E281" s="14"/>
      <c r="F281" s="18">
        <f>6</f>
        <v>6</v>
      </c>
      <c r="G281" s="19"/>
      <c r="H281" s="20"/>
      <c r="I281" s="21"/>
      <c r="J281" s="14"/>
      <c r="K281" s="14">
        <f t="shared" si="8"/>
        <v>6</v>
      </c>
      <c r="L281" s="16">
        <f t="shared" si="9"/>
        <v>14</v>
      </c>
      <c r="M281" s="22">
        <v>44986</v>
      </c>
      <c r="N281" s="23" t="s">
        <v>16</v>
      </c>
      <c r="O281" s="24" t="s">
        <v>17</v>
      </c>
      <c r="P281" s="23" t="s">
        <v>416</v>
      </c>
    </row>
    <row r="282" spans="1:16">
      <c r="A282" s="14">
        <v>278</v>
      </c>
      <c r="B282" s="29" t="s">
        <v>415</v>
      </c>
      <c r="C282" s="16">
        <f>'Медикаменты Январь'!L282</f>
        <v>0</v>
      </c>
      <c r="D282" s="17"/>
      <c r="E282" s="14"/>
      <c r="F282" s="18"/>
      <c r="G282" s="19"/>
      <c r="H282" s="20"/>
      <c r="I282" s="21"/>
      <c r="J282" s="14"/>
      <c r="K282" s="14">
        <f t="shared" si="8"/>
        <v>0</v>
      </c>
      <c r="L282" s="16">
        <f t="shared" si="9"/>
        <v>0</v>
      </c>
      <c r="M282" s="22">
        <v>44986</v>
      </c>
      <c r="N282" s="23" t="s">
        <v>26</v>
      </c>
      <c r="O282" s="24"/>
      <c r="P282" s="23" t="s">
        <v>416</v>
      </c>
    </row>
    <row r="283" spans="1:16">
      <c r="A283" s="14">
        <v>279</v>
      </c>
      <c r="B283" s="31" t="s">
        <v>417</v>
      </c>
      <c r="C283" s="16">
        <f>'Медикаменты Январь'!L283</f>
        <v>0</v>
      </c>
      <c r="D283" s="17"/>
      <c r="E283" s="14"/>
      <c r="F283" s="18"/>
      <c r="G283" s="19"/>
      <c r="H283" s="20"/>
      <c r="I283" s="21"/>
      <c r="J283" s="14"/>
      <c r="K283" s="14">
        <f t="shared" si="8"/>
        <v>0</v>
      </c>
      <c r="L283" s="16">
        <f t="shared" si="9"/>
        <v>0</v>
      </c>
      <c r="M283" s="22">
        <v>44136</v>
      </c>
      <c r="N283" s="23" t="s">
        <v>16</v>
      </c>
      <c r="O283" s="24"/>
      <c r="P283" s="23" t="s">
        <v>418</v>
      </c>
    </row>
    <row r="284" spans="1:16">
      <c r="A284" s="14">
        <v>280</v>
      </c>
      <c r="B284" s="29" t="s">
        <v>419</v>
      </c>
      <c r="C284" s="16">
        <f>'Медикаменты Январь'!L284</f>
        <v>0</v>
      </c>
      <c r="D284" s="17"/>
      <c r="E284" s="14"/>
      <c r="F284" s="18"/>
      <c r="G284" s="19"/>
      <c r="H284" s="20"/>
      <c r="I284" s="21"/>
      <c r="J284" s="14"/>
      <c r="K284" s="14">
        <f t="shared" si="8"/>
        <v>0</v>
      </c>
      <c r="L284" s="16">
        <f t="shared" si="9"/>
        <v>0</v>
      </c>
      <c r="M284" s="22"/>
      <c r="N284" s="23" t="s">
        <v>16</v>
      </c>
      <c r="O284" s="24"/>
      <c r="P284" s="25"/>
    </row>
    <row r="285" spans="1:16">
      <c r="A285" s="14">
        <v>281</v>
      </c>
      <c r="B285" s="29" t="s">
        <v>420</v>
      </c>
      <c r="C285" s="16">
        <f>'Медикаменты Январь'!L285</f>
        <v>24</v>
      </c>
      <c r="D285" s="17"/>
      <c r="E285" s="14"/>
      <c r="F285" s="18"/>
      <c r="G285" s="19"/>
      <c r="H285" s="20"/>
      <c r="I285" s="21"/>
      <c r="J285" s="14"/>
      <c r="K285" s="14">
        <f t="shared" si="8"/>
        <v>0</v>
      </c>
      <c r="L285" s="16">
        <f t="shared" si="9"/>
        <v>24</v>
      </c>
      <c r="M285" s="22">
        <v>45047</v>
      </c>
      <c r="N285" s="23" t="s">
        <v>16</v>
      </c>
      <c r="O285" s="24" t="s">
        <v>17</v>
      </c>
      <c r="P285" s="23" t="s">
        <v>421</v>
      </c>
    </row>
    <row r="286" spans="1:16">
      <c r="A286" s="14">
        <v>282</v>
      </c>
      <c r="B286" s="29" t="s">
        <v>420</v>
      </c>
      <c r="C286" s="16">
        <f>'Медикаменты Январь'!L286</f>
        <v>0</v>
      </c>
      <c r="D286" s="17"/>
      <c r="E286" s="14"/>
      <c r="F286" s="18"/>
      <c r="G286" s="19"/>
      <c r="H286" s="20"/>
      <c r="I286" s="21"/>
      <c r="J286" s="14"/>
      <c r="K286" s="14">
        <f t="shared" si="8"/>
        <v>0</v>
      </c>
      <c r="L286" s="16">
        <f t="shared" si="9"/>
        <v>0</v>
      </c>
      <c r="M286" s="22">
        <v>45047</v>
      </c>
      <c r="N286" s="23" t="s">
        <v>26</v>
      </c>
      <c r="O286" s="24"/>
      <c r="P286" s="23" t="s">
        <v>421</v>
      </c>
    </row>
    <row r="287" spans="1:16">
      <c r="A287" s="14">
        <v>283</v>
      </c>
      <c r="B287" s="29" t="s">
        <v>422</v>
      </c>
      <c r="C287" s="16">
        <f>'Медикаменты Январь'!L287</f>
        <v>0</v>
      </c>
      <c r="D287" s="17"/>
      <c r="E287" s="14"/>
      <c r="F287" s="18"/>
      <c r="G287" s="19"/>
      <c r="H287" s="20"/>
      <c r="I287" s="21"/>
      <c r="J287" s="14"/>
      <c r="K287" s="14">
        <f t="shared" si="8"/>
        <v>0</v>
      </c>
      <c r="L287" s="16">
        <f t="shared" si="9"/>
        <v>0</v>
      </c>
      <c r="M287" s="22"/>
      <c r="N287" s="23" t="s">
        <v>26</v>
      </c>
      <c r="O287" s="24"/>
      <c r="P287" s="25"/>
    </row>
    <row r="288" spans="1:16">
      <c r="A288" s="14">
        <v>284</v>
      </c>
      <c r="B288" s="29" t="s">
        <v>422</v>
      </c>
      <c r="C288" s="16">
        <f>'Медикаменты Январь'!L288</f>
        <v>202</v>
      </c>
      <c r="D288" s="17"/>
      <c r="E288" s="14"/>
      <c r="F288" s="18">
        <f>15</f>
        <v>15</v>
      </c>
      <c r="G288" s="19"/>
      <c r="H288" s="20"/>
      <c r="I288" s="21"/>
      <c r="J288" s="14"/>
      <c r="K288" s="14">
        <f t="shared" si="8"/>
        <v>15</v>
      </c>
      <c r="L288" s="16">
        <f t="shared" si="9"/>
        <v>187</v>
      </c>
      <c r="M288" s="22">
        <v>44531</v>
      </c>
      <c r="N288" s="23" t="s">
        <v>16</v>
      </c>
      <c r="O288" s="24" t="s">
        <v>17</v>
      </c>
      <c r="P288" s="28" t="s">
        <v>423</v>
      </c>
    </row>
    <row r="289" spans="1:16">
      <c r="A289" s="14">
        <v>285</v>
      </c>
      <c r="B289" s="29" t="s">
        <v>424</v>
      </c>
      <c r="C289" s="16">
        <f>'Медикаменты Январь'!L289</f>
        <v>25</v>
      </c>
      <c r="D289" s="17"/>
      <c r="E289" s="14"/>
      <c r="F289" s="18"/>
      <c r="G289" s="19"/>
      <c r="H289" s="20"/>
      <c r="I289" s="21"/>
      <c r="J289" s="14"/>
      <c r="K289" s="14">
        <f t="shared" si="8"/>
        <v>0</v>
      </c>
      <c r="L289" s="16">
        <f t="shared" si="9"/>
        <v>25</v>
      </c>
      <c r="M289" s="22">
        <v>44986</v>
      </c>
      <c r="N289" s="23" t="s">
        <v>16</v>
      </c>
      <c r="O289" s="24" t="s">
        <v>17</v>
      </c>
      <c r="P289" s="28" t="s">
        <v>425</v>
      </c>
    </row>
    <row r="290" spans="1:16">
      <c r="A290" s="14">
        <v>286</v>
      </c>
      <c r="B290" s="29" t="s">
        <v>426</v>
      </c>
      <c r="C290" s="16">
        <f>'Медикаменты Январь'!L290</f>
        <v>0</v>
      </c>
      <c r="D290" s="17"/>
      <c r="E290" s="14"/>
      <c r="F290" s="18"/>
      <c r="G290" s="19"/>
      <c r="H290" s="20"/>
      <c r="I290" s="21"/>
      <c r="J290" s="14"/>
      <c r="K290" s="14">
        <f t="shared" si="8"/>
        <v>0</v>
      </c>
      <c r="L290" s="16">
        <f t="shared" si="9"/>
        <v>0</v>
      </c>
      <c r="M290" s="22"/>
      <c r="N290" s="23" t="s">
        <v>16</v>
      </c>
      <c r="O290" s="24"/>
      <c r="P290" s="25"/>
    </row>
    <row r="291" spans="1:16">
      <c r="A291" s="14">
        <v>287</v>
      </c>
      <c r="B291" s="29" t="s">
        <v>427</v>
      </c>
      <c r="C291" s="16">
        <f>'Медикаменты Январь'!L291</f>
        <v>0</v>
      </c>
      <c r="D291" s="17"/>
      <c r="E291" s="14"/>
      <c r="F291" s="18"/>
      <c r="G291" s="19"/>
      <c r="H291" s="20"/>
      <c r="I291" s="21"/>
      <c r="J291" s="14"/>
      <c r="K291" s="14">
        <f t="shared" si="8"/>
        <v>0</v>
      </c>
      <c r="L291" s="16">
        <f t="shared" si="9"/>
        <v>0</v>
      </c>
      <c r="M291" s="22"/>
      <c r="N291" s="23" t="s">
        <v>16</v>
      </c>
      <c r="O291" s="24"/>
      <c r="P291" s="25"/>
    </row>
    <row r="292" spans="1:16">
      <c r="A292" s="14">
        <v>288</v>
      </c>
      <c r="B292" s="29" t="s">
        <v>428</v>
      </c>
      <c r="C292" s="16">
        <f>'Медикаменты Январь'!L292</f>
        <v>47</v>
      </c>
      <c r="D292" s="17"/>
      <c r="E292" s="14"/>
      <c r="F292" s="18"/>
      <c r="G292" s="19"/>
      <c r="H292" s="20"/>
      <c r="I292" s="21"/>
      <c r="J292" s="14"/>
      <c r="K292" s="14">
        <f t="shared" si="8"/>
        <v>0</v>
      </c>
      <c r="L292" s="16">
        <f t="shared" si="9"/>
        <v>47</v>
      </c>
      <c r="M292" s="22">
        <v>44501</v>
      </c>
      <c r="N292" s="23" t="s">
        <v>16</v>
      </c>
      <c r="O292" s="24" t="s">
        <v>17</v>
      </c>
      <c r="P292" s="28" t="s">
        <v>429</v>
      </c>
    </row>
    <row r="293" spans="1:16">
      <c r="A293" s="14">
        <v>289</v>
      </c>
      <c r="B293" s="29" t="s">
        <v>430</v>
      </c>
      <c r="C293" s="16">
        <f>'Медикаменты Январь'!L293</f>
        <v>23</v>
      </c>
      <c r="D293" s="26"/>
      <c r="E293" s="14"/>
      <c r="F293" s="18"/>
      <c r="G293" s="19"/>
      <c r="H293" s="20"/>
      <c r="I293" s="21"/>
      <c r="J293" s="14"/>
      <c r="K293" s="14">
        <f t="shared" si="8"/>
        <v>0</v>
      </c>
      <c r="L293" s="16">
        <f t="shared" si="9"/>
        <v>23</v>
      </c>
      <c r="M293" s="22">
        <v>44835</v>
      </c>
      <c r="N293" s="23" t="s">
        <v>16</v>
      </c>
      <c r="O293" s="24" t="s">
        <v>17</v>
      </c>
      <c r="P293" s="28" t="s">
        <v>431</v>
      </c>
    </row>
    <row r="294" spans="1:16">
      <c r="A294" s="14">
        <v>290</v>
      </c>
      <c r="B294" s="29" t="s">
        <v>430</v>
      </c>
      <c r="C294" s="16">
        <f>'Медикаменты Январь'!L294</f>
        <v>1</v>
      </c>
      <c r="D294" s="26"/>
      <c r="E294" s="14"/>
      <c r="F294" s="18"/>
      <c r="G294" s="19"/>
      <c r="H294" s="20"/>
      <c r="I294" s="21"/>
      <c r="J294" s="14"/>
      <c r="K294" s="14">
        <f t="shared" si="8"/>
        <v>0</v>
      </c>
      <c r="L294" s="16">
        <f t="shared" si="9"/>
        <v>1</v>
      </c>
      <c r="M294" s="22">
        <v>44835</v>
      </c>
      <c r="N294" s="23" t="s">
        <v>26</v>
      </c>
      <c r="O294" s="24" t="s">
        <v>17</v>
      </c>
      <c r="P294" s="28" t="s">
        <v>431</v>
      </c>
    </row>
    <row r="295" spans="1:16">
      <c r="A295" s="14">
        <v>291</v>
      </c>
      <c r="B295" s="29" t="s">
        <v>432</v>
      </c>
      <c r="C295" s="16">
        <f>'Медикаменты Январь'!L295</f>
        <v>0</v>
      </c>
      <c r="D295" s="17"/>
      <c r="E295" s="14"/>
      <c r="F295" s="18"/>
      <c r="G295" s="19"/>
      <c r="H295" s="20"/>
      <c r="I295" s="21"/>
      <c r="J295" s="14"/>
      <c r="K295" s="14">
        <f t="shared" si="8"/>
        <v>0</v>
      </c>
      <c r="L295" s="16">
        <f t="shared" si="9"/>
        <v>0</v>
      </c>
      <c r="M295" s="22"/>
      <c r="N295" s="23" t="s">
        <v>16</v>
      </c>
      <c r="O295" s="24"/>
      <c r="P295" s="25"/>
    </row>
    <row r="296" spans="1:16">
      <c r="A296" s="14">
        <v>292</v>
      </c>
      <c r="B296" s="29" t="s">
        <v>433</v>
      </c>
      <c r="C296" s="16">
        <f>'Медикаменты Январь'!L296</f>
        <v>0</v>
      </c>
      <c r="D296" s="17"/>
      <c r="E296" s="14"/>
      <c r="F296" s="18"/>
      <c r="G296" s="19"/>
      <c r="H296" s="20"/>
      <c r="I296" s="21"/>
      <c r="J296" s="14"/>
      <c r="K296" s="14">
        <f t="shared" si="8"/>
        <v>0</v>
      </c>
      <c r="L296" s="16">
        <f t="shared" si="9"/>
        <v>0</v>
      </c>
      <c r="M296" s="22"/>
      <c r="N296" s="23" t="s">
        <v>16</v>
      </c>
      <c r="O296" s="24"/>
      <c r="P296" s="25"/>
    </row>
    <row r="297" spans="1:16">
      <c r="A297" s="14">
        <v>293</v>
      </c>
      <c r="B297" s="29" t="s">
        <v>434</v>
      </c>
      <c r="C297" s="16">
        <f>'Медикаменты Январь'!L297</f>
        <v>0</v>
      </c>
      <c r="D297" s="17"/>
      <c r="E297" s="14"/>
      <c r="F297" s="18"/>
      <c r="G297" s="19"/>
      <c r="H297" s="20"/>
      <c r="I297" s="21"/>
      <c r="J297" s="14"/>
      <c r="K297" s="14">
        <f t="shared" si="8"/>
        <v>0</v>
      </c>
      <c r="L297" s="16">
        <f t="shared" si="9"/>
        <v>0</v>
      </c>
      <c r="M297" s="22"/>
      <c r="N297" s="23" t="s">
        <v>16</v>
      </c>
      <c r="O297" s="24"/>
      <c r="P297" s="25"/>
    </row>
    <row r="298" spans="1:16">
      <c r="A298" s="14">
        <v>294</v>
      </c>
      <c r="B298" s="29" t="s">
        <v>435</v>
      </c>
      <c r="C298" s="16">
        <f>'Медикаменты Январь'!L298</f>
        <v>0</v>
      </c>
      <c r="D298" s="17"/>
      <c r="E298" s="14"/>
      <c r="F298" s="18"/>
      <c r="G298" s="19"/>
      <c r="H298" s="20"/>
      <c r="I298" s="21"/>
      <c r="J298" s="14"/>
      <c r="K298" s="14">
        <f t="shared" si="8"/>
        <v>0</v>
      </c>
      <c r="L298" s="16">
        <f t="shared" si="9"/>
        <v>0</v>
      </c>
      <c r="M298" s="22"/>
      <c r="N298" s="23" t="s">
        <v>16</v>
      </c>
      <c r="O298" s="24"/>
      <c r="P298" s="25"/>
    </row>
    <row r="299" spans="1:16">
      <c r="A299" s="14">
        <v>295</v>
      </c>
      <c r="B299" s="29" t="s">
        <v>436</v>
      </c>
      <c r="C299" s="16">
        <f>'Медикаменты Январь'!L299</f>
        <v>0</v>
      </c>
      <c r="D299" s="17"/>
      <c r="E299" s="14"/>
      <c r="F299" s="18"/>
      <c r="G299" s="19"/>
      <c r="H299" s="20"/>
      <c r="I299" s="21"/>
      <c r="J299" s="14"/>
      <c r="K299" s="14">
        <f t="shared" si="8"/>
        <v>0</v>
      </c>
      <c r="L299" s="16">
        <f t="shared" si="9"/>
        <v>0</v>
      </c>
      <c r="M299" s="22"/>
      <c r="N299" s="23" t="s">
        <v>16</v>
      </c>
      <c r="O299" s="24"/>
      <c r="P299" s="25"/>
    </row>
    <row r="300" spans="1:16">
      <c r="A300" s="14">
        <v>296</v>
      </c>
      <c r="B300" s="29" t="s">
        <v>437</v>
      </c>
      <c r="C300" s="16">
        <f>'Медикаменты Январь'!L300</f>
        <v>0</v>
      </c>
      <c r="D300" s="17"/>
      <c r="E300" s="14"/>
      <c r="F300" s="18"/>
      <c r="G300" s="19"/>
      <c r="H300" s="20"/>
      <c r="I300" s="21"/>
      <c r="J300" s="14"/>
      <c r="K300" s="14">
        <f t="shared" si="8"/>
        <v>0</v>
      </c>
      <c r="L300" s="16">
        <f t="shared" si="9"/>
        <v>0</v>
      </c>
      <c r="M300" s="22">
        <v>44440</v>
      </c>
      <c r="N300" s="23" t="s">
        <v>16</v>
      </c>
      <c r="O300" s="24"/>
      <c r="P300" s="23" t="s">
        <v>438</v>
      </c>
    </row>
    <row r="301" spans="1:16" ht="25.5">
      <c r="A301" s="14">
        <v>297</v>
      </c>
      <c r="B301" s="29" t="s">
        <v>439</v>
      </c>
      <c r="C301" s="16">
        <f>'Медикаменты Январь'!L301</f>
        <v>141</v>
      </c>
      <c r="D301" s="17"/>
      <c r="E301" s="14"/>
      <c r="F301" s="18">
        <f>10</f>
        <v>10</v>
      </c>
      <c r="G301" s="19"/>
      <c r="H301" s="20"/>
      <c r="I301" s="21"/>
      <c r="J301" s="14"/>
      <c r="K301" s="14">
        <f t="shared" si="8"/>
        <v>10</v>
      </c>
      <c r="L301" s="16">
        <f t="shared" si="9"/>
        <v>131</v>
      </c>
      <c r="M301" s="22">
        <v>45047</v>
      </c>
      <c r="N301" s="23" t="s">
        <v>16</v>
      </c>
      <c r="O301" s="24" t="s">
        <v>45</v>
      </c>
      <c r="P301" s="23" t="s">
        <v>438</v>
      </c>
    </row>
    <row r="302" spans="1:16">
      <c r="A302" s="14">
        <v>298</v>
      </c>
      <c r="B302" s="29" t="s">
        <v>437</v>
      </c>
      <c r="C302" s="16">
        <f>'Медикаменты Январь'!L302</f>
        <v>0</v>
      </c>
      <c r="D302" s="17"/>
      <c r="E302" s="14"/>
      <c r="F302" s="18"/>
      <c r="G302" s="19"/>
      <c r="H302" s="20"/>
      <c r="I302" s="21"/>
      <c r="J302" s="14"/>
      <c r="K302" s="14">
        <f t="shared" si="8"/>
        <v>0</v>
      </c>
      <c r="L302" s="16">
        <f t="shared" si="9"/>
        <v>0</v>
      </c>
      <c r="M302" s="22">
        <v>45047</v>
      </c>
      <c r="N302" s="23" t="s">
        <v>26</v>
      </c>
      <c r="O302" s="24"/>
      <c r="P302" s="23" t="s">
        <v>438</v>
      </c>
    </row>
    <row r="303" spans="1:16">
      <c r="A303" s="14">
        <v>299</v>
      </c>
      <c r="B303" s="29" t="s">
        <v>440</v>
      </c>
      <c r="C303" s="16">
        <f>'Медикаменты Январь'!L303</f>
        <v>0</v>
      </c>
      <c r="D303" s="17"/>
      <c r="E303" s="14"/>
      <c r="F303" s="18"/>
      <c r="G303" s="19"/>
      <c r="H303" s="20"/>
      <c r="I303" s="21"/>
      <c r="J303" s="14"/>
      <c r="K303" s="14">
        <f t="shared" si="8"/>
        <v>0</v>
      </c>
      <c r="L303" s="16">
        <f t="shared" si="9"/>
        <v>0</v>
      </c>
      <c r="M303" s="22"/>
      <c r="N303" s="23" t="s">
        <v>16</v>
      </c>
      <c r="O303" s="24"/>
      <c r="P303" s="25"/>
    </row>
    <row r="304" spans="1:16">
      <c r="A304" s="14">
        <v>300</v>
      </c>
      <c r="B304" s="29" t="s">
        <v>441</v>
      </c>
      <c r="C304" s="16">
        <f>'Медикаменты Январь'!L304</f>
        <v>0</v>
      </c>
      <c r="D304" s="17"/>
      <c r="E304" s="14"/>
      <c r="F304" s="18"/>
      <c r="G304" s="19"/>
      <c r="H304" s="20"/>
      <c r="I304" s="21"/>
      <c r="J304" s="14"/>
      <c r="K304" s="14">
        <f t="shared" si="8"/>
        <v>0</v>
      </c>
      <c r="L304" s="16">
        <f t="shared" si="9"/>
        <v>0</v>
      </c>
      <c r="M304" s="22"/>
      <c r="N304" s="23" t="s">
        <v>16</v>
      </c>
      <c r="O304" s="24"/>
      <c r="P304" s="25"/>
    </row>
    <row r="305" spans="1:16">
      <c r="A305" s="14">
        <v>301</v>
      </c>
      <c r="B305" s="29" t="s">
        <v>442</v>
      </c>
      <c r="C305" s="16">
        <f>'Медикаменты Январь'!L305</f>
        <v>0</v>
      </c>
      <c r="D305" s="17"/>
      <c r="E305" s="14"/>
      <c r="F305" s="18"/>
      <c r="G305" s="19"/>
      <c r="H305" s="20"/>
      <c r="I305" s="21"/>
      <c r="J305" s="14"/>
      <c r="K305" s="14">
        <f t="shared" si="8"/>
        <v>0</v>
      </c>
      <c r="L305" s="16">
        <f t="shared" si="9"/>
        <v>0</v>
      </c>
      <c r="M305" s="22"/>
      <c r="N305" s="23" t="s">
        <v>16</v>
      </c>
      <c r="O305" s="24"/>
      <c r="P305" s="25"/>
    </row>
    <row r="306" spans="1:16">
      <c r="A306" s="14">
        <v>302</v>
      </c>
      <c r="B306" s="29" t="s">
        <v>443</v>
      </c>
      <c r="C306" s="16">
        <f>'Медикаменты Январь'!L306</f>
        <v>0</v>
      </c>
      <c r="D306" s="17"/>
      <c r="E306" s="14"/>
      <c r="F306" s="18"/>
      <c r="G306" s="19"/>
      <c r="H306" s="20"/>
      <c r="I306" s="21"/>
      <c r="J306" s="14"/>
      <c r="K306" s="14">
        <f t="shared" si="8"/>
        <v>0</v>
      </c>
      <c r="L306" s="16">
        <f t="shared" si="9"/>
        <v>0</v>
      </c>
      <c r="M306" s="22"/>
      <c r="N306" s="23" t="s">
        <v>16</v>
      </c>
      <c r="O306" s="24"/>
      <c r="P306" s="25"/>
    </row>
    <row r="307" spans="1:16">
      <c r="A307" s="14">
        <v>303</v>
      </c>
      <c r="B307" s="29" t="s">
        <v>444</v>
      </c>
      <c r="C307" s="16">
        <f>'Медикаменты Январь'!L307</f>
        <v>53</v>
      </c>
      <c r="D307" s="17"/>
      <c r="E307" s="14"/>
      <c r="F307" s="18"/>
      <c r="G307" s="19"/>
      <c r="H307" s="20"/>
      <c r="I307" s="21"/>
      <c r="J307" s="14"/>
      <c r="K307" s="14">
        <f t="shared" si="8"/>
        <v>0</v>
      </c>
      <c r="L307" s="16">
        <f t="shared" si="9"/>
        <v>53</v>
      </c>
      <c r="M307" s="22">
        <v>44501</v>
      </c>
      <c r="N307" s="23" t="s">
        <v>16</v>
      </c>
      <c r="O307" s="24" t="s">
        <v>17</v>
      </c>
      <c r="P307" s="23" t="s">
        <v>445</v>
      </c>
    </row>
    <row r="308" spans="1:16">
      <c r="A308" s="14">
        <v>304</v>
      </c>
      <c r="B308" s="29" t="s">
        <v>446</v>
      </c>
      <c r="C308" s="16">
        <f>'Медикаменты Январь'!L308</f>
        <v>0</v>
      </c>
      <c r="D308" s="17"/>
      <c r="E308" s="14"/>
      <c r="F308" s="18"/>
      <c r="G308" s="19"/>
      <c r="H308" s="20"/>
      <c r="I308" s="21"/>
      <c r="J308" s="14"/>
      <c r="K308" s="14">
        <f t="shared" si="8"/>
        <v>0</v>
      </c>
      <c r="L308" s="16">
        <f t="shared" si="9"/>
        <v>0</v>
      </c>
      <c r="M308" s="22"/>
      <c r="N308" s="23" t="s">
        <v>16</v>
      </c>
      <c r="O308" s="24"/>
      <c r="P308" s="25"/>
    </row>
    <row r="309" spans="1:16">
      <c r="A309" s="14">
        <v>305</v>
      </c>
      <c r="B309" s="29" t="s">
        <v>447</v>
      </c>
      <c r="C309" s="16">
        <f>'Медикаменты Январь'!L309</f>
        <v>0</v>
      </c>
      <c r="D309" s="17"/>
      <c r="E309" s="14"/>
      <c r="F309" s="18"/>
      <c r="G309" s="19"/>
      <c r="H309" s="20"/>
      <c r="I309" s="21"/>
      <c r="J309" s="14"/>
      <c r="K309" s="14">
        <f t="shared" si="8"/>
        <v>0</v>
      </c>
      <c r="L309" s="16">
        <f t="shared" si="9"/>
        <v>0</v>
      </c>
      <c r="M309" s="22">
        <v>44593</v>
      </c>
      <c r="N309" s="23" t="s">
        <v>16</v>
      </c>
      <c r="O309" s="24"/>
      <c r="P309" s="23" t="s">
        <v>448</v>
      </c>
    </row>
    <row r="310" spans="1:16">
      <c r="A310" s="14">
        <v>306</v>
      </c>
      <c r="B310" s="29" t="s">
        <v>449</v>
      </c>
      <c r="C310" s="16">
        <f>'Медикаменты Январь'!L310</f>
        <v>0</v>
      </c>
      <c r="D310" s="17"/>
      <c r="E310" s="14"/>
      <c r="F310" s="18"/>
      <c r="G310" s="19"/>
      <c r="H310" s="20"/>
      <c r="I310" s="21"/>
      <c r="J310" s="14"/>
      <c r="K310" s="14">
        <f t="shared" si="8"/>
        <v>0</v>
      </c>
      <c r="L310" s="16">
        <f t="shared" si="9"/>
        <v>0</v>
      </c>
      <c r="M310" s="22">
        <v>44228</v>
      </c>
      <c r="N310" s="23" t="s">
        <v>16</v>
      </c>
      <c r="O310" s="24" t="s">
        <v>17</v>
      </c>
      <c r="P310" s="23" t="s">
        <v>450</v>
      </c>
    </row>
    <row r="311" spans="1:16">
      <c r="A311" s="14">
        <v>307</v>
      </c>
      <c r="B311" s="29" t="s">
        <v>451</v>
      </c>
      <c r="C311" s="16">
        <f>'Медикаменты Январь'!L311</f>
        <v>3</v>
      </c>
      <c r="D311" s="17"/>
      <c r="E311" s="14"/>
      <c r="F311" s="18"/>
      <c r="G311" s="19"/>
      <c r="H311" s="20"/>
      <c r="I311" s="21"/>
      <c r="J311" s="14"/>
      <c r="K311" s="14">
        <f t="shared" si="8"/>
        <v>0</v>
      </c>
      <c r="L311" s="16">
        <f t="shared" si="9"/>
        <v>3</v>
      </c>
      <c r="M311" s="22">
        <v>44317</v>
      </c>
      <c r="N311" s="23" t="s">
        <v>16</v>
      </c>
      <c r="O311" s="24" t="s">
        <v>17</v>
      </c>
      <c r="P311" s="23" t="s">
        <v>452</v>
      </c>
    </row>
    <row r="312" spans="1:16" ht="25.5">
      <c r="A312" s="14">
        <v>308</v>
      </c>
      <c r="B312" s="29" t="s">
        <v>453</v>
      </c>
      <c r="C312" s="16">
        <f>'Медикаменты Январь'!L312</f>
        <v>19</v>
      </c>
      <c r="D312" s="17"/>
      <c r="E312" s="14"/>
      <c r="F312" s="18"/>
      <c r="G312" s="19"/>
      <c r="H312" s="20"/>
      <c r="I312" s="21"/>
      <c r="J312" s="14"/>
      <c r="K312" s="14">
        <f t="shared" si="8"/>
        <v>0</v>
      </c>
      <c r="L312" s="16">
        <f t="shared" si="9"/>
        <v>19</v>
      </c>
      <c r="M312" s="22">
        <v>44470</v>
      </c>
      <c r="N312" s="23" t="s">
        <v>16</v>
      </c>
      <c r="O312" s="24" t="s">
        <v>17</v>
      </c>
      <c r="P312" s="28" t="s">
        <v>454</v>
      </c>
    </row>
    <row r="313" spans="1:16">
      <c r="A313" s="14">
        <v>309</v>
      </c>
      <c r="B313" s="29" t="s">
        <v>455</v>
      </c>
      <c r="C313" s="16">
        <f>'Медикаменты Январь'!L313</f>
        <v>0</v>
      </c>
      <c r="D313" s="17"/>
      <c r="E313" s="14"/>
      <c r="F313" s="18"/>
      <c r="G313" s="19"/>
      <c r="H313" s="20"/>
      <c r="I313" s="21"/>
      <c r="J313" s="14"/>
      <c r="K313" s="14">
        <f t="shared" si="8"/>
        <v>0</v>
      </c>
      <c r="L313" s="16">
        <f t="shared" si="9"/>
        <v>0</v>
      </c>
      <c r="M313" s="22"/>
      <c r="N313" s="23" t="s">
        <v>16</v>
      </c>
      <c r="O313" s="24"/>
      <c r="P313" s="25"/>
    </row>
    <row r="314" spans="1:16">
      <c r="A314" s="14">
        <v>310</v>
      </c>
      <c r="B314" s="29" t="s">
        <v>456</v>
      </c>
      <c r="C314" s="16">
        <f>'Медикаменты Январь'!L314</f>
        <v>0</v>
      </c>
      <c r="D314" s="17"/>
      <c r="E314" s="14"/>
      <c r="F314" s="18"/>
      <c r="G314" s="19"/>
      <c r="H314" s="20"/>
      <c r="I314" s="21"/>
      <c r="J314" s="14"/>
      <c r="K314" s="14">
        <f t="shared" si="8"/>
        <v>0</v>
      </c>
      <c r="L314" s="16">
        <f t="shared" si="9"/>
        <v>0</v>
      </c>
      <c r="M314" s="22">
        <v>44287</v>
      </c>
      <c r="N314" s="23" t="s">
        <v>16</v>
      </c>
      <c r="O314" s="24"/>
      <c r="P314" s="23" t="s">
        <v>457</v>
      </c>
    </row>
    <row r="315" spans="1:16">
      <c r="A315" s="14">
        <v>311</v>
      </c>
      <c r="B315" s="29" t="s">
        <v>458</v>
      </c>
      <c r="C315" s="16">
        <f>'Медикаменты Январь'!L315</f>
        <v>5</v>
      </c>
      <c r="D315" s="17"/>
      <c r="E315" s="14"/>
      <c r="F315" s="18"/>
      <c r="G315" s="19"/>
      <c r="H315" s="20"/>
      <c r="I315" s="21"/>
      <c r="J315" s="14"/>
      <c r="K315" s="14">
        <f t="shared" si="8"/>
        <v>0</v>
      </c>
      <c r="L315" s="16">
        <f t="shared" si="9"/>
        <v>5</v>
      </c>
      <c r="M315" s="22">
        <v>44287</v>
      </c>
      <c r="N315" s="23" t="s">
        <v>16</v>
      </c>
      <c r="O315" s="24" t="s">
        <v>45</v>
      </c>
      <c r="P315" s="28" t="s">
        <v>459</v>
      </c>
    </row>
    <row r="316" spans="1:16">
      <c r="A316" s="14">
        <v>312</v>
      </c>
      <c r="B316" s="29" t="s">
        <v>460</v>
      </c>
      <c r="C316" s="16">
        <f>'Медикаменты Январь'!L316</f>
        <v>0</v>
      </c>
      <c r="D316" s="17"/>
      <c r="E316" s="14"/>
      <c r="F316" s="18"/>
      <c r="G316" s="19"/>
      <c r="H316" s="20"/>
      <c r="I316" s="21"/>
      <c r="J316" s="14"/>
      <c r="K316" s="14">
        <f t="shared" si="8"/>
        <v>0</v>
      </c>
      <c r="L316" s="16">
        <f t="shared" si="9"/>
        <v>0</v>
      </c>
      <c r="M316" s="22">
        <v>45597</v>
      </c>
      <c r="N316" s="23" t="s">
        <v>16</v>
      </c>
      <c r="O316" s="24" t="s">
        <v>45</v>
      </c>
      <c r="P316" s="23" t="s">
        <v>461</v>
      </c>
    </row>
    <row r="317" spans="1:16">
      <c r="A317" s="14">
        <v>313</v>
      </c>
      <c r="B317" s="29" t="s">
        <v>462</v>
      </c>
      <c r="C317" s="16">
        <f>'Медикаменты Январь'!L317</f>
        <v>0</v>
      </c>
      <c r="D317" s="17"/>
      <c r="E317" s="14"/>
      <c r="F317" s="18"/>
      <c r="G317" s="19"/>
      <c r="H317" s="20"/>
      <c r="I317" s="21"/>
      <c r="J317" s="14"/>
      <c r="K317" s="14">
        <f t="shared" si="8"/>
        <v>0</v>
      </c>
      <c r="L317" s="16">
        <f t="shared" si="9"/>
        <v>0</v>
      </c>
      <c r="M317" s="22">
        <v>43952</v>
      </c>
      <c r="N317" s="23" t="s">
        <v>16</v>
      </c>
      <c r="O317" s="24"/>
      <c r="P317" s="25"/>
    </row>
    <row r="318" spans="1:16">
      <c r="A318" s="14">
        <v>314</v>
      </c>
      <c r="B318" s="29" t="s">
        <v>463</v>
      </c>
      <c r="C318" s="16">
        <f>'Медикаменты Январь'!L318</f>
        <v>0</v>
      </c>
      <c r="D318" s="17"/>
      <c r="E318" s="14"/>
      <c r="F318" s="18"/>
      <c r="G318" s="19"/>
      <c r="H318" s="20"/>
      <c r="I318" s="21"/>
      <c r="J318" s="14"/>
      <c r="K318" s="14">
        <f t="shared" si="8"/>
        <v>0</v>
      </c>
      <c r="L318" s="16">
        <f t="shared" si="9"/>
        <v>0</v>
      </c>
      <c r="M318" s="22"/>
      <c r="N318" s="23" t="s">
        <v>16</v>
      </c>
      <c r="O318" s="24"/>
      <c r="P318" s="25"/>
    </row>
    <row r="319" spans="1:16">
      <c r="A319" s="14">
        <v>315</v>
      </c>
      <c r="B319" s="29" t="s">
        <v>464</v>
      </c>
      <c r="C319" s="16">
        <f>'Медикаменты Январь'!L319</f>
        <v>0</v>
      </c>
      <c r="D319" s="17"/>
      <c r="E319" s="14"/>
      <c r="F319" s="18"/>
      <c r="G319" s="19"/>
      <c r="H319" s="20"/>
      <c r="I319" s="21"/>
      <c r="J319" s="14"/>
      <c r="K319" s="14">
        <f t="shared" si="8"/>
        <v>0</v>
      </c>
      <c r="L319" s="16">
        <f t="shared" si="9"/>
        <v>0</v>
      </c>
      <c r="M319" s="22"/>
      <c r="N319" s="23" t="s">
        <v>16</v>
      </c>
      <c r="O319" s="24"/>
      <c r="P319" s="25"/>
    </row>
    <row r="320" spans="1:16">
      <c r="A320" s="14">
        <v>316</v>
      </c>
      <c r="B320" s="29" t="s">
        <v>465</v>
      </c>
      <c r="C320" s="16">
        <f>'Медикаменты Январь'!L320</f>
        <v>0</v>
      </c>
      <c r="D320" s="17"/>
      <c r="E320" s="14"/>
      <c r="F320" s="18"/>
      <c r="G320" s="19"/>
      <c r="H320" s="20"/>
      <c r="I320" s="21"/>
      <c r="J320" s="14"/>
      <c r="K320" s="14">
        <f t="shared" si="8"/>
        <v>0</v>
      </c>
      <c r="L320" s="16">
        <f t="shared" si="9"/>
        <v>0</v>
      </c>
      <c r="M320" s="22"/>
      <c r="N320" s="23" t="s">
        <v>16</v>
      </c>
      <c r="O320" s="24"/>
      <c r="P320" s="25"/>
    </row>
    <row r="321" spans="1:16">
      <c r="A321" s="14">
        <v>317</v>
      </c>
      <c r="B321" s="29" t="s">
        <v>466</v>
      </c>
      <c r="C321" s="16">
        <f>'Медикаменты Январь'!L321</f>
        <v>0</v>
      </c>
      <c r="D321" s="17"/>
      <c r="E321" s="14"/>
      <c r="F321" s="18"/>
      <c r="G321" s="19"/>
      <c r="H321" s="20"/>
      <c r="I321" s="21"/>
      <c r="J321" s="14"/>
      <c r="K321" s="14">
        <f t="shared" si="8"/>
        <v>0</v>
      </c>
      <c r="L321" s="16">
        <f t="shared" si="9"/>
        <v>0</v>
      </c>
      <c r="M321" s="22">
        <v>44835</v>
      </c>
      <c r="N321" s="23" t="s">
        <v>16</v>
      </c>
      <c r="O321" s="24"/>
      <c r="P321" s="25"/>
    </row>
    <row r="322" spans="1:16">
      <c r="A322" s="14">
        <v>318</v>
      </c>
      <c r="B322" s="29" t="s">
        <v>467</v>
      </c>
      <c r="C322" s="16">
        <f>'Медикаменты Январь'!L322</f>
        <v>0</v>
      </c>
      <c r="D322" s="26"/>
      <c r="E322" s="14"/>
      <c r="F322" s="18"/>
      <c r="G322" s="19"/>
      <c r="H322" s="20"/>
      <c r="I322" s="21"/>
      <c r="J322" s="14"/>
      <c r="K322" s="14">
        <f t="shared" si="8"/>
        <v>0</v>
      </c>
      <c r="L322" s="16">
        <f t="shared" si="9"/>
        <v>0</v>
      </c>
      <c r="M322" s="22"/>
      <c r="N322" s="23" t="s">
        <v>16</v>
      </c>
      <c r="O322" s="24"/>
      <c r="P322" s="25"/>
    </row>
    <row r="323" spans="1:16">
      <c r="A323" s="14">
        <v>319</v>
      </c>
      <c r="B323" s="29" t="s">
        <v>468</v>
      </c>
      <c r="C323" s="16">
        <f>'Медикаменты Январь'!L323</f>
        <v>0</v>
      </c>
      <c r="D323" s="17"/>
      <c r="E323" s="14"/>
      <c r="F323" s="18"/>
      <c r="G323" s="19"/>
      <c r="H323" s="20"/>
      <c r="I323" s="21"/>
      <c r="J323" s="14"/>
      <c r="K323" s="14">
        <f t="shared" si="8"/>
        <v>0</v>
      </c>
      <c r="L323" s="16">
        <f t="shared" si="9"/>
        <v>0</v>
      </c>
      <c r="M323" s="22"/>
      <c r="N323" s="23" t="s">
        <v>16</v>
      </c>
      <c r="O323" s="24"/>
      <c r="P323" s="25"/>
    </row>
    <row r="324" spans="1:16">
      <c r="A324" s="14">
        <v>320</v>
      </c>
      <c r="B324" s="29" t="s">
        <v>469</v>
      </c>
      <c r="C324" s="16">
        <f>'Медикаменты Январь'!L324</f>
        <v>57</v>
      </c>
      <c r="D324" s="17"/>
      <c r="E324" s="14"/>
      <c r="F324" s="18">
        <f>15</f>
        <v>15</v>
      </c>
      <c r="G324" s="19"/>
      <c r="H324" s="20"/>
      <c r="I324" s="21"/>
      <c r="J324" s="14"/>
      <c r="K324" s="14">
        <f t="shared" si="8"/>
        <v>15</v>
      </c>
      <c r="L324" s="16">
        <f t="shared" si="9"/>
        <v>42</v>
      </c>
      <c r="M324" s="22">
        <v>44652</v>
      </c>
      <c r="N324" s="23" t="s">
        <v>16</v>
      </c>
      <c r="O324" s="24" t="s">
        <v>17</v>
      </c>
      <c r="P324" s="28" t="s">
        <v>470</v>
      </c>
    </row>
    <row r="325" spans="1:16">
      <c r="A325" s="14">
        <v>321</v>
      </c>
      <c r="B325" s="29" t="s">
        <v>471</v>
      </c>
      <c r="C325" s="16">
        <f>'Медикаменты Январь'!L325</f>
        <v>0</v>
      </c>
      <c r="D325" s="17"/>
      <c r="E325" s="14"/>
      <c r="F325" s="18"/>
      <c r="G325" s="19"/>
      <c r="H325" s="20"/>
      <c r="I325" s="21"/>
      <c r="J325" s="14"/>
      <c r="K325" s="14">
        <f t="shared" ref="K325:K388" si="10">SUM(F325:J325)</f>
        <v>0</v>
      </c>
      <c r="L325" s="16">
        <f t="shared" ref="L325:L388" si="11">(C325+E325)-K325</f>
        <v>0</v>
      </c>
      <c r="M325" s="22"/>
      <c r="N325" s="23" t="s">
        <v>16</v>
      </c>
      <c r="O325" s="24"/>
      <c r="P325" s="25"/>
    </row>
    <row r="326" spans="1:16">
      <c r="A326" s="14">
        <v>322</v>
      </c>
      <c r="B326" s="29" t="s">
        <v>472</v>
      </c>
      <c r="C326" s="16">
        <f>'Медикаменты Январь'!L326</f>
        <v>0</v>
      </c>
      <c r="D326" s="17"/>
      <c r="E326" s="14"/>
      <c r="F326" s="18"/>
      <c r="G326" s="19"/>
      <c r="H326" s="20"/>
      <c r="I326" s="21"/>
      <c r="J326" s="14"/>
      <c r="K326" s="14">
        <f t="shared" si="10"/>
        <v>0</v>
      </c>
      <c r="L326" s="16">
        <f t="shared" si="11"/>
        <v>0</v>
      </c>
      <c r="M326" s="22">
        <v>44562</v>
      </c>
      <c r="N326" s="23" t="s">
        <v>16</v>
      </c>
      <c r="O326" s="24"/>
      <c r="P326" s="23" t="s">
        <v>473</v>
      </c>
    </row>
    <row r="327" spans="1:16">
      <c r="A327" s="14">
        <v>323</v>
      </c>
      <c r="B327" s="29" t="s">
        <v>474</v>
      </c>
      <c r="C327" s="16">
        <f>'Медикаменты Январь'!L327</f>
        <v>0</v>
      </c>
      <c r="D327" s="17"/>
      <c r="E327" s="14"/>
      <c r="F327" s="18"/>
      <c r="G327" s="19"/>
      <c r="H327" s="20"/>
      <c r="I327" s="21"/>
      <c r="J327" s="14"/>
      <c r="K327" s="14">
        <f t="shared" si="10"/>
        <v>0</v>
      </c>
      <c r="L327" s="16">
        <f t="shared" si="11"/>
        <v>0</v>
      </c>
      <c r="M327" s="22">
        <v>44743</v>
      </c>
      <c r="N327" s="23" t="s">
        <v>16</v>
      </c>
      <c r="O327" s="24"/>
      <c r="P327" s="23" t="s">
        <v>475</v>
      </c>
    </row>
    <row r="328" spans="1:16">
      <c r="A328" s="14">
        <v>324</v>
      </c>
      <c r="B328" s="29" t="s">
        <v>476</v>
      </c>
      <c r="C328" s="16">
        <f>'Медикаменты Январь'!L328</f>
        <v>0</v>
      </c>
      <c r="D328" s="17"/>
      <c r="E328" s="14"/>
      <c r="F328" s="18"/>
      <c r="G328" s="19"/>
      <c r="H328" s="20"/>
      <c r="I328" s="21"/>
      <c r="J328" s="14"/>
      <c r="K328" s="14">
        <f t="shared" si="10"/>
        <v>0</v>
      </c>
      <c r="L328" s="16">
        <f t="shared" si="11"/>
        <v>0</v>
      </c>
      <c r="M328" s="22">
        <v>44531</v>
      </c>
      <c r="N328" s="23" t="s">
        <v>16</v>
      </c>
      <c r="O328" s="24" t="s">
        <v>45</v>
      </c>
      <c r="P328" s="23" t="s">
        <v>477</v>
      </c>
    </row>
    <row r="329" spans="1:16">
      <c r="A329" s="14">
        <v>325</v>
      </c>
      <c r="B329" s="29" t="s">
        <v>478</v>
      </c>
      <c r="C329" s="16">
        <f>'Медикаменты Январь'!L329</f>
        <v>0</v>
      </c>
      <c r="D329" s="17"/>
      <c r="E329" s="14"/>
      <c r="F329" s="18"/>
      <c r="G329" s="19"/>
      <c r="H329" s="20"/>
      <c r="I329" s="21"/>
      <c r="J329" s="14"/>
      <c r="K329" s="14">
        <f t="shared" si="10"/>
        <v>0</v>
      </c>
      <c r="L329" s="16">
        <f t="shared" si="11"/>
        <v>0</v>
      </c>
      <c r="M329" s="22"/>
      <c r="N329" s="23" t="s">
        <v>16</v>
      </c>
      <c r="O329" s="24"/>
      <c r="P329" s="25"/>
    </row>
    <row r="330" spans="1:16">
      <c r="A330" s="14">
        <v>326</v>
      </c>
      <c r="B330" s="29" t="s">
        <v>479</v>
      </c>
      <c r="C330" s="16">
        <f>'Медикаменты Январь'!L330</f>
        <v>0</v>
      </c>
      <c r="D330" s="17"/>
      <c r="E330" s="14"/>
      <c r="F330" s="18"/>
      <c r="G330" s="19"/>
      <c r="H330" s="20"/>
      <c r="I330" s="21"/>
      <c r="J330" s="14"/>
      <c r="K330" s="14">
        <f t="shared" si="10"/>
        <v>0</v>
      </c>
      <c r="L330" s="16">
        <f t="shared" si="11"/>
        <v>0</v>
      </c>
      <c r="M330" s="22">
        <v>44743</v>
      </c>
      <c r="N330" s="23" t="s">
        <v>16</v>
      </c>
      <c r="O330" s="24"/>
      <c r="P330" s="28" t="s">
        <v>480</v>
      </c>
    </row>
    <row r="331" spans="1:16">
      <c r="A331" s="14">
        <v>327</v>
      </c>
      <c r="B331" s="29" t="s">
        <v>481</v>
      </c>
      <c r="C331" s="16">
        <f>'Медикаменты Январь'!L331</f>
        <v>5</v>
      </c>
      <c r="D331" s="17"/>
      <c r="E331" s="14"/>
      <c r="F331" s="18"/>
      <c r="G331" s="19"/>
      <c r="H331" s="20"/>
      <c r="I331" s="21"/>
      <c r="J331" s="14"/>
      <c r="K331" s="14">
        <f t="shared" si="10"/>
        <v>0</v>
      </c>
      <c r="L331" s="16">
        <f t="shared" si="11"/>
        <v>5</v>
      </c>
      <c r="M331" s="22">
        <v>44713</v>
      </c>
      <c r="N331" s="23" t="s">
        <v>16</v>
      </c>
      <c r="O331" s="24" t="s">
        <v>17</v>
      </c>
      <c r="P331" s="28" t="s">
        <v>482</v>
      </c>
    </row>
    <row r="332" spans="1:16">
      <c r="A332" s="14">
        <v>328</v>
      </c>
      <c r="B332" s="29" t="s">
        <v>483</v>
      </c>
      <c r="C332" s="16">
        <f>'Медикаменты Январь'!L332</f>
        <v>0</v>
      </c>
      <c r="D332" s="17"/>
      <c r="E332" s="14"/>
      <c r="F332" s="18"/>
      <c r="G332" s="19"/>
      <c r="H332" s="20"/>
      <c r="I332" s="21"/>
      <c r="J332" s="14"/>
      <c r="K332" s="14">
        <f t="shared" si="10"/>
        <v>0</v>
      </c>
      <c r="L332" s="16">
        <f t="shared" si="11"/>
        <v>0</v>
      </c>
      <c r="M332" s="22">
        <v>45536</v>
      </c>
      <c r="N332" s="23" t="s">
        <v>16</v>
      </c>
      <c r="O332" s="24"/>
      <c r="P332" s="28" t="s">
        <v>484</v>
      </c>
    </row>
    <row r="333" spans="1:16">
      <c r="A333" s="14">
        <v>329</v>
      </c>
      <c r="B333" s="29" t="s">
        <v>485</v>
      </c>
      <c r="C333" s="16">
        <f>'Медикаменты Январь'!L333</f>
        <v>0</v>
      </c>
      <c r="D333" s="17"/>
      <c r="E333" s="14"/>
      <c r="F333" s="18"/>
      <c r="G333" s="19"/>
      <c r="H333" s="20"/>
      <c r="I333" s="21"/>
      <c r="J333" s="14"/>
      <c r="K333" s="14">
        <f t="shared" si="10"/>
        <v>0</v>
      </c>
      <c r="L333" s="16">
        <f t="shared" si="11"/>
        <v>0</v>
      </c>
      <c r="M333" s="22">
        <v>45597</v>
      </c>
      <c r="N333" s="23" t="s">
        <v>16</v>
      </c>
      <c r="O333" s="24"/>
      <c r="P333" s="28" t="s">
        <v>486</v>
      </c>
    </row>
    <row r="334" spans="1:16">
      <c r="A334" s="14">
        <v>330</v>
      </c>
      <c r="B334" s="29" t="s">
        <v>487</v>
      </c>
      <c r="C334" s="16">
        <f>'Медикаменты Январь'!L334</f>
        <v>0</v>
      </c>
      <c r="D334" s="17"/>
      <c r="E334" s="14"/>
      <c r="F334" s="18"/>
      <c r="G334" s="19"/>
      <c r="H334" s="20"/>
      <c r="I334" s="21"/>
      <c r="J334" s="14"/>
      <c r="K334" s="14">
        <f t="shared" si="10"/>
        <v>0</v>
      </c>
      <c r="L334" s="16">
        <f t="shared" si="11"/>
        <v>0</v>
      </c>
      <c r="M334" s="22"/>
      <c r="N334" s="23" t="s">
        <v>16</v>
      </c>
      <c r="O334" s="24"/>
      <c r="P334" s="25"/>
    </row>
    <row r="335" spans="1:16">
      <c r="A335" s="14">
        <v>331</v>
      </c>
      <c r="B335" s="29" t="s">
        <v>488</v>
      </c>
      <c r="C335" s="16">
        <f>'Медикаменты Январь'!L335</f>
        <v>0</v>
      </c>
      <c r="D335" s="17"/>
      <c r="E335" s="14"/>
      <c r="F335" s="18"/>
      <c r="G335" s="19"/>
      <c r="H335" s="20"/>
      <c r="I335" s="21"/>
      <c r="J335" s="14"/>
      <c r="K335" s="14">
        <f t="shared" si="10"/>
        <v>0</v>
      </c>
      <c r="L335" s="16">
        <f t="shared" si="11"/>
        <v>0</v>
      </c>
      <c r="M335" s="22">
        <v>44805</v>
      </c>
      <c r="N335" s="23" t="s">
        <v>16</v>
      </c>
      <c r="O335" s="24"/>
      <c r="P335" s="23" t="s">
        <v>489</v>
      </c>
    </row>
    <row r="336" spans="1:16">
      <c r="A336" s="14">
        <v>332</v>
      </c>
      <c r="B336" s="29" t="s">
        <v>490</v>
      </c>
      <c r="C336" s="16">
        <f>'Медикаменты Январь'!L336</f>
        <v>0</v>
      </c>
      <c r="D336" s="17"/>
      <c r="E336" s="14"/>
      <c r="F336" s="18"/>
      <c r="G336" s="19"/>
      <c r="H336" s="20"/>
      <c r="I336" s="21"/>
      <c r="J336" s="14"/>
      <c r="K336" s="14">
        <f t="shared" si="10"/>
        <v>0</v>
      </c>
      <c r="L336" s="16">
        <f t="shared" si="11"/>
        <v>0</v>
      </c>
      <c r="M336" s="22"/>
      <c r="N336" s="23" t="s">
        <v>16</v>
      </c>
      <c r="O336" s="24"/>
      <c r="P336" s="25"/>
    </row>
    <row r="337" spans="1:16" ht="25.5">
      <c r="A337" s="14">
        <v>333</v>
      </c>
      <c r="B337" s="29" t="s">
        <v>491</v>
      </c>
      <c r="C337" s="16">
        <f>'Медикаменты Январь'!L337</f>
        <v>50</v>
      </c>
      <c r="D337" s="17"/>
      <c r="E337" s="14"/>
      <c r="F337" s="18"/>
      <c r="G337" s="19"/>
      <c r="H337" s="20"/>
      <c r="I337" s="21"/>
      <c r="J337" s="14"/>
      <c r="K337" s="14">
        <f t="shared" si="10"/>
        <v>0</v>
      </c>
      <c r="L337" s="16">
        <f t="shared" si="11"/>
        <v>50</v>
      </c>
      <c r="M337" s="22">
        <v>45231</v>
      </c>
      <c r="N337" s="23" t="s">
        <v>16</v>
      </c>
      <c r="O337" s="24" t="s">
        <v>17</v>
      </c>
      <c r="P337" s="23" t="s">
        <v>492</v>
      </c>
    </row>
    <row r="338" spans="1:16" ht="25.5">
      <c r="A338" s="14">
        <v>334</v>
      </c>
      <c r="B338" s="29" t="s">
        <v>491</v>
      </c>
      <c r="C338" s="16">
        <f>'Медикаменты Январь'!L338</f>
        <v>350</v>
      </c>
      <c r="D338" s="17"/>
      <c r="E338" s="14"/>
      <c r="F338" s="18"/>
      <c r="G338" s="19"/>
      <c r="H338" s="20"/>
      <c r="I338" s="21"/>
      <c r="J338" s="14"/>
      <c r="K338" s="14">
        <f t="shared" si="10"/>
        <v>0</v>
      </c>
      <c r="L338" s="16">
        <f t="shared" si="11"/>
        <v>350</v>
      </c>
      <c r="M338" s="22">
        <v>44896</v>
      </c>
      <c r="N338" s="23" t="s">
        <v>16</v>
      </c>
      <c r="O338" s="24" t="s">
        <v>17</v>
      </c>
      <c r="P338" s="23" t="s">
        <v>492</v>
      </c>
    </row>
    <row r="339" spans="1:16">
      <c r="A339" s="14">
        <v>335</v>
      </c>
      <c r="B339" s="29" t="s">
        <v>493</v>
      </c>
      <c r="C339" s="16">
        <f>'Медикаменты Январь'!L339</f>
        <v>100</v>
      </c>
      <c r="D339" s="17"/>
      <c r="E339" s="14"/>
      <c r="F339" s="18"/>
      <c r="G339" s="19"/>
      <c r="H339" s="20"/>
      <c r="I339" s="21"/>
      <c r="J339" s="14"/>
      <c r="K339" s="14">
        <f t="shared" si="10"/>
        <v>0</v>
      </c>
      <c r="L339" s="16">
        <f t="shared" si="11"/>
        <v>100</v>
      </c>
      <c r="M339" s="22">
        <v>44774</v>
      </c>
      <c r="N339" s="23" t="s">
        <v>16</v>
      </c>
      <c r="O339" s="24" t="s">
        <v>17</v>
      </c>
      <c r="P339" s="23" t="s">
        <v>494</v>
      </c>
    </row>
    <row r="340" spans="1:16">
      <c r="A340" s="14">
        <v>336</v>
      </c>
      <c r="B340" s="29" t="s">
        <v>495</v>
      </c>
      <c r="C340" s="16">
        <f>'Медикаменты Январь'!L340</f>
        <v>0</v>
      </c>
      <c r="D340" s="17"/>
      <c r="E340" s="14"/>
      <c r="F340" s="18"/>
      <c r="G340" s="19"/>
      <c r="H340" s="20"/>
      <c r="I340" s="21"/>
      <c r="J340" s="14"/>
      <c r="K340" s="14">
        <f t="shared" si="10"/>
        <v>0</v>
      </c>
      <c r="L340" s="16">
        <f t="shared" si="11"/>
        <v>0</v>
      </c>
      <c r="M340" s="22"/>
      <c r="N340" s="23" t="s">
        <v>16</v>
      </c>
      <c r="O340" s="24"/>
      <c r="P340" s="25"/>
    </row>
    <row r="341" spans="1:16">
      <c r="A341" s="14">
        <v>337</v>
      </c>
      <c r="B341" s="29" t="s">
        <v>496</v>
      </c>
      <c r="C341" s="16">
        <f>'Медикаменты Январь'!L341</f>
        <v>0</v>
      </c>
      <c r="D341" s="17"/>
      <c r="E341" s="14"/>
      <c r="F341" s="18"/>
      <c r="G341" s="19"/>
      <c r="H341" s="20"/>
      <c r="I341" s="21"/>
      <c r="J341" s="14"/>
      <c r="K341" s="14">
        <f t="shared" si="10"/>
        <v>0</v>
      </c>
      <c r="L341" s="16">
        <f t="shared" si="11"/>
        <v>0</v>
      </c>
      <c r="M341" s="22">
        <v>44256</v>
      </c>
      <c r="N341" s="23" t="s">
        <v>16</v>
      </c>
      <c r="O341" s="24"/>
      <c r="P341" s="28" t="s">
        <v>497</v>
      </c>
    </row>
    <row r="342" spans="1:16">
      <c r="A342" s="14">
        <v>338</v>
      </c>
      <c r="B342" s="29" t="s">
        <v>498</v>
      </c>
      <c r="C342" s="16">
        <f>'Медикаменты Январь'!L342</f>
        <v>100</v>
      </c>
      <c r="D342" s="17"/>
      <c r="E342" s="14"/>
      <c r="F342" s="18"/>
      <c r="G342" s="19"/>
      <c r="H342" s="20"/>
      <c r="I342" s="21"/>
      <c r="J342" s="14"/>
      <c r="K342" s="14">
        <f t="shared" si="10"/>
        <v>0</v>
      </c>
      <c r="L342" s="16">
        <f t="shared" si="11"/>
        <v>100</v>
      </c>
      <c r="M342" s="22">
        <v>44805</v>
      </c>
      <c r="N342" s="23" t="s">
        <v>16</v>
      </c>
      <c r="O342" s="24" t="s">
        <v>17</v>
      </c>
      <c r="P342" s="23" t="s">
        <v>499</v>
      </c>
    </row>
    <row r="343" spans="1:16">
      <c r="A343" s="14">
        <v>339</v>
      </c>
      <c r="B343" s="29" t="s">
        <v>500</v>
      </c>
      <c r="C343" s="16">
        <f>'Медикаменты Январь'!L343</f>
        <v>0</v>
      </c>
      <c r="D343" s="17"/>
      <c r="E343" s="14"/>
      <c r="F343" s="18"/>
      <c r="G343" s="19"/>
      <c r="H343" s="20"/>
      <c r="I343" s="21"/>
      <c r="J343" s="14"/>
      <c r="K343" s="14">
        <f t="shared" si="10"/>
        <v>0</v>
      </c>
      <c r="L343" s="16">
        <f t="shared" si="11"/>
        <v>0</v>
      </c>
      <c r="M343" s="22"/>
      <c r="N343" s="23" t="s">
        <v>16</v>
      </c>
      <c r="O343" s="24"/>
      <c r="P343" s="25"/>
    </row>
    <row r="344" spans="1:16">
      <c r="A344" s="14">
        <v>340</v>
      </c>
      <c r="B344" s="29" t="s">
        <v>501</v>
      </c>
      <c r="C344" s="16">
        <f>'Медикаменты Январь'!L344</f>
        <v>0</v>
      </c>
      <c r="D344" s="17"/>
      <c r="E344" s="14"/>
      <c r="F344" s="18"/>
      <c r="G344" s="19"/>
      <c r="H344" s="20"/>
      <c r="I344" s="21"/>
      <c r="J344" s="14"/>
      <c r="K344" s="14">
        <f t="shared" si="10"/>
        <v>0</v>
      </c>
      <c r="L344" s="16">
        <f t="shared" si="11"/>
        <v>0</v>
      </c>
      <c r="M344" s="22"/>
      <c r="N344" s="23" t="s">
        <v>16</v>
      </c>
      <c r="O344" s="24"/>
      <c r="P344" s="25"/>
    </row>
    <row r="345" spans="1:16">
      <c r="A345" s="14">
        <v>341</v>
      </c>
      <c r="B345" s="29" t="s">
        <v>502</v>
      </c>
      <c r="C345" s="16">
        <f>'Медикаменты Январь'!L345</f>
        <v>0</v>
      </c>
      <c r="D345" s="17"/>
      <c r="E345" s="14"/>
      <c r="F345" s="18"/>
      <c r="G345" s="19"/>
      <c r="H345" s="20"/>
      <c r="I345" s="21"/>
      <c r="J345" s="14"/>
      <c r="K345" s="14">
        <f t="shared" si="10"/>
        <v>0</v>
      </c>
      <c r="L345" s="16">
        <f t="shared" si="11"/>
        <v>0</v>
      </c>
      <c r="M345" s="22">
        <v>44866</v>
      </c>
      <c r="N345" s="23" t="s">
        <v>26</v>
      </c>
      <c r="O345" s="24"/>
      <c r="P345" s="25"/>
    </row>
    <row r="346" spans="1:16">
      <c r="A346" s="14">
        <v>342</v>
      </c>
      <c r="B346" s="29" t="s">
        <v>503</v>
      </c>
      <c r="C346" s="16">
        <f>'Медикаменты Январь'!L346</f>
        <v>155</v>
      </c>
      <c r="D346" s="26"/>
      <c r="E346" s="14"/>
      <c r="F346" s="18"/>
      <c r="G346" s="19"/>
      <c r="H346" s="20"/>
      <c r="I346" s="21"/>
      <c r="J346" s="14"/>
      <c r="K346" s="14">
        <f t="shared" si="10"/>
        <v>0</v>
      </c>
      <c r="L346" s="16">
        <f t="shared" si="11"/>
        <v>155</v>
      </c>
      <c r="M346" s="22">
        <v>44713</v>
      </c>
      <c r="N346" s="23" t="s">
        <v>16</v>
      </c>
      <c r="O346" s="24" t="s">
        <v>17</v>
      </c>
      <c r="P346" s="28" t="s">
        <v>504</v>
      </c>
    </row>
    <row r="347" spans="1:16">
      <c r="A347" s="14">
        <v>343</v>
      </c>
      <c r="B347" s="29" t="s">
        <v>505</v>
      </c>
      <c r="C347" s="16">
        <f>'Медикаменты Январь'!L347</f>
        <v>0</v>
      </c>
      <c r="D347" s="17"/>
      <c r="E347" s="14"/>
      <c r="F347" s="18"/>
      <c r="G347" s="19"/>
      <c r="H347" s="20"/>
      <c r="I347" s="21"/>
      <c r="J347" s="14"/>
      <c r="K347" s="14">
        <f t="shared" si="10"/>
        <v>0</v>
      </c>
      <c r="L347" s="16">
        <f t="shared" si="11"/>
        <v>0</v>
      </c>
      <c r="M347" s="22"/>
      <c r="N347" s="23" t="s">
        <v>16</v>
      </c>
      <c r="O347" s="24"/>
      <c r="P347" s="25"/>
    </row>
    <row r="348" spans="1:16">
      <c r="A348" s="14">
        <v>344</v>
      </c>
      <c r="B348" s="29" t="s">
        <v>506</v>
      </c>
      <c r="C348" s="16">
        <f>'Медикаменты Январь'!L348</f>
        <v>67</v>
      </c>
      <c r="D348" s="26"/>
      <c r="E348" s="14"/>
      <c r="F348" s="18"/>
      <c r="G348" s="19"/>
      <c r="H348" s="20"/>
      <c r="I348" s="21"/>
      <c r="J348" s="14"/>
      <c r="K348" s="14">
        <f t="shared" si="10"/>
        <v>0</v>
      </c>
      <c r="L348" s="16">
        <f t="shared" si="11"/>
        <v>67</v>
      </c>
      <c r="M348" s="22">
        <v>44531</v>
      </c>
      <c r="N348" s="23" t="s">
        <v>16</v>
      </c>
      <c r="O348" s="24" t="s">
        <v>17</v>
      </c>
      <c r="P348" s="28" t="s">
        <v>507</v>
      </c>
    </row>
    <row r="349" spans="1:16" ht="25.5">
      <c r="A349" s="14">
        <v>345</v>
      </c>
      <c r="B349" s="29" t="s">
        <v>508</v>
      </c>
      <c r="C349" s="16">
        <f>'Медикаменты Январь'!L349</f>
        <v>412</v>
      </c>
      <c r="D349" s="17"/>
      <c r="E349" s="14"/>
      <c r="F349" s="18"/>
      <c r="G349" s="19"/>
      <c r="H349" s="20"/>
      <c r="I349" s="21"/>
      <c r="J349" s="14"/>
      <c r="K349" s="14">
        <f t="shared" si="10"/>
        <v>0</v>
      </c>
      <c r="L349" s="16">
        <f t="shared" si="11"/>
        <v>412</v>
      </c>
      <c r="M349" s="22">
        <v>45108</v>
      </c>
      <c r="N349" s="23" t="s">
        <v>16</v>
      </c>
      <c r="O349" s="24" t="s">
        <v>17</v>
      </c>
      <c r="P349" s="28" t="s">
        <v>509</v>
      </c>
    </row>
    <row r="350" spans="1:16">
      <c r="A350" s="14">
        <v>346</v>
      </c>
      <c r="B350" s="29" t="s">
        <v>510</v>
      </c>
      <c r="C350" s="16">
        <f>'Медикаменты Январь'!L350</f>
        <v>0</v>
      </c>
      <c r="D350" s="17"/>
      <c r="E350" s="14"/>
      <c r="F350" s="18"/>
      <c r="G350" s="19"/>
      <c r="H350" s="20"/>
      <c r="I350" s="21"/>
      <c r="J350" s="14"/>
      <c r="K350" s="14">
        <f t="shared" si="10"/>
        <v>0</v>
      </c>
      <c r="L350" s="16">
        <f t="shared" si="11"/>
        <v>0</v>
      </c>
      <c r="M350" s="22"/>
      <c r="N350" s="23" t="s">
        <v>16</v>
      </c>
      <c r="O350" s="24"/>
      <c r="P350" s="25"/>
    </row>
    <row r="351" spans="1:16">
      <c r="A351" s="14">
        <v>347</v>
      </c>
      <c r="B351" s="29" t="s">
        <v>511</v>
      </c>
      <c r="C351" s="16">
        <f>'Медикаменты Январь'!L351</f>
        <v>0</v>
      </c>
      <c r="D351" s="17"/>
      <c r="E351" s="14"/>
      <c r="F351" s="18"/>
      <c r="G351" s="19"/>
      <c r="H351" s="20"/>
      <c r="I351" s="21"/>
      <c r="J351" s="14"/>
      <c r="K351" s="14">
        <f t="shared" si="10"/>
        <v>0</v>
      </c>
      <c r="L351" s="16">
        <f t="shared" si="11"/>
        <v>0</v>
      </c>
      <c r="M351" s="22"/>
      <c r="N351" s="23" t="s">
        <v>16</v>
      </c>
      <c r="O351" s="24"/>
      <c r="P351" s="25"/>
    </row>
    <row r="352" spans="1:16">
      <c r="A352" s="14">
        <v>348</v>
      </c>
      <c r="B352" s="29" t="s">
        <v>512</v>
      </c>
      <c r="C352" s="16">
        <f>'Медикаменты Январь'!L352</f>
        <v>104</v>
      </c>
      <c r="D352" s="17"/>
      <c r="E352" s="14"/>
      <c r="F352" s="18">
        <f>10</f>
        <v>10</v>
      </c>
      <c r="G352" s="19"/>
      <c r="H352" s="20"/>
      <c r="I352" s="21"/>
      <c r="J352" s="14">
        <f>2</f>
        <v>2</v>
      </c>
      <c r="K352" s="14">
        <f t="shared" si="10"/>
        <v>12</v>
      </c>
      <c r="L352" s="16">
        <f t="shared" si="11"/>
        <v>92</v>
      </c>
      <c r="M352" s="22">
        <v>44682</v>
      </c>
      <c r="N352" s="23" t="s">
        <v>16</v>
      </c>
      <c r="O352" s="24" t="s">
        <v>17</v>
      </c>
      <c r="P352" s="23" t="s">
        <v>513</v>
      </c>
    </row>
    <row r="353" spans="1:16">
      <c r="A353" s="14">
        <v>349</v>
      </c>
      <c r="B353" s="29" t="s">
        <v>514</v>
      </c>
      <c r="C353" s="16">
        <f>'Медикаменты Январь'!L353</f>
        <v>129</v>
      </c>
      <c r="D353" s="17"/>
      <c r="E353" s="14"/>
      <c r="F353" s="18"/>
      <c r="G353" s="19"/>
      <c r="H353" s="20"/>
      <c r="I353" s="21"/>
      <c r="J353" s="14"/>
      <c r="K353" s="14">
        <f t="shared" si="10"/>
        <v>0</v>
      </c>
      <c r="L353" s="16">
        <f t="shared" si="11"/>
        <v>129</v>
      </c>
      <c r="M353" s="22">
        <v>44652</v>
      </c>
      <c r="N353" s="23" t="s">
        <v>16</v>
      </c>
      <c r="O353" s="24" t="s">
        <v>17</v>
      </c>
      <c r="P353" s="23" t="s">
        <v>515</v>
      </c>
    </row>
    <row r="354" spans="1:16">
      <c r="A354" s="14">
        <v>350</v>
      </c>
      <c r="B354" s="29" t="s">
        <v>516</v>
      </c>
      <c r="C354" s="16">
        <f>'Медикаменты Январь'!L354</f>
        <v>0</v>
      </c>
      <c r="D354" s="17"/>
      <c r="E354" s="14"/>
      <c r="F354" s="18"/>
      <c r="G354" s="19"/>
      <c r="H354" s="20"/>
      <c r="I354" s="21"/>
      <c r="J354" s="14"/>
      <c r="K354" s="14">
        <f t="shared" si="10"/>
        <v>0</v>
      </c>
      <c r="L354" s="16">
        <f t="shared" si="11"/>
        <v>0</v>
      </c>
      <c r="M354" s="22"/>
      <c r="N354" s="23" t="s">
        <v>16</v>
      </c>
      <c r="O354" s="24"/>
      <c r="P354" s="25"/>
    </row>
    <row r="355" spans="1:16">
      <c r="A355" s="14">
        <v>351</v>
      </c>
      <c r="B355" s="29" t="s">
        <v>517</v>
      </c>
      <c r="C355" s="16">
        <f>'Медикаменты Январь'!L355</f>
        <v>0</v>
      </c>
      <c r="D355" s="17"/>
      <c r="E355" s="14"/>
      <c r="F355" s="18"/>
      <c r="G355" s="19"/>
      <c r="H355" s="20"/>
      <c r="I355" s="21"/>
      <c r="J355" s="14"/>
      <c r="K355" s="14">
        <f t="shared" si="10"/>
        <v>0</v>
      </c>
      <c r="L355" s="16">
        <f t="shared" si="11"/>
        <v>0</v>
      </c>
      <c r="M355" s="22">
        <v>44682</v>
      </c>
      <c r="N355" s="23" t="s">
        <v>26</v>
      </c>
      <c r="O355" s="24" t="s">
        <v>17</v>
      </c>
      <c r="P355" s="23" t="s">
        <v>518</v>
      </c>
    </row>
    <row r="356" spans="1:16">
      <c r="A356" s="14">
        <v>352</v>
      </c>
      <c r="B356" s="29" t="s">
        <v>519</v>
      </c>
      <c r="C356" s="16">
        <f>'Медикаменты Январь'!L356</f>
        <v>0</v>
      </c>
      <c r="D356" s="17"/>
      <c r="E356" s="14"/>
      <c r="F356" s="18"/>
      <c r="G356" s="19"/>
      <c r="H356" s="20"/>
      <c r="I356" s="21"/>
      <c r="J356" s="14"/>
      <c r="K356" s="14">
        <f t="shared" si="10"/>
        <v>0</v>
      </c>
      <c r="L356" s="16">
        <f t="shared" si="11"/>
        <v>0</v>
      </c>
      <c r="M356" s="22">
        <v>44409</v>
      </c>
      <c r="N356" s="23" t="s">
        <v>16</v>
      </c>
      <c r="O356" s="24"/>
      <c r="P356" s="25"/>
    </row>
    <row r="357" spans="1:16">
      <c r="A357" s="14">
        <v>353</v>
      </c>
      <c r="B357" s="29" t="s">
        <v>520</v>
      </c>
      <c r="C357" s="16">
        <f>'Медикаменты Январь'!L357</f>
        <v>67</v>
      </c>
      <c r="D357" s="17"/>
      <c r="E357" s="14"/>
      <c r="F357" s="18">
        <f>5</f>
        <v>5</v>
      </c>
      <c r="G357" s="19"/>
      <c r="H357" s="20"/>
      <c r="I357" s="21"/>
      <c r="J357" s="14"/>
      <c r="K357" s="14">
        <f t="shared" si="10"/>
        <v>5</v>
      </c>
      <c r="L357" s="16">
        <f t="shared" si="11"/>
        <v>62</v>
      </c>
      <c r="M357" s="22">
        <v>44805</v>
      </c>
      <c r="N357" s="23" t="s">
        <v>26</v>
      </c>
      <c r="O357" s="24" t="s">
        <v>17</v>
      </c>
      <c r="P357" s="23" t="s">
        <v>521</v>
      </c>
    </row>
    <row r="358" spans="1:16">
      <c r="A358" s="14">
        <v>354</v>
      </c>
      <c r="B358" s="29" t="s">
        <v>522</v>
      </c>
      <c r="C358" s="16">
        <f>'Медикаменты Январь'!L358</f>
        <v>0</v>
      </c>
      <c r="D358" s="17"/>
      <c r="E358" s="14"/>
      <c r="F358" s="18"/>
      <c r="G358" s="19"/>
      <c r="H358" s="20"/>
      <c r="I358" s="21"/>
      <c r="J358" s="14"/>
      <c r="K358" s="14">
        <f t="shared" si="10"/>
        <v>0</v>
      </c>
      <c r="L358" s="16">
        <f t="shared" si="11"/>
        <v>0</v>
      </c>
      <c r="M358" s="22"/>
      <c r="N358" s="23" t="s">
        <v>16</v>
      </c>
      <c r="O358" s="24"/>
      <c r="P358" s="25"/>
    </row>
    <row r="359" spans="1:16">
      <c r="A359" s="14">
        <v>355</v>
      </c>
      <c r="B359" s="29" t="s">
        <v>523</v>
      </c>
      <c r="C359" s="16">
        <f>'Медикаменты Январь'!L359</f>
        <v>0</v>
      </c>
      <c r="D359" s="17"/>
      <c r="E359" s="14"/>
      <c r="F359" s="18"/>
      <c r="G359" s="19"/>
      <c r="H359" s="20"/>
      <c r="I359" s="21"/>
      <c r="J359" s="14"/>
      <c r="K359" s="14">
        <f t="shared" si="10"/>
        <v>0</v>
      </c>
      <c r="L359" s="16">
        <f t="shared" si="11"/>
        <v>0</v>
      </c>
      <c r="M359" s="22">
        <v>44228</v>
      </c>
      <c r="N359" s="23" t="s">
        <v>16</v>
      </c>
      <c r="O359" s="24"/>
      <c r="P359" s="23" t="s">
        <v>524</v>
      </c>
    </row>
    <row r="360" spans="1:16">
      <c r="A360" s="14">
        <v>356</v>
      </c>
      <c r="B360" s="29" t="s">
        <v>525</v>
      </c>
      <c r="C360" s="16">
        <f>'Медикаменты Январь'!L360</f>
        <v>86</v>
      </c>
      <c r="D360" s="17"/>
      <c r="E360" s="14"/>
      <c r="F360" s="18"/>
      <c r="G360" s="19"/>
      <c r="H360" s="20"/>
      <c r="I360" s="21"/>
      <c r="J360" s="14"/>
      <c r="K360" s="14">
        <f t="shared" si="10"/>
        <v>0</v>
      </c>
      <c r="L360" s="16">
        <f t="shared" si="11"/>
        <v>86</v>
      </c>
      <c r="M360" s="22">
        <v>44958</v>
      </c>
      <c r="N360" s="23" t="s">
        <v>16</v>
      </c>
      <c r="O360" s="24" t="s">
        <v>17</v>
      </c>
      <c r="P360" s="23" t="s">
        <v>526</v>
      </c>
    </row>
    <row r="361" spans="1:16">
      <c r="A361" s="14">
        <v>357</v>
      </c>
      <c r="B361" s="29" t="s">
        <v>527</v>
      </c>
      <c r="C361" s="16">
        <f>'Медикаменты Январь'!L361</f>
        <v>7</v>
      </c>
      <c r="D361" s="17"/>
      <c r="E361" s="14"/>
      <c r="F361" s="18"/>
      <c r="G361" s="19"/>
      <c r="H361" s="20"/>
      <c r="I361" s="21"/>
      <c r="J361" s="14">
        <f>1</f>
        <v>1</v>
      </c>
      <c r="K361" s="14">
        <f t="shared" si="10"/>
        <v>1</v>
      </c>
      <c r="L361" s="16">
        <f t="shared" si="11"/>
        <v>6</v>
      </c>
      <c r="M361" s="22">
        <v>44652</v>
      </c>
      <c r="N361" s="23" t="s">
        <v>16</v>
      </c>
      <c r="O361" s="24" t="s">
        <v>17</v>
      </c>
      <c r="P361" s="28" t="s">
        <v>528</v>
      </c>
    </row>
    <row r="362" spans="1:16">
      <c r="A362" s="14">
        <v>358</v>
      </c>
      <c r="B362" s="29" t="s">
        <v>527</v>
      </c>
      <c r="C362" s="16">
        <f>'Медикаменты Январь'!L362</f>
        <v>25</v>
      </c>
      <c r="D362" s="17"/>
      <c r="E362" s="14"/>
      <c r="F362" s="18"/>
      <c r="G362" s="19"/>
      <c r="H362" s="20"/>
      <c r="I362" s="21"/>
      <c r="J362" s="14"/>
      <c r="K362" s="14">
        <f t="shared" si="10"/>
        <v>0</v>
      </c>
      <c r="L362" s="16">
        <f t="shared" si="11"/>
        <v>25</v>
      </c>
      <c r="M362" s="22">
        <v>44896</v>
      </c>
      <c r="N362" s="23" t="s">
        <v>16</v>
      </c>
      <c r="O362" s="24" t="s">
        <v>17</v>
      </c>
      <c r="P362" s="28" t="s">
        <v>528</v>
      </c>
    </row>
  </sheetData>
  <autoFilter ref="A2:P362"/>
  <mergeCells count="17">
    <mergeCell ref="P2:P4"/>
    <mergeCell ref="A1:P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2:M4"/>
    <mergeCell ref="N2:N4"/>
    <mergeCell ref="O2:O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A933"/>
  </sheetPr>
  <dimension ref="A1:O21"/>
  <sheetViews>
    <sheetView zoomScaleNormal="100" workbookViewId="0">
      <pane ySplit="4" topLeftCell="A5" activePane="bottomLeft" state="frozen"/>
      <selection pane="bottomLeft" activeCell="C10" sqref="C10"/>
    </sheetView>
  </sheetViews>
  <sheetFormatPr defaultRowHeight="15"/>
  <cols>
    <col min="1" max="1" width="12.5703125" customWidth="1"/>
    <col min="2" max="2" width="45.85546875" customWidth="1"/>
    <col min="3" max="13" width="13.28515625" customWidth="1"/>
    <col min="14" max="14" width="13.7109375" customWidth="1"/>
    <col min="15" max="1022" width="9.140625" customWidth="1"/>
    <col min="1023" max="1025" width="11.5703125" customWidth="1"/>
  </cols>
  <sheetData>
    <row r="1" spans="1:15" ht="51.75" customHeight="1">
      <c r="A1" s="3" t="s">
        <v>529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s="33" customFormat="1" ht="13.9" customHeight="1">
      <c r="A2" s="11" t="s">
        <v>1</v>
      </c>
      <c r="B2" s="10" t="s">
        <v>2</v>
      </c>
      <c r="C2" s="9">
        <v>44197</v>
      </c>
      <c r="D2" s="11" t="s">
        <v>3</v>
      </c>
      <c r="E2" s="11" t="s">
        <v>4</v>
      </c>
      <c r="F2" s="8" t="s">
        <v>5</v>
      </c>
      <c r="G2" s="2" t="s">
        <v>6</v>
      </c>
      <c r="H2" s="6" t="s">
        <v>7</v>
      </c>
      <c r="I2" s="5" t="s">
        <v>8</v>
      </c>
      <c r="J2" s="11" t="s">
        <v>9</v>
      </c>
      <c r="K2" s="11" t="s">
        <v>10</v>
      </c>
      <c r="L2" s="9">
        <v>44227</v>
      </c>
      <c r="M2" s="1" t="s">
        <v>11</v>
      </c>
      <c r="N2" s="1" t="s">
        <v>12</v>
      </c>
      <c r="O2" s="32"/>
    </row>
    <row r="3" spans="1:15" s="33" customFormat="1" ht="14.25">
      <c r="A3" s="11"/>
      <c r="B3" s="10"/>
      <c r="C3" s="9"/>
      <c r="D3" s="9"/>
      <c r="E3" s="9"/>
      <c r="F3" s="8"/>
      <c r="G3" s="2"/>
      <c r="H3" s="6"/>
      <c r="I3" s="5"/>
      <c r="J3" s="11"/>
      <c r="K3" s="11"/>
      <c r="L3" s="11"/>
      <c r="M3" s="1"/>
      <c r="N3" s="1"/>
      <c r="O3" s="32"/>
    </row>
    <row r="4" spans="1:15" s="33" customFormat="1" ht="24.75" customHeight="1">
      <c r="A4" s="11"/>
      <c r="B4" s="10"/>
      <c r="C4" s="9"/>
      <c r="D4" s="9"/>
      <c r="E4" s="9"/>
      <c r="F4" s="8"/>
      <c r="G4" s="2"/>
      <c r="H4" s="6"/>
      <c r="I4" s="5"/>
      <c r="J4" s="11"/>
      <c r="K4" s="11"/>
      <c r="L4" s="11"/>
      <c r="M4" s="1"/>
      <c r="N4" s="1"/>
      <c r="O4" s="32"/>
    </row>
    <row r="5" spans="1:15">
      <c r="A5" s="34">
        <v>1</v>
      </c>
      <c r="B5" s="35" t="s">
        <v>530</v>
      </c>
      <c r="C5" s="14">
        <f>'Перевязочные Январь'!L5</f>
        <v>620</v>
      </c>
      <c r="D5" s="36"/>
      <c r="E5" s="36"/>
      <c r="F5" s="37"/>
      <c r="G5" s="38"/>
      <c r="H5" s="39"/>
      <c r="I5" s="40"/>
      <c r="J5" s="36"/>
      <c r="K5" s="14">
        <f t="shared" ref="K5:K21" si="0">SUM(F5:J5)</f>
        <v>0</v>
      </c>
      <c r="L5" s="16">
        <f t="shared" ref="L5:L21" si="1">(C5+E5)-K5</f>
        <v>620</v>
      </c>
      <c r="M5" s="41">
        <v>44652</v>
      </c>
      <c r="N5" s="42" t="s">
        <v>16</v>
      </c>
      <c r="O5" s="43"/>
    </row>
    <row r="6" spans="1:15">
      <c r="A6" s="34">
        <v>2</v>
      </c>
      <c r="B6" s="35" t="s">
        <v>531</v>
      </c>
      <c r="C6" s="14">
        <f>'Перевязочные Январь'!L6</f>
        <v>85</v>
      </c>
      <c r="D6" s="36"/>
      <c r="E6" s="36"/>
      <c r="F6" s="37"/>
      <c r="G6" s="38"/>
      <c r="H6" s="39"/>
      <c r="I6" s="40"/>
      <c r="J6" s="36"/>
      <c r="K6" s="14">
        <f t="shared" si="0"/>
        <v>0</v>
      </c>
      <c r="L6" s="16">
        <f t="shared" si="1"/>
        <v>85</v>
      </c>
      <c r="M6" s="41">
        <v>45200</v>
      </c>
      <c r="N6" s="42" t="s">
        <v>16</v>
      </c>
      <c r="O6" s="43"/>
    </row>
    <row r="7" spans="1:15">
      <c r="A7" s="34">
        <v>3</v>
      </c>
      <c r="B7" s="35" t="s">
        <v>532</v>
      </c>
      <c r="C7" s="14">
        <f>'Перевязочные Январь'!L7</f>
        <v>10</v>
      </c>
      <c r="D7" s="36"/>
      <c r="E7" s="36"/>
      <c r="F7" s="37"/>
      <c r="G7" s="38"/>
      <c r="H7" s="39"/>
      <c r="I7" s="40"/>
      <c r="J7" s="36"/>
      <c r="K7" s="14">
        <f t="shared" si="0"/>
        <v>0</v>
      </c>
      <c r="L7" s="16">
        <f t="shared" si="1"/>
        <v>10</v>
      </c>
      <c r="M7" s="41">
        <v>44958</v>
      </c>
      <c r="N7" s="42" t="s">
        <v>16</v>
      </c>
      <c r="O7" s="43"/>
    </row>
    <row r="8" spans="1:15">
      <c r="A8" s="34">
        <v>4</v>
      </c>
      <c r="B8" s="35" t="s">
        <v>533</v>
      </c>
      <c r="C8" s="14">
        <f>'Перевязочные Январь'!L8</f>
        <v>0</v>
      </c>
      <c r="D8" s="36"/>
      <c r="E8" s="36"/>
      <c r="F8" s="37"/>
      <c r="G8" s="38"/>
      <c r="H8" s="39"/>
      <c r="I8" s="40"/>
      <c r="J8" s="36"/>
      <c r="K8" s="14">
        <f t="shared" si="0"/>
        <v>0</v>
      </c>
      <c r="L8" s="16">
        <f t="shared" si="1"/>
        <v>0</v>
      </c>
      <c r="M8" s="41"/>
      <c r="N8" s="42" t="s">
        <v>16</v>
      </c>
      <c r="O8" s="43"/>
    </row>
    <row r="9" spans="1:15">
      <c r="A9" s="34">
        <v>5</v>
      </c>
      <c r="B9" s="35" t="s">
        <v>534</v>
      </c>
      <c r="C9" s="14">
        <f>'Перевязочные Январь'!L9</f>
        <v>0</v>
      </c>
      <c r="D9" s="36"/>
      <c r="E9" s="36"/>
      <c r="F9" s="37"/>
      <c r="G9" s="38"/>
      <c r="H9" s="39"/>
      <c r="I9" s="40"/>
      <c r="J9" s="36"/>
      <c r="K9" s="14">
        <f t="shared" si="0"/>
        <v>0</v>
      </c>
      <c r="L9" s="16">
        <f t="shared" si="1"/>
        <v>0</v>
      </c>
      <c r="M9" s="41"/>
      <c r="N9" s="42" t="s">
        <v>16</v>
      </c>
      <c r="O9" s="43"/>
    </row>
    <row r="10" spans="1:15">
      <c r="A10" s="34">
        <v>6</v>
      </c>
      <c r="B10" s="35" t="s">
        <v>535</v>
      </c>
      <c r="C10" s="14">
        <f>'Перевязочные Январь'!L10</f>
        <v>10</v>
      </c>
      <c r="D10" s="36"/>
      <c r="E10" s="36"/>
      <c r="F10" s="37"/>
      <c r="G10" s="38"/>
      <c r="H10" s="39"/>
      <c r="I10" s="40"/>
      <c r="J10" s="36"/>
      <c r="K10" s="14">
        <f t="shared" si="0"/>
        <v>0</v>
      </c>
      <c r="L10" s="16">
        <f t="shared" si="1"/>
        <v>10</v>
      </c>
      <c r="M10" s="41">
        <v>45231</v>
      </c>
      <c r="N10" s="42" t="s">
        <v>16</v>
      </c>
      <c r="O10" s="43"/>
    </row>
    <row r="11" spans="1:15">
      <c r="A11" s="34">
        <v>7</v>
      </c>
      <c r="B11" s="35" t="s">
        <v>536</v>
      </c>
      <c r="C11" s="14">
        <f>'Перевязочные Январь'!L11</f>
        <v>0</v>
      </c>
      <c r="D11" s="36"/>
      <c r="E11" s="36"/>
      <c r="F11" s="37"/>
      <c r="G11" s="38"/>
      <c r="H11" s="39"/>
      <c r="I11" s="40"/>
      <c r="J11" s="36"/>
      <c r="K11" s="14">
        <f t="shared" si="0"/>
        <v>0</v>
      </c>
      <c r="L11" s="16">
        <f t="shared" si="1"/>
        <v>0</v>
      </c>
      <c r="M11" s="41"/>
      <c r="N11" s="42" t="s">
        <v>16</v>
      </c>
      <c r="O11" s="43"/>
    </row>
    <row r="12" spans="1:15">
      <c r="A12" s="34">
        <v>8</v>
      </c>
      <c r="B12" s="35" t="s">
        <v>537</v>
      </c>
      <c r="C12" s="14">
        <f>'Перевязочные Январь'!L12</f>
        <v>23</v>
      </c>
      <c r="D12" s="36"/>
      <c r="E12" s="36"/>
      <c r="F12" s="37"/>
      <c r="G12" s="38"/>
      <c r="H12" s="39"/>
      <c r="I12" s="40"/>
      <c r="J12" s="36"/>
      <c r="K12" s="14">
        <f t="shared" si="0"/>
        <v>0</v>
      </c>
      <c r="L12" s="16">
        <f t="shared" si="1"/>
        <v>23</v>
      </c>
      <c r="M12" s="41">
        <v>45658</v>
      </c>
      <c r="N12" s="42" t="s">
        <v>16</v>
      </c>
      <c r="O12" s="43"/>
    </row>
    <row r="13" spans="1:15">
      <c r="A13" s="34">
        <v>9</v>
      </c>
      <c r="B13" s="35" t="s">
        <v>538</v>
      </c>
      <c r="C13" s="14">
        <f>'Перевязочные Январь'!L13</f>
        <v>1200</v>
      </c>
      <c r="D13" s="36"/>
      <c r="E13" s="36"/>
      <c r="F13" s="37"/>
      <c r="G13" s="38"/>
      <c r="H13" s="39"/>
      <c r="I13" s="40"/>
      <c r="J13" s="36">
        <f>200</f>
        <v>200</v>
      </c>
      <c r="K13" s="14">
        <f t="shared" si="0"/>
        <v>200</v>
      </c>
      <c r="L13" s="16">
        <f t="shared" si="1"/>
        <v>1000</v>
      </c>
      <c r="M13" s="41">
        <v>44682</v>
      </c>
      <c r="N13" s="42" t="s">
        <v>16</v>
      </c>
      <c r="O13" s="43"/>
    </row>
    <row r="14" spans="1:15">
      <c r="A14" s="34">
        <v>10</v>
      </c>
      <c r="B14" s="35" t="s">
        <v>539</v>
      </c>
      <c r="C14" s="14">
        <f>'Перевязочные Январь'!L14</f>
        <v>458</v>
      </c>
      <c r="D14" s="36"/>
      <c r="E14" s="36"/>
      <c r="F14" s="37"/>
      <c r="G14" s="38"/>
      <c r="H14" s="39"/>
      <c r="I14" s="40"/>
      <c r="J14" s="36"/>
      <c r="K14" s="14">
        <f t="shared" si="0"/>
        <v>0</v>
      </c>
      <c r="L14" s="16">
        <f t="shared" si="1"/>
        <v>458</v>
      </c>
      <c r="M14" s="41">
        <v>45261</v>
      </c>
      <c r="N14" s="42" t="s">
        <v>16</v>
      </c>
      <c r="O14" s="43"/>
    </row>
    <row r="15" spans="1:15">
      <c r="A15" s="34">
        <v>11</v>
      </c>
      <c r="B15" s="35" t="s">
        <v>540</v>
      </c>
      <c r="C15" s="14">
        <f>'Перевязочные Январь'!L15</f>
        <v>141</v>
      </c>
      <c r="D15" s="36"/>
      <c r="E15" s="36"/>
      <c r="F15" s="37"/>
      <c r="G15" s="38"/>
      <c r="H15" s="39"/>
      <c r="I15" s="40"/>
      <c r="J15" s="36"/>
      <c r="K15" s="14">
        <f t="shared" si="0"/>
        <v>0</v>
      </c>
      <c r="L15" s="16">
        <f t="shared" si="1"/>
        <v>141</v>
      </c>
      <c r="M15" s="41">
        <v>44835</v>
      </c>
      <c r="N15" s="42" t="s">
        <v>16</v>
      </c>
      <c r="O15" s="43"/>
    </row>
    <row r="16" spans="1:15" ht="30">
      <c r="A16" s="34">
        <v>12</v>
      </c>
      <c r="B16" s="35" t="s">
        <v>541</v>
      </c>
      <c r="C16" s="14">
        <f>'Перевязочные Январь'!L16</f>
        <v>285</v>
      </c>
      <c r="D16" s="36"/>
      <c r="E16" s="36"/>
      <c r="F16" s="37"/>
      <c r="G16" s="38"/>
      <c r="H16" s="39"/>
      <c r="I16" s="40"/>
      <c r="J16" s="36"/>
      <c r="K16" s="14">
        <f t="shared" si="0"/>
        <v>0</v>
      </c>
      <c r="L16" s="16">
        <f t="shared" si="1"/>
        <v>285</v>
      </c>
      <c r="M16" s="41">
        <v>45616</v>
      </c>
      <c r="N16" s="42" t="s">
        <v>16</v>
      </c>
      <c r="O16" s="43"/>
    </row>
    <row r="17" spans="1:15" ht="45">
      <c r="A17" s="34">
        <v>13</v>
      </c>
      <c r="B17" s="35" t="s">
        <v>542</v>
      </c>
      <c r="C17" s="14">
        <f>'Перевязочные Январь'!L17</f>
        <v>480</v>
      </c>
      <c r="D17" s="36"/>
      <c r="E17" s="36"/>
      <c r="F17" s="37"/>
      <c r="G17" s="38"/>
      <c r="H17" s="39"/>
      <c r="I17" s="40"/>
      <c r="J17" s="36"/>
      <c r="K17" s="14">
        <f t="shared" si="0"/>
        <v>0</v>
      </c>
      <c r="L17" s="16">
        <f t="shared" si="1"/>
        <v>480</v>
      </c>
      <c r="M17" s="41">
        <v>44682</v>
      </c>
      <c r="N17" s="42" t="s">
        <v>16</v>
      </c>
      <c r="O17" s="43"/>
    </row>
    <row r="18" spans="1:15" ht="30">
      <c r="A18" s="34">
        <v>14</v>
      </c>
      <c r="B18" s="35" t="s">
        <v>543</v>
      </c>
      <c r="C18" s="14">
        <f>'Перевязочные Январь'!L18</f>
        <v>36</v>
      </c>
      <c r="D18" s="36"/>
      <c r="E18" s="36"/>
      <c r="F18" s="37"/>
      <c r="G18" s="38"/>
      <c r="H18" s="39"/>
      <c r="I18" s="40"/>
      <c r="J18" s="36"/>
      <c r="K18" s="14">
        <f t="shared" si="0"/>
        <v>0</v>
      </c>
      <c r="L18" s="16">
        <f t="shared" si="1"/>
        <v>36</v>
      </c>
      <c r="M18" s="41">
        <v>45778</v>
      </c>
      <c r="N18" s="42" t="s">
        <v>16</v>
      </c>
      <c r="O18" s="43"/>
    </row>
    <row r="19" spans="1:15" ht="30">
      <c r="A19" s="34">
        <v>15</v>
      </c>
      <c r="B19" s="35" t="s">
        <v>544</v>
      </c>
      <c r="C19" s="14">
        <f>'Перевязочные Январь'!L19</f>
        <v>40</v>
      </c>
      <c r="D19" s="36"/>
      <c r="E19" s="36"/>
      <c r="F19" s="37"/>
      <c r="G19" s="38"/>
      <c r="H19" s="39"/>
      <c r="I19" s="40"/>
      <c r="J19" s="36"/>
      <c r="K19" s="14">
        <f t="shared" si="0"/>
        <v>0</v>
      </c>
      <c r="L19" s="16">
        <f t="shared" si="1"/>
        <v>40</v>
      </c>
      <c r="M19" s="41"/>
      <c r="N19" s="42" t="s">
        <v>16</v>
      </c>
      <c r="O19" s="43"/>
    </row>
    <row r="20" spans="1:15">
      <c r="A20" s="34">
        <v>16</v>
      </c>
      <c r="B20" s="35" t="s">
        <v>545</v>
      </c>
      <c r="C20" s="14">
        <f>'Перевязочные Январь'!L20</f>
        <v>19</v>
      </c>
      <c r="D20" s="36"/>
      <c r="E20" s="36"/>
      <c r="F20" s="37"/>
      <c r="G20" s="38"/>
      <c r="H20" s="39"/>
      <c r="I20" s="40"/>
      <c r="J20" s="36"/>
      <c r="K20" s="14">
        <f t="shared" si="0"/>
        <v>0</v>
      </c>
      <c r="L20" s="16">
        <f t="shared" si="1"/>
        <v>19</v>
      </c>
      <c r="M20" s="41">
        <v>45292</v>
      </c>
      <c r="N20" s="42" t="s">
        <v>16</v>
      </c>
      <c r="O20" s="43"/>
    </row>
    <row r="21" spans="1:15" ht="30">
      <c r="A21" s="34">
        <v>17</v>
      </c>
      <c r="B21" s="35" t="s">
        <v>546</v>
      </c>
      <c r="C21" s="14">
        <f>'Перевязочные Январь'!L21</f>
        <v>14</v>
      </c>
      <c r="D21" s="36"/>
      <c r="E21" s="36"/>
      <c r="F21" s="37"/>
      <c r="G21" s="38"/>
      <c r="H21" s="39"/>
      <c r="I21" s="40"/>
      <c r="J21" s="36"/>
      <c r="K21" s="14">
        <f t="shared" si="0"/>
        <v>0</v>
      </c>
      <c r="L21" s="16">
        <f t="shared" si="1"/>
        <v>14</v>
      </c>
      <c r="M21" s="41">
        <v>44682</v>
      </c>
      <c r="N21" s="42" t="s">
        <v>16</v>
      </c>
      <c r="O21" s="43"/>
    </row>
  </sheetData>
  <autoFilter ref="A2:N4"/>
  <mergeCells count="15">
    <mergeCell ref="A1:N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2:M4"/>
    <mergeCell ref="N2:N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158466"/>
  </sheetPr>
  <dimension ref="A1:P362"/>
  <sheetViews>
    <sheetView zoomScaleNormal="100" workbookViewId="0">
      <pane ySplit="4" topLeftCell="A182" activePane="bottomLeft" state="frozen"/>
      <selection pane="bottomLeft" activeCell="C19" sqref="C19"/>
    </sheetView>
  </sheetViews>
  <sheetFormatPr defaultRowHeight="15"/>
  <cols>
    <col min="1" max="1" width="9.140625" customWidth="1"/>
    <col min="2" max="2" width="40.85546875" customWidth="1"/>
    <col min="3" max="14" width="13.28515625" customWidth="1"/>
    <col min="15" max="15" width="13.28515625" style="13" customWidth="1"/>
    <col min="16" max="16" width="43.5703125" customWidth="1"/>
    <col min="17" max="1023" width="9.140625" customWidth="1"/>
    <col min="1024" max="1025" width="11.5703125" customWidth="1"/>
  </cols>
  <sheetData>
    <row r="1" spans="1:16" ht="52.5" customHeight="1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ht="13.9" customHeight="1">
      <c r="A2" s="11" t="s">
        <v>1</v>
      </c>
      <c r="B2" s="10" t="s">
        <v>2</v>
      </c>
      <c r="C2" s="9">
        <v>44228</v>
      </c>
      <c r="D2" s="11" t="s">
        <v>3</v>
      </c>
      <c r="E2" s="11" t="s">
        <v>4</v>
      </c>
      <c r="F2" s="8" t="s">
        <v>5</v>
      </c>
      <c r="G2" s="7" t="s">
        <v>6</v>
      </c>
      <c r="H2" s="6" t="s">
        <v>7</v>
      </c>
      <c r="I2" s="5" t="s">
        <v>8</v>
      </c>
      <c r="J2" s="11" t="s">
        <v>9</v>
      </c>
      <c r="K2" s="11" t="s">
        <v>10</v>
      </c>
      <c r="L2" s="9">
        <v>44255</v>
      </c>
      <c r="M2" s="4" t="s">
        <v>11</v>
      </c>
      <c r="N2" s="4" t="s">
        <v>12</v>
      </c>
      <c r="O2" s="4" t="s">
        <v>13</v>
      </c>
      <c r="P2" s="4" t="s">
        <v>14</v>
      </c>
    </row>
    <row r="3" spans="1:16">
      <c r="A3" s="11"/>
      <c r="B3" s="10"/>
      <c r="C3" s="9"/>
      <c r="D3" s="9"/>
      <c r="E3" s="9"/>
      <c r="F3" s="8"/>
      <c r="G3" s="7"/>
      <c r="H3" s="6"/>
      <c r="I3" s="5"/>
      <c r="J3" s="11"/>
      <c r="K3" s="11"/>
      <c r="L3" s="11"/>
      <c r="M3" s="4"/>
      <c r="N3" s="4"/>
      <c r="O3" s="4"/>
      <c r="P3" s="4"/>
    </row>
    <row r="4" spans="1:16" ht="34.5" customHeight="1">
      <c r="A4" s="11"/>
      <c r="B4" s="10"/>
      <c r="C4" s="9"/>
      <c r="D4" s="9"/>
      <c r="E4" s="9"/>
      <c r="F4" s="8"/>
      <c r="G4" s="7"/>
      <c r="H4" s="6"/>
      <c r="I4" s="5"/>
      <c r="J4" s="11"/>
      <c r="K4" s="11"/>
      <c r="L4" s="11"/>
      <c r="M4" s="4"/>
      <c r="N4" s="4"/>
      <c r="O4" s="4"/>
      <c r="P4" s="4"/>
    </row>
    <row r="5" spans="1:16">
      <c r="A5" s="14">
        <v>1</v>
      </c>
      <c r="B5" s="15" t="s">
        <v>15</v>
      </c>
      <c r="C5" s="16">
        <f>'Медикаменты Январь_2'!L5</f>
        <v>18</v>
      </c>
      <c r="D5" s="17"/>
      <c r="E5" s="14"/>
      <c r="F5" s="18"/>
      <c r="G5" s="19"/>
      <c r="H5" s="20"/>
      <c r="I5" s="21"/>
      <c r="J5" s="14"/>
      <c r="K5" s="14">
        <f t="shared" ref="K5:K68" si="0">SUM(F5:J5)</f>
        <v>0</v>
      </c>
      <c r="L5" s="16">
        <f t="shared" ref="L5:L68" si="1">(C5+E5)-K5</f>
        <v>18</v>
      </c>
      <c r="M5" s="22">
        <v>44531</v>
      </c>
      <c r="N5" s="23" t="s">
        <v>16</v>
      </c>
      <c r="O5" s="24" t="s">
        <v>17</v>
      </c>
      <c r="P5" s="23" t="s">
        <v>18</v>
      </c>
    </row>
    <row r="6" spans="1:16">
      <c r="A6" s="14">
        <v>2</v>
      </c>
      <c r="B6" s="15" t="s">
        <v>19</v>
      </c>
      <c r="C6" s="16">
        <f>'Медикаменты Январь_2'!L6</f>
        <v>16</v>
      </c>
      <c r="D6" s="17"/>
      <c r="E6" s="14"/>
      <c r="F6" s="18">
        <f>5</f>
        <v>5</v>
      </c>
      <c r="G6" s="19"/>
      <c r="H6" s="20"/>
      <c r="I6" s="21"/>
      <c r="J6" s="14"/>
      <c r="K6" s="14">
        <f t="shared" si="0"/>
        <v>5</v>
      </c>
      <c r="L6" s="16">
        <f t="shared" si="1"/>
        <v>11</v>
      </c>
      <c r="M6" s="22">
        <v>44593</v>
      </c>
      <c r="N6" s="23" t="s">
        <v>16</v>
      </c>
      <c r="O6" s="24" t="s">
        <v>17</v>
      </c>
      <c r="P6" s="23" t="s">
        <v>20</v>
      </c>
    </row>
    <row r="7" spans="1:16">
      <c r="A7" s="14">
        <v>3</v>
      </c>
      <c r="B7" s="15" t="s">
        <v>21</v>
      </c>
      <c r="C7" s="16">
        <f>'Медикаменты Январь_2'!L7</f>
        <v>306</v>
      </c>
      <c r="D7" s="17"/>
      <c r="E7" s="14"/>
      <c r="F7" s="18">
        <f>4+5+10</f>
        <v>19</v>
      </c>
      <c r="G7" s="19"/>
      <c r="H7" s="20"/>
      <c r="I7" s="21"/>
      <c r="J7" s="14"/>
      <c r="K7" s="14">
        <f t="shared" si="0"/>
        <v>19</v>
      </c>
      <c r="L7" s="16">
        <f t="shared" si="1"/>
        <v>287</v>
      </c>
      <c r="M7" s="22">
        <v>45566</v>
      </c>
      <c r="N7" s="23" t="s">
        <v>16</v>
      </c>
      <c r="O7" s="24" t="s">
        <v>17</v>
      </c>
      <c r="P7" s="23" t="s">
        <v>22</v>
      </c>
    </row>
    <row r="8" spans="1:16">
      <c r="A8" s="14">
        <v>4</v>
      </c>
      <c r="B8" s="15" t="s">
        <v>23</v>
      </c>
      <c r="C8" s="16">
        <f>'Медикаменты Январь_2'!L8</f>
        <v>0</v>
      </c>
      <c r="D8" s="17"/>
      <c r="E8" s="14"/>
      <c r="F8" s="18"/>
      <c r="G8" s="19"/>
      <c r="H8" s="20"/>
      <c r="I8" s="21"/>
      <c r="J8" s="14"/>
      <c r="K8" s="14">
        <f t="shared" si="0"/>
        <v>0</v>
      </c>
      <c r="L8" s="16">
        <f t="shared" si="1"/>
        <v>0</v>
      </c>
      <c r="M8" s="22"/>
      <c r="N8" s="23" t="s">
        <v>16</v>
      </c>
      <c r="O8" s="24"/>
      <c r="P8" s="23"/>
    </row>
    <row r="9" spans="1:16">
      <c r="A9" s="14">
        <v>5</v>
      </c>
      <c r="B9" s="15" t="s">
        <v>24</v>
      </c>
      <c r="C9" s="16">
        <f>'Медикаменты Январь_2'!L9</f>
        <v>21</v>
      </c>
      <c r="D9" s="17"/>
      <c r="E9" s="14"/>
      <c r="F9" s="18">
        <f>21</f>
        <v>21</v>
      </c>
      <c r="G9" s="19"/>
      <c r="H9" s="20"/>
      <c r="I9" s="21"/>
      <c r="J9" s="14"/>
      <c r="K9" s="14">
        <f t="shared" si="0"/>
        <v>21</v>
      </c>
      <c r="L9" s="16">
        <f t="shared" si="1"/>
        <v>0</v>
      </c>
      <c r="M9" s="22">
        <v>44866</v>
      </c>
      <c r="N9" s="23" t="s">
        <v>16</v>
      </c>
      <c r="O9" s="24" t="s">
        <v>17</v>
      </c>
      <c r="P9" s="23" t="s">
        <v>25</v>
      </c>
    </row>
    <row r="10" spans="1:16">
      <c r="A10" s="14">
        <v>6</v>
      </c>
      <c r="B10" s="15" t="s">
        <v>24</v>
      </c>
      <c r="C10" s="16">
        <f>'Медикаменты Январь_2'!L10</f>
        <v>0</v>
      </c>
      <c r="D10" s="17"/>
      <c r="E10" s="14"/>
      <c r="F10" s="18"/>
      <c r="G10" s="19"/>
      <c r="H10" s="20"/>
      <c r="I10" s="21"/>
      <c r="J10" s="14"/>
      <c r="K10" s="14">
        <f t="shared" si="0"/>
        <v>0</v>
      </c>
      <c r="L10" s="16">
        <f t="shared" si="1"/>
        <v>0</v>
      </c>
      <c r="M10" s="22"/>
      <c r="N10" s="23" t="s">
        <v>26</v>
      </c>
      <c r="O10" s="24"/>
      <c r="P10" s="25"/>
    </row>
    <row r="11" spans="1:16">
      <c r="A11" s="14">
        <v>7</v>
      </c>
      <c r="B11" s="15" t="s">
        <v>27</v>
      </c>
      <c r="C11" s="16">
        <f>'Медикаменты Январь_2'!L11</f>
        <v>511</v>
      </c>
      <c r="D11" s="17"/>
      <c r="E11" s="14"/>
      <c r="F11" s="18">
        <f>10+28+13+68</f>
        <v>119</v>
      </c>
      <c r="G11" s="19"/>
      <c r="H11" s="20"/>
      <c r="I11" s="21"/>
      <c r="J11" s="14"/>
      <c r="K11" s="14">
        <f t="shared" si="0"/>
        <v>119</v>
      </c>
      <c r="L11" s="16">
        <f t="shared" si="1"/>
        <v>392</v>
      </c>
      <c r="M11" s="22">
        <v>44805</v>
      </c>
      <c r="N11" s="23" t="s">
        <v>16</v>
      </c>
      <c r="O11" s="24" t="s">
        <v>17</v>
      </c>
      <c r="P11" s="23" t="s">
        <v>28</v>
      </c>
    </row>
    <row r="12" spans="1:16">
      <c r="A12" s="14">
        <v>8</v>
      </c>
      <c r="B12" s="15" t="s">
        <v>27</v>
      </c>
      <c r="C12" s="16">
        <f>'Медикаменты Январь_2'!L12</f>
        <v>0</v>
      </c>
      <c r="D12" s="17"/>
      <c r="E12" s="14"/>
      <c r="F12" s="18"/>
      <c r="G12" s="19"/>
      <c r="H12" s="20"/>
      <c r="I12" s="21"/>
      <c r="J12" s="14"/>
      <c r="K12" s="14">
        <f t="shared" si="0"/>
        <v>0</v>
      </c>
      <c r="L12" s="16">
        <f t="shared" si="1"/>
        <v>0</v>
      </c>
      <c r="M12" s="22"/>
      <c r="N12" s="23" t="s">
        <v>26</v>
      </c>
      <c r="O12" s="24"/>
      <c r="P12" s="25"/>
    </row>
    <row r="13" spans="1:16">
      <c r="A13" s="14">
        <v>9</v>
      </c>
      <c r="B13" s="15" t="s">
        <v>29</v>
      </c>
      <c r="C13" s="16">
        <f>'Медикаменты Январь_2'!L13</f>
        <v>32</v>
      </c>
      <c r="D13" s="17"/>
      <c r="E13" s="14"/>
      <c r="F13" s="18">
        <f>10+5</f>
        <v>15</v>
      </c>
      <c r="G13" s="19"/>
      <c r="H13" s="20"/>
      <c r="I13" s="21"/>
      <c r="J13" s="14"/>
      <c r="K13" s="14">
        <f t="shared" si="0"/>
        <v>15</v>
      </c>
      <c r="L13" s="16">
        <f t="shared" si="1"/>
        <v>17</v>
      </c>
      <c r="M13" s="22">
        <v>44835</v>
      </c>
      <c r="N13" s="23" t="s">
        <v>16</v>
      </c>
      <c r="O13" s="24" t="s">
        <v>17</v>
      </c>
      <c r="P13" s="23" t="s">
        <v>30</v>
      </c>
    </row>
    <row r="14" spans="1:16">
      <c r="A14" s="14">
        <v>10</v>
      </c>
      <c r="B14" s="15" t="s">
        <v>31</v>
      </c>
      <c r="C14" s="16">
        <f>'Медикаменты Январь_2'!L14</f>
        <v>151</v>
      </c>
      <c r="D14" s="26"/>
      <c r="E14" s="14"/>
      <c r="F14" s="18"/>
      <c r="G14" s="19"/>
      <c r="H14" s="20"/>
      <c r="I14" s="21"/>
      <c r="J14" s="14"/>
      <c r="K14" s="14">
        <f t="shared" si="0"/>
        <v>0</v>
      </c>
      <c r="L14" s="16">
        <f t="shared" si="1"/>
        <v>151</v>
      </c>
      <c r="M14" s="22">
        <v>44621</v>
      </c>
      <c r="N14" s="23" t="s">
        <v>16</v>
      </c>
      <c r="O14" s="24" t="s">
        <v>17</v>
      </c>
      <c r="P14" s="23" t="s">
        <v>32</v>
      </c>
    </row>
    <row r="15" spans="1:16">
      <c r="A15" s="14">
        <v>11</v>
      </c>
      <c r="B15" s="15" t="s">
        <v>31</v>
      </c>
      <c r="C15" s="16">
        <f>'Медикаменты Январь_2'!L15</f>
        <v>0</v>
      </c>
      <c r="D15" s="17"/>
      <c r="E15" s="14"/>
      <c r="F15" s="18"/>
      <c r="G15" s="19"/>
      <c r="H15" s="20"/>
      <c r="I15" s="21"/>
      <c r="J15" s="14"/>
      <c r="K15" s="14">
        <f t="shared" si="0"/>
        <v>0</v>
      </c>
      <c r="L15" s="16">
        <f t="shared" si="1"/>
        <v>0</v>
      </c>
      <c r="M15" s="22"/>
      <c r="N15" s="23" t="s">
        <v>26</v>
      </c>
      <c r="O15" s="24"/>
      <c r="P15" s="25"/>
    </row>
    <row r="16" spans="1:16" ht="25.5">
      <c r="A16" s="14">
        <v>12</v>
      </c>
      <c r="B16" s="15" t="s">
        <v>33</v>
      </c>
      <c r="C16" s="16">
        <f>'Медикаменты Январь_2'!L16</f>
        <v>3</v>
      </c>
      <c r="D16" s="17"/>
      <c r="E16" s="14"/>
      <c r="F16" s="18"/>
      <c r="G16" s="19"/>
      <c r="H16" s="20"/>
      <c r="I16" s="21"/>
      <c r="J16" s="14"/>
      <c r="K16" s="14">
        <f t="shared" si="0"/>
        <v>0</v>
      </c>
      <c r="L16" s="16">
        <f t="shared" si="1"/>
        <v>3</v>
      </c>
      <c r="M16" s="22">
        <v>44501</v>
      </c>
      <c r="N16" s="23" t="s">
        <v>16</v>
      </c>
      <c r="O16" s="24" t="s">
        <v>17</v>
      </c>
      <c r="P16" s="23" t="s">
        <v>34</v>
      </c>
    </row>
    <row r="17" spans="1:16">
      <c r="A17" s="14">
        <v>13</v>
      </c>
      <c r="B17" s="15" t="s">
        <v>35</v>
      </c>
      <c r="C17" s="16">
        <f>'Медикаменты Январь_2'!L17</f>
        <v>50</v>
      </c>
      <c r="D17" s="17"/>
      <c r="E17" s="14"/>
      <c r="F17" s="18"/>
      <c r="G17" s="19"/>
      <c r="H17" s="20"/>
      <c r="I17" s="21"/>
      <c r="J17" s="14"/>
      <c r="K17" s="14">
        <f t="shared" si="0"/>
        <v>0</v>
      </c>
      <c r="L17" s="16">
        <f t="shared" si="1"/>
        <v>50</v>
      </c>
      <c r="M17" s="22">
        <v>44621</v>
      </c>
      <c r="N17" s="23" t="s">
        <v>16</v>
      </c>
      <c r="O17" s="24" t="s">
        <v>17</v>
      </c>
      <c r="P17" s="23" t="s">
        <v>36</v>
      </c>
    </row>
    <row r="18" spans="1:16">
      <c r="A18" s="14">
        <v>14</v>
      </c>
      <c r="B18" s="15" t="s">
        <v>37</v>
      </c>
      <c r="C18" s="16">
        <f>'Медикаменты Январь_2'!L18</f>
        <v>137</v>
      </c>
      <c r="D18" s="17"/>
      <c r="E18" s="14"/>
      <c r="F18" s="18"/>
      <c r="G18" s="19"/>
      <c r="H18" s="20"/>
      <c r="I18" s="21"/>
      <c r="J18" s="14"/>
      <c r="K18" s="14">
        <f t="shared" si="0"/>
        <v>0</v>
      </c>
      <c r="L18" s="16">
        <f t="shared" si="1"/>
        <v>137</v>
      </c>
      <c r="M18" s="22">
        <v>44348</v>
      </c>
      <c r="N18" s="23" t="s">
        <v>16</v>
      </c>
      <c r="O18" s="24" t="s">
        <v>17</v>
      </c>
      <c r="P18" s="23" t="s">
        <v>38</v>
      </c>
    </row>
    <row r="19" spans="1:16">
      <c r="A19" s="14">
        <v>15</v>
      </c>
      <c r="B19" s="15" t="s">
        <v>39</v>
      </c>
      <c r="C19" s="16">
        <f>'Медикаменты Январь_2'!L19</f>
        <v>6</v>
      </c>
      <c r="D19" s="17"/>
      <c r="E19" s="14"/>
      <c r="F19" s="18"/>
      <c r="G19" s="19"/>
      <c r="H19" s="20"/>
      <c r="I19" s="21"/>
      <c r="J19" s="14"/>
      <c r="K19" s="14">
        <f t="shared" si="0"/>
        <v>0</v>
      </c>
      <c r="L19" s="16">
        <f t="shared" si="1"/>
        <v>6</v>
      </c>
      <c r="M19" s="22">
        <v>44409</v>
      </c>
      <c r="N19" s="23" t="s">
        <v>16</v>
      </c>
      <c r="O19" s="24" t="s">
        <v>17</v>
      </c>
      <c r="P19" s="23" t="s">
        <v>40</v>
      </c>
    </row>
    <row r="20" spans="1:16" ht="25.5">
      <c r="A20" s="14">
        <v>16</v>
      </c>
      <c r="B20" s="15" t="s">
        <v>41</v>
      </c>
      <c r="C20" s="16">
        <f>'Медикаменты Январь_2'!L20</f>
        <v>25</v>
      </c>
      <c r="D20" s="17"/>
      <c r="E20" s="14"/>
      <c r="F20" s="18">
        <f>2+3+2+2</f>
        <v>9</v>
      </c>
      <c r="G20" s="19"/>
      <c r="H20" s="20"/>
      <c r="I20" s="21"/>
      <c r="J20" s="14"/>
      <c r="K20" s="14">
        <f t="shared" si="0"/>
        <v>9</v>
      </c>
      <c r="L20" s="16">
        <f t="shared" si="1"/>
        <v>16</v>
      </c>
      <c r="M20" s="22">
        <v>44743</v>
      </c>
      <c r="N20" s="23" t="s">
        <v>16</v>
      </c>
      <c r="O20" s="24" t="s">
        <v>17</v>
      </c>
      <c r="P20" s="23" t="s">
        <v>42</v>
      </c>
    </row>
    <row r="21" spans="1:16">
      <c r="A21" s="14">
        <v>17</v>
      </c>
      <c r="B21" s="15" t="s">
        <v>43</v>
      </c>
      <c r="C21" s="16">
        <f>'Медикаменты Январь_2'!L21</f>
        <v>0</v>
      </c>
      <c r="D21" s="17"/>
      <c r="E21" s="14"/>
      <c r="F21" s="18"/>
      <c r="G21" s="19"/>
      <c r="H21" s="20"/>
      <c r="I21" s="21"/>
      <c r="J21" s="14"/>
      <c r="K21" s="14">
        <f t="shared" si="0"/>
        <v>0</v>
      </c>
      <c r="L21" s="16">
        <f t="shared" si="1"/>
        <v>0</v>
      </c>
      <c r="M21" s="22"/>
      <c r="N21" s="23" t="s">
        <v>16</v>
      </c>
      <c r="O21" s="24"/>
      <c r="P21" s="25"/>
    </row>
    <row r="22" spans="1:16">
      <c r="A22" s="14">
        <v>18</v>
      </c>
      <c r="B22" s="15" t="s">
        <v>44</v>
      </c>
      <c r="C22" s="16">
        <f>'Медикаменты Январь_2'!L22</f>
        <v>4</v>
      </c>
      <c r="D22" s="17"/>
      <c r="E22" s="14"/>
      <c r="F22" s="18"/>
      <c r="G22" s="19"/>
      <c r="H22" s="20"/>
      <c r="I22" s="21"/>
      <c r="J22" s="14"/>
      <c r="K22" s="14">
        <f t="shared" si="0"/>
        <v>0</v>
      </c>
      <c r="L22" s="16">
        <f t="shared" si="1"/>
        <v>4</v>
      </c>
      <c r="M22" s="22">
        <v>44621</v>
      </c>
      <c r="N22" s="23" t="s">
        <v>16</v>
      </c>
      <c r="O22" s="24" t="s">
        <v>45</v>
      </c>
      <c r="P22" s="23" t="s">
        <v>46</v>
      </c>
    </row>
    <row r="23" spans="1:16">
      <c r="A23" s="14">
        <v>19</v>
      </c>
      <c r="B23" s="15" t="s">
        <v>44</v>
      </c>
      <c r="C23" s="16">
        <f>'Медикаменты Январь_2'!L23</f>
        <v>0</v>
      </c>
      <c r="D23" s="17"/>
      <c r="E23" s="14"/>
      <c r="F23" s="18"/>
      <c r="G23" s="19"/>
      <c r="H23" s="20"/>
      <c r="I23" s="21"/>
      <c r="J23" s="14"/>
      <c r="K23" s="14">
        <f t="shared" si="0"/>
        <v>0</v>
      </c>
      <c r="L23" s="16">
        <f t="shared" si="1"/>
        <v>0</v>
      </c>
      <c r="M23" s="22">
        <v>44621</v>
      </c>
      <c r="N23" s="23" t="s">
        <v>26</v>
      </c>
      <c r="O23" s="24"/>
      <c r="P23" s="23" t="s">
        <v>46</v>
      </c>
    </row>
    <row r="24" spans="1:16">
      <c r="A24" s="14">
        <v>20</v>
      </c>
      <c r="B24" s="15" t="s">
        <v>47</v>
      </c>
      <c r="C24" s="16">
        <f>'Медикаменты Январь_2'!L24</f>
        <v>179</v>
      </c>
      <c r="D24" s="17"/>
      <c r="E24" s="14"/>
      <c r="F24" s="18"/>
      <c r="G24" s="19"/>
      <c r="H24" s="20"/>
      <c r="I24" s="21"/>
      <c r="J24" s="14"/>
      <c r="K24" s="14">
        <f t="shared" si="0"/>
        <v>0</v>
      </c>
      <c r="L24" s="16">
        <f t="shared" si="1"/>
        <v>179</v>
      </c>
      <c r="M24" s="22">
        <v>44348</v>
      </c>
      <c r="N24" s="23" t="s">
        <v>16</v>
      </c>
      <c r="O24" s="24" t="s">
        <v>45</v>
      </c>
      <c r="P24" s="23" t="s">
        <v>48</v>
      </c>
    </row>
    <row r="25" spans="1:16">
      <c r="A25" s="14">
        <v>21</v>
      </c>
      <c r="B25" s="15" t="s">
        <v>49</v>
      </c>
      <c r="C25" s="16">
        <f>'Медикаменты Январь_2'!L25</f>
        <v>0</v>
      </c>
      <c r="D25" s="17"/>
      <c r="E25" s="14"/>
      <c r="F25" s="18"/>
      <c r="G25" s="19"/>
      <c r="H25" s="20"/>
      <c r="I25" s="21"/>
      <c r="J25" s="14"/>
      <c r="K25" s="14">
        <f t="shared" si="0"/>
        <v>0</v>
      </c>
      <c r="L25" s="16">
        <f t="shared" si="1"/>
        <v>0</v>
      </c>
      <c r="M25" s="22">
        <v>44652</v>
      </c>
      <c r="N25" s="23" t="s">
        <v>16</v>
      </c>
      <c r="O25" s="24"/>
      <c r="P25" s="23" t="s">
        <v>50</v>
      </c>
    </row>
    <row r="26" spans="1:16">
      <c r="A26" s="14">
        <v>22</v>
      </c>
      <c r="B26" s="15" t="s">
        <v>51</v>
      </c>
      <c r="C26" s="16">
        <f>'Медикаменты Январь_2'!L26</f>
        <v>22</v>
      </c>
      <c r="D26" s="17"/>
      <c r="E26" s="14"/>
      <c r="F26" s="18">
        <f>5</f>
        <v>5</v>
      </c>
      <c r="G26" s="19"/>
      <c r="H26" s="20"/>
      <c r="I26" s="21"/>
      <c r="J26" s="14"/>
      <c r="K26" s="14">
        <f t="shared" si="0"/>
        <v>5</v>
      </c>
      <c r="L26" s="16">
        <f t="shared" si="1"/>
        <v>17</v>
      </c>
      <c r="M26" s="22">
        <v>44317</v>
      </c>
      <c r="N26" s="23" t="s">
        <v>16</v>
      </c>
      <c r="O26" s="24" t="s">
        <v>17</v>
      </c>
      <c r="P26" s="23" t="s">
        <v>52</v>
      </c>
    </row>
    <row r="27" spans="1:16">
      <c r="A27" s="14">
        <v>23</v>
      </c>
      <c r="B27" s="15" t="s">
        <v>53</v>
      </c>
      <c r="C27" s="16">
        <f>'Медикаменты Январь_2'!L27</f>
        <v>0</v>
      </c>
      <c r="D27" s="17"/>
      <c r="E27" s="14"/>
      <c r="F27" s="18"/>
      <c r="G27" s="19"/>
      <c r="H27" s="20"/>
      <c r="I27" s="21"/>
      <c r="J27" s="14"/>
      <c r="K27" s="14">
        <f t="shared" si="0"/>
        <v>0</v>
      </c>
      <c r="L27" s="16">
        <f t="shared" si="1"/>
        <v>0</v>
      </c>
      <c r="M27" s="22"/>
      <c r="N27" s="23" t="s">
        <v>16</v>
      </c>
      <c r="O27" s="24"/>
      <c r="P27" s="25"/>
    </row>
    <row r="28" spans="1:16">
      <c r="A28" s="14">
        <v>24</v>
      </c>
      <c r="B28" s="15" t="s">
        <v>54</v>
      </c>
      <c r="C28" s="16">
        <f>'Медикаменты Январь_2'!L28</f>
        <v>0</v>
      </c>
      <c r="D28" s="17"/>
      <c r="E28" s="14"/>
      <c r="F28" s="18"/>
      <c r="G28" s="19"/>
      <c r="H28" s="20"/>
      <c r="I28" s="21"/>
      <c r="J28" s="14"/>
      <c r="K28" s="14">
        <f t="shared" si="0"/>
        <v>0</v>
      </c>
      <c r="L28" s="16">
        <f t="shared" si="1"/>
        <v>0</v>
      </c>
      <c r="M28" s="22"/>
      <c r="N28" s="23" t="s">
        <v>16</v>
      </c>
      <c r="O28" s="24"/>
      <c r="P28" s="25"/>
    </row>
    <row r="29" spans="1:16">
      <c r="A29" s="14">
        <v>25</v>
      </c>
      <c r="B29" s="15" t="s">
        <v>55</v>
      </c>
      <c r="C29" s="16">
        <f>'Медикаменты Январь_2'!L29</f>
        <v>0</v>
      </c>
      <c r="D29" s="17"/>
      <c r="E29" s="14"/>
      <c r="F29" s="18"/>
      <c r="G29" s="19"/>
      <c r="H29" s="20"/>
      <c r="I29" s="21"/>
      <c r="J29" s="14"/>
      <c r="K29" s="14">
        <f t="shared" si="0"/>
        <v>0</v>
      </c>
      <c r="L29" s="16">
        <f t="shared" si="1"/>
        <v>0</v>
      </c>
      <c r="M29" s="22"/>
      <c r="N29" s="23" t="s">
        <v>16</v>
      </c>
      <c r="O29" s="24"/>
      <c r="P29" s="25"/>
    </row>
    <row r="30" spans="1:16">
      <c r="A30" s="14">
        <v>26</v>
      </c>
      <c r="B30" s="15" t="s">
        <v>56</v>
      </c>
      <c r="C30" s="16">
        <f>'Медикаменты Январь_2'!L30</f>
        <v>0</v>
      </c>
      <c r="D30" s="17"/>
      <c r="E30" s="14"/>
      <c r="F30" s="18"/>
      <c r="G30" s="19"/>
      <c r="H30" s="20"/>
      <c r="I30" s="21"/>
      <c r="J30" s="14"/>
      <c r="K30" s="14">
        <f t="shared" si="0"/>
        <v>0</v>
      </c>
      <c r="L30" s="16">
        <f t="shared" si="1"/>
        <v>0</v>
      </c>
      <c r="M30" s="22">
        <v>44743</v>
      </c>
      <c r="N30" s="23" t="s">
        <v>16</v>
      </c>
      <c r="O30" s="24"/>
      <c r="P30" s="25"/>
    </row>
    <row r="31" spans="1:16">
      <c r="A31" s="14">
        <v>27</v>
      </c>
      <c r="B31" s="15" t="s">
        <v>57</v>
      </c>
      <c r="C31" s="16">
        <f>'Медикаменты Январь_2'!L31</f>
        <v>0</v>
      </c>
      <c r="D31" s="17"/>
      <c r="E31" s="14"/>
      <c r="F31" s="18"/>
      <c r="G31" s="19"/>
      <c r="H31" s="20"/>
      <c r="I31" s="21"/>
      <c r="J31" s="14"/>
      <c r="K31" s="14">
        <f t="shared" si="0"/>
        <v>0</v>
      </c>
      <c r="L31" s="16">
        <f t="shared" si="1"/>
        <v>0</v>
      </c>
      <c r="M31" s="22">
        <v>44958</v>
      </c>
      <c r="N31" s="23" t="s">
        <v>16</v>
      </c>
      <c r="O31" s="24"/>
      <c r="P31" s="23" t="s">
        <v>58</v>
      </c>
    </row>
    <row r="32" spans="1:16" ht="25.5">
      <c r="A32" s="14">
        <v>28</v>
      </c>
      <c r="B32" s="15" t="s">
        <v>59</v>
      </c>
      <c r="C32" s="16">
        <f>'Медикаменты Январь_2'!L32</f>
        <v>0</v>
      </c>
      <c r="D32" s="17"/>
      <c r="E32" s="14"/>
      <c r="F32" s="18"/>
      <c r="G32" s="19"/>
      <c r="H32" s="20"/>
      <c r="I32" s="21"/>
      <c r="J32" s="14"/>
      <c r="K32" s="14">
        <f t="shared" si="0"/>
        <v>0</v>
      </c>
      <c r="L32" s="16">
        <f t="shared" si="1"/>
        <v>0</v>
      </c>
      <c r="M32" s="22">
        <v>44044</v>
      </c>
      <c r="N32" s="23" t="s">
        <v>16</v>
      </c>
      <c r="O32" s="24"/>
      <c r="P32" s="23" t="s">
        <v>60</v>
      </c>
    </row>
    <row r="33" spans="1:16">
      <c r="A33" s="14">
        <v>29</v>
      </c>
      <c r="B33" s="15" t="s">
        <v>61</v>
      </c>
      <c r="C33" s="16">
        <f>'Медикаменты Январь_2'!L33</f>
        <v>0</v>
      </c>
      <c r="D33" s="17"/>
      <c r="E33" s="14"/>
      <c r="F33" s="18"/>
      <c r="G33" s="19"/>
      <c r="H33" s="20"/>
      <c r="I33" s="21"/>
      <c r="J33" s="14"/>
      <c r="K33" s="14">
        <f t="shared" si="0"/>
        <v>0</v>
      </c>
      <c r="L33" s="16">
        <f t="shared" si="1"/>
        <v>0</v>
      </c>
      <c r="M33" s="22">
        <v>44713</v>
      </c>
      <c r="N33" s="23" t="s">
        <v>16</v>
      </c>
      <c r="O33" s="24"/>
      <c r="P33" s="23" t="s">
        <v>62</v>
      </c>
    </row>
    <row r="34" spans="1:16">
      <c r="A34" s="14">
        <v>30</v>
      </c>
      <c r="B34" s="15" t="s">
        <v>63</v>
      </c>
      <c r="C34" s="16">
        <f>'Медикаменты Январь_2'!L34</f>
        <v>0</v>
      </c>
      <c r="D34" s="17"/>
      <c r="E34" s="14"/>
      <c r="F34" s="18"/>
      <c r="G34" s="19"/>
      <c r="H34" s="20"/>
      <c r="I34" s="21"/>
      <c r="J34" s="14"/>
      <c r="K34" s="14">
        <f t="shared" si="0"/>
        <v>0</v>
      </c>
      <c r="L34" s="16">
        <f t="shared" si="1"/>
        <v>0</v>
      </c>
      <c r="M34" s="22"/>
      <c r="N34" s="23" t="s">
        <v>16</v>
      </c>
      <c r="O34" s="24"/>
      <c r="P34" s="25"/>
    </row>
    <row r="35" spans="1:16">
      <c r="A35" s="14">
        <v>31</v>
      </c>
      <c r="B35" s="15" t="s">
        <v>64</v>
      </c>
      <c r="C35" s="16">
        <f>'Медикаменты Январь_2'!L35</f>
        <v>0</v>
      </c>
      <c r="D35" s="17"/>
      <c r="E35" s="14"/>
      <c r="F35" s="18"/>
      <c r="G35" s="19"/>
      <c r="H35" s="20"/>
      <c r="I35" s="21"/>
      <c r="J35" s="14"/>
      <c r="K35" s="14">
        <f t="shared" si="0"/>
        <v>0</v>
      </c>
      <c r="L35" s="16">
        <f t="shared" si="1"/>
        <v>0</v>
      </c>
      <c r="M35" s="22"/>
      <c r="N35" s="23" t="s">
        <v>16</v>
      </c>
      <c r="O35" s="24"/>
      <c r="P35" s="25"/>
    </row>
    <row r="36" spans="1:16">
      <c r="A36" s="14">
        <v>32</v>
      </c>
      <c r="B36" s="15" t="s">
        <v>65</v>
      </c>
      <c r="C36" s="16">
        <f>'Медикаменты Январь_2'!L36</f>
        <v>86</v>
      </c>
      <c r="D36" s="17"/>
      <c r="E36" s="14"/>
      <c r="F36" s="18"/>
      <c r="G36" s="19"/>
      <c r="H36" s="20"/>
      <c r="I36" s="21"/>
      <c r="J36" s="14"/>
      <c r="K36" s="14">
        <f t="shared" si="0"/>
        <v>0</v>
      </c>
      <c r="L36" s="16">
        <f t="shared" si="1"/>
        <v>86</v>
      </c>
      <c r="M36" s="22">
        <v>45261</v>
      </c>
      <c r="N36" s="23" t="s">
        <v>16</v>
      </c>
      <c r="O36" s="24" t="s">
        <v>17</v>
      </c>
      <c r="P36" s="23" t="s">
        <v>66</v>
      </c>
    </row>
    <row r="37" spans="1:16">
      <c r="A37" s="14">
        <v>33</v>
      </c>
      <c r="B37" s="15" t="s">
        <v>67</v>
      </c>
      <c r="C37" s="16">
        <f>'Медикаменты Январь_2'!L37</f>
        <v>0</v>
      </c>
      <c r="D37" s="17"/>
      <c r="E37" s="14"/>
      <c r="F37" s="18"/>
      <c r="G37" s="19"/>
      <c r="H37" s="20"/>
      <c r="I37" s="21"/>
      <c r="J37" s="14"/>
      <c r="K37" s="14">
        <f t="shared" si="0"/>
        <v>0</v>
      </c>
      <c r="L37" s="16">
        <f t="shared" si="1"/>
        <v>0</v>
      </c>
      <c r="M37" s="22">
        <v>44013</v>
      </c>
      <c r="N37" s="23" t="s">
        <v>16</v>
      </c>
      <c r="O37" s="24"/>
      <c r="P37" s="27" t="s">
        <v>68</v>
      </c>
    </row>
    <row r="38" spans="1:16">
      <c r="A38" s="14">
        <v>34</v>
      </c>
      <c r="B38" s="15" t="s">
        <v>69</v>
      </c>
      <c r="C38" s="16">
        <f>'Медикаменты Январь_2'!L38</f>
        <v>27</v>
      </c>
      <c r="D38" s="17"/>
      <c r="E38" s="14"/>
      <c r="F38" s="18">
        <f>3</f>
        <v>3</v>
      </c>
      <c r="G38" s="19"/>
      <c r="H38" s="20"/>
      <c r="I38" s="21"/>
      <c r="J38" s="14"/>
      <c r="K38" s="14">
        <f t="shared" si="0"/>
        <v>3</v>
      </c>
      <c r="L38" s="16">
        <f t="shared" si="1"/>
        <v>24</v>
      </c>
      <c r="M38" s="22">
        <v>45383</v>
      </c>
      <c r="N38" s="23" t="s">
        <v>16</v>
      </c>
      <c r="O38" s="24" t="s">
        <v>17</v>
      </c>
      <c r="P38" s="23" t="s">
        <v>70</v>
      </c>
    </row>
    <row r="39" spans="1:16">
      <c r="A39" s="14">
        <v>35</v>
      </c>
      <c r="B39" s="15" t="s">
        <v>71</v>
      </c>
      <c r="C39" s="16">
        <f>'Медикаменты Январь_2'!L39</f>
        <v>0</v>
      </c>
      <c r="D39" s="17"/>
      <c r="E39" s="14"/>
      <c r="F39" s="18"/>
      <c r="G39" s="19"/>
      <c r="H39" s="20"/>
      <c r="I39" s="21"/>
      <c r="J39" s="14"/>
      <c r="K39" s="14">
        <f t="shared" si="0"/>
        <v>0</v>
      </c>
      <c r="L39" s="16">
        <f t="shared" si="1"/>
        <v>0</v>
      </c>
      <c r="M39" s="22"/>
      <c r="N39" s="23" t="s">
        <v>16</v>
      </c>
      <c r="O39" s="24"/>
      <c r="P39" s="25"/>
    </row>
    <row r="40" spans="1:16">
      <c r="A40" s="14">
        <v>36</v>
      </c>
      <c r="B40" s="15" t="s">
        <v>72</v>
      </c>
      <c r="C40" s="16">
        <f>'Медикаменты Январь_2'!L40</f>
        <v>25</v>
      </c>
      <c r="D40" s="17"/>
      <c r="E40" s="14"/>
      <c r="F40" s="18"/>
      <c r="G40" s="19"/>
      <c r="H40" s="20">
        <f>10</f>
        <v>10</v>
      </c>
      <c r="I40" s="21"/>
      <c r="J40" s="14"/>
      <c r="K40" s="14">
        <f t="shared" si="0"/>
        <v>10</v>
      </c>
      <c r="L40" s="16">
        <f t="shared" si="1"/>
        <v>15</v>
      </c>
      <c r="M40" s="22">
        <v>44652</v>
      </c>
      <c r="N40" s="23" t="s">
        <v>16</v>
      </c>
      <c r="O40" s="24" t="s">
        <v>17</v>
      </c>
      <c r="P40" s="23" t="s">
        <v>73</v>
      </c>
    </row>
    <row r="41" spans="1:16">
      <c r="A41" s="14">
        <v>37</v>
      </c>
      <c r="B41" s="15" t="s">
        <v>74</v>
      </c>
      <c r="C41" s="16">
        <f>'Медикаменты Январь_2'!L41</f>
        <v>18</v>
      </c>
      <c r="D41" s="17"/>
      <c r="E41" s="14"/>
      <c r="F41" s="18">
        <f>8+3</f>
        <v>11</v>
      </c>
      <c r="G41" s="19"/>
      <c r="H41" s="20"/>
      <c r="I41" s="21"/>
      <c r="J41" s="14"/>
      <c r="K41" s="14">
        <f t="shared" si="0"/>
        <v>11</v>
      </c>
      <c r="L41" s="16">
        <f t="shared" si="1"/>
        <v>7</v>
      </c>
      <c r="M41" s="22">
        <v>45108</v>
      </c>
      <c r="N41" s="23" t="s">
        <v>16</v>
      </c>
      <c r="O41" s="24" t="s">
        <v>17</v>
      </c>
      <c r="P41" s="23" t="s">
        <v>75</v>
      </c>
    </row>
    <row r="42" spans="1:16">
      <c r="A42" s="14">
        <v>38</v>
      </c>
      <c r="B42" s="15" t="s">
        <v>76</v>
      </c>
      <c r="C42" s="16">
        <f>'Медикаменты Январь_2'!L42</f>
        <v>0</v>
      </c>
      <c r="D42" s="17"/>
      <c r="E42" s="14"/>
      <c r="F42" s="18"/>
      <c r="G42" s="19"/>
      <c r="H42" s="20"/>
      <c r="I42" s="21"/>
      <c r="J42" s="14"/>
      <c r="K42" s="14">
        <f t="shared" si="0"/>
        <v>0</v>
      </c>
      <c r="L42" s="16">
        <f t="shared" si="1"/>
        <v>0</v>
      </c>
      <c r="M42" s="22"/>
      <c r="N42" s="23" t="s">
        <v>16</v>
      </c>
      <c r="O42" s="24"/>
      <c r="P42" s="25"/>
    </row>
    <row r="43" spans="1:16">
      <c r="A43" s="14">
        <v>39</v>
      </c>
      <c r="B43" s="15" t="s">
        <v>77</v>
      </c>
      <c r="C43" s="16">
        <f>'Медикаменты Январь_2'!L43</f>
        <v>0</v>
      </c>
      <c r="D43" s="17"/>
      <c r="E43" s="14"/>
      <c r="F43" s="18"/>
      <c r="G43" s="19"/>
      <c r="H43" s="20"/>
      <c r="I43" s="21"/>
      <c r="J43" s="14"/>
      <c r="K43" s="14">
        <f t="shared" si="0"/>
        <v>0</v>
      </c>
      <c r="L43" s="16">
        <f t="shared" si="1"/>
        <v>0</v>
      </c>
      <c r="M43" s="22"/>
      <c r="N43" s="23" t="s">
        <v>16</v>
      </c>
      <c r="O43" s="24"/>
      <c r="P43" s="25"/>
    </row>
    <row r="44" spans="1:16">
      <c r="A44" s="14">
        <v>40</v>
      </c>
      <c r="B44" s="15" t="s">
        <v>78</v>
      </c>
      <c r="C44" s="16">
        <f>'Медикаменты Январь_2'!L44</f>
        <v>0</v>
      </c>
      <c r="D44" s="17"/>
      <c r="E44" s="14"/>
      <c r="F44" s="18"/>
      <c r="G44" s="19"/>
      <c r="H44" s="20"/>
      <c r="I44" s="21"/>
      <c r="J44" s="14"/>
      <c r="K44" s="14">
        <f t="shared" si="0"/>
        <v>0</v>
      </c>
      <c r="L44" s="16">
        <f t="shared" si="1"/>
        <v>0</v>
      </c>
      <c r="M44" s="22">
        <v>44136</v>
      </c>
      <c r="N44" s="23" t="s">
        <v>16</v>
      </c>
      <c r="O44" s="24"/>
      <c r="P44" s="23" t="s">
        <v>79</v>
      </c>
    </row>
    <row r="45" spans="1:16">
      <c r="A45" s="14">
        <v>41</v>
      </c>
      <c r="B45" s="15" t="s">
        <v>80</v>
      </c>
      <c r="C45" s="16">
        <f>'Медикаменты Январь_2'!L45</f>
        <v>0</v>
      </c>
      <c r="D45" s="17"/>
      <c r="E45" s="14"/>
      <c r="F45" s="18"/>
      <c r="G45" s="19"/>
      <c r="H45" s="20"/>
      <c r="I45" s="21"/>
      <c r="J45" s="14"/>
      <c r="K45" s="14">
        <f t="shared" si="0"/>
        <v>0</v>
      </c>
      <c r="L45" s="16">
        <f t="shared" si="1"/>
        <v>0</v>
      </c>
      <c r="M45" s="22">
        <v>44317</v>
      </c>
      <c r="N45" s="23" t="s">
        <v>16</v>
      </c>
      <c r="O45" s="24" t="s">
        <v>17</v>
      </c>
      <c r="P45" s="23" t="s">
        <v>81</v>
      </c>
    </row>
    <row r="46" spans="1:16">
      <c r="A46" s="14">
        <v>42</v>
      </c>
      <c r="B46" s="15" t="s">
        <v>82</v>
      </c>
      <c r="C46" s="16">
        <f>'Медикаменты Январь_2'!L46</f>
        <v>0</v>
      </c>
      <c r="D46" s="17"/>
      <c r="E46" s="14"/>
      <c r="F46" s="18"/>
      <c r="G46" s="19"/>
      <c r="H46" s="20"/>
      <c r="I46" s="21"/>
      <c r="J46" s="14"/>
      <c r="K46" s="14">
        <f t="shared" si="0"/>
        <v>0</v>
      </c>
      <c r="L46" s="16">
        <f t="shared" si="1"/>
        <v>0</v>
      </c>
      <c r="M46" s="22"/>
      <c r="N46" s="23" t="s">
        <v>16</v>
      </c>
      <c r="O46" s="24"/>
      <c r="P46" s="25"/>
    </row>
    <row r="47" spans="1:16">
      <c r="A47" s="14">
        <v>43</v>
      </c>
      <c r="B47" s="15" t="s">
        <v>83</v>
      </c>
      <c r="C47" s="16">
        <f>'Медикаменты Январь_2'!L47</f>
        <v>66</v>
      </c>
      <c r="D47" s="17"/>
      <c r="E47" s="14"/>
      <c r="F47" s="18"/>
      <c r="G47" s="19"/>
      <c r="H47" s="20"/>
      <c r="I47" s="21">
        <f>20</f>
        <v>20</v>
      </c>
      <c r="J47" s="14"/>
      <c r="K47" s="14">
        <f t="shared" si="0"/>
        <v>20</v>
      </c>
      <c r="L47" s="16">
        <f t="shared" si="1"/>
        <v>46</v>
      </c>
      <c r="M47" s="22">
        <v>44317</v>
      </c>
      <c r="N47" s="23" t="s">
        <v>16</v>
      </c>
      <c r="O47" s="24" t="s">
        <v>17</v>
      </c>
      <c r="P47" s="23" t="s">
        <v>84</v>
      </c>
    </row>
    <row r="48" spans="1:16">
      <c r="A48" s="14">
        <v>44</v>
      </c>
      <c r="B48" s="15" t="s">
        <v>85</v>
      </c>
      <c r="C48" s="16">
        <f>'Медикаменты Январь_2'!L48</f>
        <v>94</v>
      </c>
      <c r="D48" s="17"/>
      <c r="E48" s="14"/>
      <c r="F48" s="18">
        <f>5</f>
        <v>5</v>
      </c>
      <c r="G48" s="19"/>
      <c r="H48" s="20"/>
      <c r="I48" s="21"/>
      <c r="J48" s="14"/>
      <c r="K48" s="14">
        <f t="shared" si="0"/>
        <v>5</v>
      </c>
      <c r="L48" s="16">
        <f t="shared" si="1"/>
        <v>89</v>
      </c>
      <c r="M48" s="22">
        <v>44409</v>
      </c>
      <c r="N48" s="23" t="s">
        <v>16</v>
      </c>
      <c r="O48" s="24" t="s">
        <v>17</v>
      </c>
      <c r="P48" s="23" t="s">
        <v>86</v>
      </c>
    </row>
    <row r="49" spans="1:16">
      <c r="A49" s="14">
        <v>45</v>
      </c>
      <c r="B49" s="15" t="s">
        <v>87</v>
      </c>
      <c r="C49" s="16">
        <f>'Медикаменты Январь_2'!L49</f>
        <v>0</v>
      </c>
      <c r="D49" s="17"/>
      <c r="E49" s="14"/>
      <c r="F49" s="18"/>
      <c r="G49" s="19"/>
      <c r="H49" s="20"/>
      <c r="I49" s="21"/>
      <c r="J49" s="14"/>
      <c r="K49" s="14">
        <f t="shared" si="0"/>
        <v>0</v>
      </c>
      <c r="L49" s="16">
        <f t="shared" si="1"/>
        <v>0</v>
      </c>
      <c r="M49" s="22">
        <v>44136</v>
      </c>
      <c r="N49" s="23" t="s">
        <v>16</v>
      </c>
      <c r="O49" s="24"/>
      <c r="P49" s="23" t="s">
        <v>88</v>
      </c>
    </row>
    <row r="50" spans="1:16">
      <c r="A50" s="14">
        <v>46</v>
      </c>
      <c r="B50" s="15" t="s">
        <v>89</v>
      </c>
      <c r="C50" s="16">
        <f>'Медикаменты Январь_2'!L50</f>
        <v>7</v>
      </c>
      <c r="D50" s="17"/>
      <c r="E50" s="14"/>
      <c r="F50" s="18">
        <f>7</f>
        <v>7</v>
      </c>
      <c r="G50" s="19"/>
      <c r="H50" s="20"/>
      <c r="I50" s="21"/>
      <c r="J50" s="14"/>
      <c r="K50" s="14">
        <f t="shared" si="0"/>
        <v>7</v>
      </c>
      <c r="L50" s="16">
        <f t="shared" si="1"/>
        <v>0</v>
      </c>
      <c r="M50" s="22">
        <v>44256</v>
      </c>
      <c r="N50" s="23" t="s">
        <v>16</v>
      </c>
      <c r="O50" s="24" t="s">
        <v>17</v>
      </c>
      <c r="P50" s="23" t="s">
        <v>90</v>
      </c>
    </row>
    <row r="51" spans="1:16">
      <c r="A51" s="14">
        <v>47</v>
      </c>
      <c r="B51" s="15" t="s">
        <v>91</v>
      </c>
      <c r="C51" s="16">
        <f>'Медикаменты Январь_2'!L51</f>
        <v>135</v>
      </c>
      <c r="D51" s="17"/>
      <c r="E51" s="14"/>
      <c r="F51" s="18">
        <f>3</f>
        <v>3</v>
      </c>
      <c r="G51" s="19"/>
      <c r="H51" s="20"/>
      <c r="I51" s="21"/>
      <c r="J51" s="14"/>
      <c r="K51" s="14">
        <f t="shared" si="0"/>
        <v>3</v>
      </c>
      <c r="L51" s="16">
        <f t="shared" si="1"/>
        <v>132</v>
      </c>
      <c r="M51" s="22">
        <v>44317</v>
      </c>
      <c r="N51" s="23" t="s">
        <v>16</v>
      </c>
      <c r="O51" s="24" t="s">
        <v>17</v>
      </c>
      <c r="P51" s="23" t="s">
        <v>92</v>
      </c>
    </row>
    <row r="52" spans="1:16">
      <c r="A52" s="14">
        <v>48</v>
      </c>
      <c r="B52" s="15" t="s">
        <v>93</v>
      </c>
      <c r="C52" s="16">
        <f>'Медикаменты Январь_2'!L52</f>
        <v>0</v>
      </c>
      <c r="D52" s="17"/>
      <c r="E52" s="14"/>
      <c r="F52" s="18"/>
      <c r="G52" s="19"/>
      <c r="H52" s="20"/>
      <c r="I52" s="21"/>
      <c r="J52" s="14"/>
      <c r="K52" s="14">
        <f t="shared" si="0"/>
        <v>0</v>
      </c>
      <c r="L52" s="16">
        <f t="shared" si="1"/>
        <v>0</v>
      </c>
      <c r="M52" s="22">
        <v>44013</v>
      </c>
      <c r="N52" s="23" t="s">
        <v>16</v>
      </c>
      <c r="O52" s="24"/>
      <c r="P52" s="23" t="s">
        <v>94</v>
      </c>
    </row>
    <row r="53" spans="1:16">
      <c r="A53" s="14">
        <v>49</v>
      </c>
      <c r="B53" s="15" t="s">
        <v>95</v>
      </c>
      <c r="C53" s="16">
        <f>'Медикаменты Январь_2'!L53</f>
        <v>39</v>
      </c>
      <c r="D53" s="17"/>
      <c r="E53" s="14"/>
      <c r="F53" s="18"/>
      <c r="G53" s="19"/>
      <c r="H53" s="20"/>
      <c r="I53" s="21"/>
      <c r="J53" s="14"/>
      <c r="K53" s="14">
        <f t="shared" si="0"/>
        <v>0</v>
      </c>
      <c r="L53" s="16">
        <f t="shared" si="1"/>
        <v>39</v>
      </c>
      <c r="M53" s="22">
        <v>44986</v>
      </c>
      <c r="N53" s="23" t="s">
        <v>16</v>
      </c>
      <c r="O53" s="24" t="s">
        <v>45</v>
      </c>
      <c r="P53" s="23" t="s">
        <v>96</v>
      </c>
    </row>
    <row r="54" spans="1:16">
      <c r="A54" s="14">
        <v>50</v>
      </c>
      <c r="B54" s="15" t="s">
        <v>97</v>
      </c>
      <c r="C54" s="16">
        <f>'Медикаменты Январь_2'!L54</f>
        <v>0</v>
      </c>
      <c r="D54" s="17"/>
      <c r="E54" s="14"/>
      <c r="F54" s="18"/>
      <c r="G54" s="19"/>
      <c r="H54" s="20"/>
      <c r="I54" s="21"/>
      <c r="J54" s="14"/>
      <c r="K54" s="14">
        <f t="shared" si="0"/>
        <v>0</v>
      </c>
      <c r="L54" s="16">
        <f t="shared" si="1"/>
        <v>0</v>
      </c>
      <c r="M54" s="22">
        <v>44866</v>
      </c>
      <c r="N54" s="23" t="s">
        <v>16</v>
      </c>
      <c r="O54" s="24"/>
      <c r="P54" s="23" t="s">
        <v>98</v>
      </c>
    </row>
    <row r="55" spans="1:16">
      <c r="A55" s="14">
        <v>51</v>
      </c>
      <c r="B55" s="15" t="s">
        <v>99</v>
      </c>
      <c r="C55" s="16">
        <f>'Медикаменты Январь_2'!L55</f>
        <v>0</v>
      </c>
      <c r="D55" s="17"/>
      <c r="E55" s="14"/>
      <c r="F55" s="18"/>
      <c r="G55" s="19"/>
      <c r="H55" s="20"/>
      <c r="I55" s="21"/>
      <c r="J55" s="14"/>
      <c r="K55" s="14">
        <f t="shared" si="0"/>
        <v>0</v>
      </c>
      <c r="L55" s="16">
        <f t="shared" si="1"/>
        <v>0</v>
      </c>
      <c r="M55" s="22"/>
      <c r="N55" s="23" t="s">
        <v>16</v>
      </c>
      <c r="O55" s="24"/>
      <c r="P55" s="25"/>
    </row>
    <row r="56" spans="1:16">
      <c r="A56" s="14">
        <v>52</v>
      </c>
      <c r="B56" s="15" t="s">
        <v>100</v>
      </c>
      <c r="C56" s="16">
        <f>'Медикаменты Январь_2'!L56</f>
        <v>20</v>
      </c>
      <c r="D56" s="17"/>
      <c r="E56" s="14"/>
      <c r="F56" s="18"/>
      <c r="G56" s="19"/>
      <c r="H56" s="20"/>
      <c r="I56" s="21">
        <f>20</f>
        <v>20</v>
      </c>
      <c r="J56" s="14"/>
      <c r="K56" s="14">
        <f t="shared" si="0"/>
        <v>20</v>
      </c>
      <c r="L56" s="16">
        <f t="shared" si="1"/>
        <v>0</v>
      </c>
      <c r="M56" s="22"/>
      <c r="N56" s="23" t="s">
        <v>26</v>
      </c>
      <c r="O56" s="24" t="s">
        <v>17</v>
      </c>
      <c r="P56" s="23" t="s">
        <v>101</v>
      </c>
    </row>
    <row r="57" spans="1:16">
      <c r="A57" s="14">
        <v>53</v>
      </c>
      <c r="B57" s="15" t="s">
        <v>102</v>
      </c>
      <c r="C57" s="16">
        <f>'Медикаменты Январь_2'!L57</f>
        <v>37</v>
      </c>
      <c r="D57" s="17"/>
      <c r="E57" s="14"/>
      <c r="F57" s="18"/>
      <c r="G57" s="19"/>
      <c r="H57" s="20"/>
      <c r="I57" s="21"/>
      <c r="J57" s="14"/>
      <c r="K57" s="14">
        <f t="shared" si="0"/>
        <v>0</v>
      </c>
      <c r="L57" s="16">
        <f t="shared" si="1"/>
        <v>37</v>
      </c>
      <c r="M57" s="22">
        <v>44866</v>
      </c>
      <c r="N57" s="23" t="s">
        <v>16</v>
      </c>
      <c r="O57" s="24" t="s">
        <v>45</v>
      </c>
      <c r="P57" s="23" t="s">
        <v>103</v>
      </c>
    </row>
    <row r="58" spans="1:16">
      <c r="A58" s="14">
        <v>54</v>
      </c>
      <c r="B58" s="15" t="s">
        <v>102</v>
      </c>
      <c r="C58" s="16">
        <f>'Медикаменты Январь_2'!L58</f>
        <v>0</v>
      </c>
      <c r="D58" s="17"/>
      <c r="E58" s="14"/>
      <c r="F58" s="18"/>
      <c r="G58" s="19"/>
      <c r="H58" s="20"/>
      <c r="I58" s="21"/>
      <c r="J58" s="14"/>
      <c r="K58" s="14">
        <f t="shared" si="0"/>
        <v>0</v>
      </c>
      <c r="L58" s="16">
        <f t="shared" si="1"/>
        <v>0</v>
      </c>
      <c r="M58" s="22">
        <v>44866</v>
      </c>
      <c r="N58" s="23" t="s">
        <v>26</v>
      </c>
      <c r="O58" s="24"/>
      <c r="P58" s="23" t="s">
        <v>103</v>
      </c>
    </row>
    <row r="59" spans="1:16">
      <c r="A59" s="14">
        <v>55</v>
      </c>
      <c r="B59" s="15" t="s">
        <v>104</v>
      </c>
      <c r="C59" s="16">
        <f>'Медикаменты Январь_2'!L59</f>
        <v>0</v>
      </c>
      <c r="D59" s="17"/>
      <c r="E59" s="14"/>
      <c r="F59" s="18"/>
      <c r="G59" s="19"/>
      <c r="H59" s="20"/>
      <c r="I59" s="21"/>
      <c r="J59" s="14"/>
      <c r="K59" s="14">
        <f t="shared" si="0"/>
        <v>0</v>
      </c>
      <c r="L59" s="16">
        <f t="shared" si="1"/>
        <v>0</v>
      </c>
      <c r="M59" s="22"/>
      <c r="N59" s="23" t="s">
        <v>16</v>
      </c>
      <c r="O59" s="24"/>
      <c r="P59" s="25"/>
    </row>
    <row r="60" spans="1:16">
      <c r="A60" s="14">
        <v>56</v>
      </c>
      <c r="B60" s="15" t="s">
        <v>104</v>
      </c>
      <c r="C60" s="16">
        <f>'Медикаменты Январь_2'!L60</f>
        <v>0</v>
      </c>
      <c r="D60" s="17"/>
      <c r="E60" s="14"/>
      <c r="F60" s="18"/>
      <c r="G60" s="19"/>
      <c r="H60" s="20"/>
      <c r="I60" s="21"/>
      <c r="J60" s="14"/>
      <c r="K60" s="14">
        <f t="shared" si="0"/>
        <v>0</v>
      </c>
      <c r="L60" s="16">
        <f t="shared" si="1"/>
        <v>0</v>
      </c>
      <c r="M60" s="22"/>
      <c r="N60" s="23" t="s">
        <v>26</v>
      </c>
      <c r="O60" s="24"/>
      <c r="P60" s="25"/>
    </row>
    <row r="61" spans="1:16">
      <c r="A61" s="14">
        <v>57</v>
      </c>
      <c r="B61" s="15" t="s">
        <v>105</v>
      </c>
      <c r="C61" s="16">
        <f>'Медикаменты Январь_2'!L61</f>
        <v>0</v>
      </c>
      <c r="D61" s="17"/>
      <c r="E61" s="14"/>
      <c r="F61" s="18"/>
      <c r="G61" s="19"/>
      <c r="H61" s="20"/>
      <c r="I61" s="21"/>
      <c r="J61" s="14"/>
      <c r="K61" s="14">
        <f t="shared" si="0"/>
        <v>0</v>
      </c>
      <c r="L61" s="16">
        <f t="shared" si="1"/>
        <v>0</v>
      </c>
      <c r="M61" s="22"/>
      <c r="N61" s="23" t="s">
        <v>16</v>
      </c>
      <c r="O61" s="24"/>
      <c r="P61" s="23" t="s">
        <v>106</v>
      </c>
    </row>
    <row r="62" spans="1:16">
      <c r="A62" s="14">
        <v>58</v>
      </c>
      <c r="B62" s="15" t="s">
        <v>105</v>
      </c>
      <c r="C62" s="16">
        <f>'Медикаменты Январь_2'!L62</f>
        <v>45</v>
      </c>
      <c r="D62" s="17"/>
      <c r="E62" s="14"/>
      <c r="F62" s="18">
        <f>10+5</f>
        <v>15</v>
      </c>
      <c r="G62" s="19"/>
      <c r="H62" s="20"/>
      <c r="I62" s="21"/>
      <c r="J62" s="14"/>
      <c r="K62" s="14">
        <f t="shared" si="0"/>
        <v>15</v>
      </c>
      <c r="L62" s="16">
        <f t="shared" si="1"/>
        <v>30</v>
      </c>
      <c r="M62" s="22">
        <v>44531</v>
      </c>
      <c r="N62" s="23" t="s">
        <v>16</v>
      </c>
      <c r="O62" s="24" t="s">
        <v>17</v>
      </c>
      <c r="P62" s="23" t="s">
        <v>106</v>
      </c>
    </row>
    <row r="63" spans="1:16">
      <c r="A63" s="14">
        <v>59</v>
      </c>
      <c r="B63" s="15" t="s">
        <v>107</v>
      </c>
      <c r="C63" s="16">
        <f>'Медикаменты Январь_2'!L63</f>
        <v>27</v>
      </c>
      <c r="D63" s="17"/>
      <c r="E63" s="14"/>
      <c r="F63" s="18">
        <f>5+5+5</f>
        <v>15</v>
      </c>
      <c r="G63" s="19"/>
      <c r="H63" s="20"/>
      <c r="I63" s="21"/>
      <c r="J63" s="14"/>
      <c r="K63" s="14">
        <f t="shared" si="0"/>
        <v>15</v>
      </c>
      <c r="L63" s="16">
        <f t="shared" si="1"/>
        <v>12</v>
      </c>
      <c r="M63" s="22">
        <v>44501</v>
      </c>
      <c r="N63" s="23" t="s">
        <v>16</v>
      </c>
      <c r="O63" s="24" t="s">
        <v>17</v>
      </c>
      <c r="P63" s="23" t="s">
        <v>108</v>
      </c>
    </row>
    <row r="64" spans="1:16">
      <c r="A64" s="14">
        <v>60</v>
      </c>
      <c r="B64" s="15" t="s">
        <v>109</v>
      </c>
      <c r="C64" s="16">
        <f>'Медикаменты Январь_2'!L64</f>
        <v>0</v>
      </c>
      <c r="D64" s="17"/>
      <c r="E64" s="14"/>
      <c r="F64" s="18"/>
      <c r="G64" s="19"/>
      <c r="H64" s="20"/>
      <c r="I64" s="21"/>
      <c r="J64" s="14"/>
      <c r="K64" s="14">
        <f t="shared" si="0"/>
        <v>0</v>
      </c>
      <c r="L64" s="16">
        <f t="shared" si="1"/>
        <v>0</v>
      </c>
      <c r="M64" s="22"/>
      <c r="N64" s="23" t="s">
        <v>16</v>
      </c>
      <c r="O64" s="24"/>
      <c r="P64" s="25"/>
    </row>
    <row r="65" spans="1:16">
      <c r="A65" s="14">
        <v>61</v>
      </c>
      <c r="B65" s="15" t="s">
        <v>110</v>
      </c>
      <c r="C65" s="16">
        <f>'Медикаменты Январь_2'!L65</f>
        <v>0</v>
      </c>
      <c r="D65" s="17"/>
      <c r="E65" s="14"/>
      <c r="F65" s="18"/>
      <c r="G65" s="19"/>
      <c r="H65" s="20"/>
      <c r="I65" s="21"/>
      <c r="J65" s="14"/>
      <c r="K65" s="14">
        <f t="shared" si="0"/>
        <v>0</v>
      </c>
      <c r="L65" s="16">
        <f t="shared" si="1"/>
        <v>0</v>
      </c>
      <c r="M65" s="22">
        <v>44682</v>
      </c>
      <c r="N65" s="23" t="s">
        <v>16</v>
      </c>
      <c r="O65" s="24"/>
      <c r="P65" s="25"/>
    </row>
    <row r="66" spans="1:16">
      <c r="A66" s="14">
        <v>62</v>
      </c>
      <c r="B66" s="15" t="s">
        <v>111</v>
      </c>
      <c r="C66" s="16">
        <f>'Медикаменты Январь_2'!L66</f>
        <v>202</v>
      </c>
      <c r="D66" s="17"/>
      <c r="E66" s="14"/>
      <c r="F66" s="18">
        <f>7+5+5</f>
        <v>17</v>
      </c>
      <c r="G66" s="19"/>
      <c r="H66" s="20"/>
      <c r="I66" s="21"/>
      <c r="J66" s="14"/>
      <c r="K66" s="14">
        <f t="shared" si="0"/>
        <v>17</v>
      </c>
      <c r="L66" s="16">
        <f t="shared" si="1"/>
        <v>185</v>
      </c>
      <c r="M66" s="22">
        <v>44958</v>
      </c>
      <c r="N66" s="23" t="s">
        <v>16</v>
      </c>
      <c r="O66" s="24" t="s">
        <v>17</v>
      </c>
      <c r="P66" s="23" t="s">
        <v>112</v>
      </c>
    </row>
    <row r="67" spans="1:16">
      <c r="A67" s="14">
        <v>63</v>
      </c>
      <c r="B67" s="15" t="s">
        <v>111</v>
      </c>
      <c r="C67" s="16">
        <f>'Медикаменты Январь_2'!L67</f>
        <v>0</v>
      </c>
      <c r="D67" s="17"/>
      <c r="E67" s="14"/>
      <c r="F67" s="18"/>
      <c r="G67" s="19"/>
      <c r="H67" s="20"/>
      <c r="I67" s="21"/>
      <c r="J67" s="14"/>
      <c r="K67" s="14">
        <f t="shared" si="0"/>
        <v>0</v>
      </c>
      <c r="L67" s="16">
        <f t="shared" si="1"/>
        <v>0</v>
      </c>
      <c r="M67" s="22">
        <v>44958</v>
      </c>
      <c r="N67" s="23" t="s">
        <v>26</v>
      </c>
      <c r="O67" s="24"/>
      <c r="P67" s="25"/>
    </row>
    <row r="68" spans="1:16">
      <c r="A68" s="14">
        <v>64</v>
      </c>
      <c r="B68" s="15" t="s">
        <v>113</v>
      </c>
      <c r="C68" s="16">
        <f>'Медикаменты Январь_2'!L68</f>
        <v>90</v>
      </c>
      <c r="D68" s="17"/>
      <c r="E68" s="14"/>
      <c r="F68" s="18"/>
      <c r="G68" s="19"/>
      <c r="H68" s="20"/>
      <c r="I68" s="21"/>
      <c r="J68" s="14"/>
      <c r="K68" s="14">
        <f t="shared" si="0"/>
        <v>0</v>
      </c>
      <c r="L68" s="16">
        <f t="shared" si="1"/>
        <v>90</v>
      </c>
      <c r="M68" s="22">
        <v>44986</v>
      </c>
      <c r="N68" s="23" t="s">
        <v>16</v>
      </c>
      <c r="O68" s="24" t="s">
        <v>17</v>
      </c>
      <c r="P68" s="23" t="s">
        <v>114</v>
      </c>
    </row>
    <row r="69" spans="1:16">
      <c r="A69" s="14">
        <v>65</v>
      </c>
      <c r="B69" s="15" t="s">
        <v>113</v>
      </c>
      <c r="C69" s="16">
        <f>'Медикаменты Январь_2'!L69</f>
        <v>0</v>
      </c>
      <c r="D69" s="17"/>
      <c r="E69" s="14"/>
      <c r="F69" s="18"/>
      <c r="G69" s="19"/>
      <c r="H69" s="20"/>
      <c r="I69" s="21"/>
      <c r="J69" s="14"/>
      <c r="K69" s="14">
        <f t="shared" ref="K69:K132" si="2">SUM(F69:J69)</f>
        <v>0</v>
      </c>
      <c r="L69" s="16">
        <f t="shared" ref="L69:L132" si="3">(C69+E69)-K69</f>
        <v>0</v>
      </c>
      <c r="M69" s="22">
        <v>44986</v>
      </c>
      <c r="N69" s="23" t="s">
        <v>26</v>
      </c>
      <c r="O69" s="24"/>
      <c r="P69" s="23" t="s">
        <v>114</v>
      </c>
    </row>
    <row r="70" spans="1:16" ht="26.25">
      <c r="A70" s="14">
        <v>66</v>
      </c>
      <c r="B70" s="15" t="s">
        <v>115</v>
      </c>
      <c r="C70" s="16">
        <f>'Медикаменты Январь_2'!L70</f>
        <v>17</v>
      </c>
      <c r="D70" s="17"/>
      <c r="E70" s="14"/>
      <c r="F70" s="18"/>
      <c r="G70" s="19"/>
      <c r="H70" s="20"/>
      <c r="I70" s="21"/>
      <c r="J70" s="14"/>
      <c r="K70" s="14">
        <f t="shared" si="2"/>
        <v>0</v>
      </c>
      <c r="L70" s="16">
        <f t="shared" si="3"/>
        <v>17</v>
      </c>
      <c r="M70" s="22">
        <v>44835</v>
      </c>
      <c r="N70" s="23" t="s">
        <v>16</v>
      </c>
      <c r="O70" s="24" t="s">
        <v>17</v>
      </c>
      <c r="P70" s="28" t="s">
        <v>116</v>
      </c>
    </row>
    <row r="71" spans="1:16">
      <c r="A71" s="14">
        <v>67</v>
      </c>
      <c r="B71" s="15" t="s">
        <v>117</v>
      </c>
      <c r="C71" s="16">
        <f>'Медикаменты Январь_2'!L71</f>
        <v>0</v>
      </c>
      <c r="D71" s="17"/>
      <c r="E71" s="14"/>
      <c r="F71" s="18"/>
      <c r="G71" s="19"/>
      <c r="H71" s="20"/>
      <c r="I71" s="21"/>
      <c r="J71" s="14"/>
      <c r="K71" s="14">
        <f t="shared" si="2"/>
        <v>0</v>
      </c>
      <c r="L71" s="16">
        <f t="shared" si="3"/>
        <v>0</v>
      </c>
      <c r="M71" s="22">
        <v>44440</v>
      </c>
      <c r="N71" s="23" t="s">
        <v>16</v>
      </c>
      <c r="O71" s="24"/>
      <c r="P71" s="28" t="s">
        <v>118</v>
      </c>
    </row>
    <row r="72" spans="1:16">
      <c r="A72" s="14">
        <v>68</v>
      </c>
      <c r="B72" s="15" t="s">
        <v>117</v>
      </c>
      <c r="C72" s="16">
        <f>'Медикаменты Январь_2'!L72</f>
        <v>165</v>
      </c>
      <c r="D72" s="17"/>
      <c r="E72" s="14"/>
      <c r="F72" s="18"/>
      <c r="G72" s="19"/>
      <c r="H72" s="20"/>
      <c r="I72" s="21"/>
      <c r="J72" s="14"/>
      <c r="K72" s="14">
        <f t="shared" si="2"/>
        <v>0</v>
      </c>
      <c r="L72" s="16">
        <f t="shared" si="3"/>
        <v>165</v>
      </c>
      <c r="M72" s="22">
        <v>44682</v>
      </c>
      <c r="N72" s="23" t="s">
        <v>16</v>
      </c>
      <c r="O72" s="24" t="s">
        <v>17</v>
      </c>
      <c r="P72" s="28" t="s">
        <v>118</v>
      </c>
    </row>
    <row r="73" spans="1:16">
      <c r="A73" s="14">
        <v>69</v>
      </c>
      <c r="B73" s="15" t="s">
        <v>117</v>
      </c>
      <c r="C73" s="16">
        <f>'Медикаменты Январь_2'!L73</f>
        <v>0</v>
      </c>
      <c r="D73" s="17"/>
      <c r="E73" s="14"/>
      <c r="F73" s="18"/>
      <c r="G73" s="19"/>
      <c r="H73" s="20"/>
      <c r="I73" s="21"/>
      <c r="J73" s="14"/>
      <c r="K73" s="14">
        <f t="shared" si="2"/>
        <v>0</v>
      </c>
      <c r="L73" s="16">
        <f t="shared" si="3"/>
        <v>0</v>
      </c>
      <c r="M73" s="22">
        <v>44682</v>
      </c>
      <c r="N73" s="23" t="s">
        <v>26</v>
      </c>
      <c r="O73" s="24"/>
      <c r="P73" s="28" t="s">
        <v>118</v>
      </c>
    </row>
    <row r="74" spans="1:16">
      <c r="A74" s="14">
        <v>70</v>
      </c>
      <c r="B74" s="15" t="s">
        <v>119</v>
      </c>
      <c r="C74" s="16">
        <f>'Медикаменты Январь_2'!L74</f>
        <v>0</v>
      </c>
      <c r="D74" s="17"/>
      <c r="E74" s="14"/>
      <c r="F74" s="18"/>
      <c r="G74" s="19"/>
      <c r="H74" s="20"/>
      <c r="I74" s="21"/>
      <c r="J74" s="14"/>
      <c r="K74" s="14">
        <f t="shared" si="2"/>
        <v>0</v>
      </c>
      <c r="L74" s="16">
        <f t="shared" si="3"/>
        <v>0</v>
      </c>
      <c r="M74" s="22"/>
      <c r="N74" s="23" t="s">
        <v>16</v>
      </c>
      <c r="O74" s="24"/>
      <c r="P74" s="25"/>
    </row>
    <row r="75" spans="1:16">
      <c r="A75" s="14">
        <v>71</v>
      </c>
      <c r="B75" s="15" t="s">
        <v>120</v>
      </c>
      <c r="C75" s="16">
        <f>'Медикаменты Январь_2'!L75</f>
        <v>0</v>
      </c>
      <c r="D75" s="17"/>
      <c r="E75" s="14"/>
      <c r="F75" s="18"/>
      <c r="G75" s="19"/>
      <c r="H75" s="20"/>
      <c r="I75" s="21"/>
      <c r="J75" s="14"/>
      <c r="K75" s="14">
        <f t="shared" si="2"/>
        <v>0</v>
      </c>
      <c r="L75" s="16">
        <f t="shared" si="3"/>
        <v>0</v>
      </c>
      <c r="M75" s="22">
        <v>45444</v>
      </c>
      <c r="N75" s="23" t="s">
        <v>26</v>
      </c>
      <c r="O75" s="24"/>
      <c r="P75" s="28" t="s">
        <v>121</v>
      </c>
    </row>
    <row r="76" spans="1:16">
      <c r="A76" s="14">
        <v>72</v>
      </c>
      <c r="B76" s="29" t="s">
        <v>122</v>
      </c>
      <c r="C76" s="16">
        <f>'Медикаменты Январь_2'!L76</f>
        <v>120</v>
      </c>
      <c r="D76" s="17"/>
      <c r="E76" s="14"/>
      <c r="F76" s="18">
        <f>10+2</f>
        <v>12</v>
      </c>
      <c r="G76" s="19"/>
      <c r="H76" s="20"/>
      <c r="I76" s="21"/>
      <c r="J76" s="14"/>
      <c r="K76" s="14">
        <f t="shared" si="2"/>
        <v>12</v>
      </c>
      <c r="L76" s="16">
        <f t="shared" si="3"/>
        <v>108</v>
      </c>
      <c r="M76" s="22">
        <v>44986</v>
      </c>
      <c r="N76" s="23" t="s">
        <v>16</v>
      </c>
      <c r="O76" s="24" t="s">
        <v>17</v>
      </c>
      <c r="P76" s="23" t="s">
        <v>123</v>
      </c>
    </row>
    <row r="77" spans="1:16">
      <c r="A77" s="14">
        <v>73</v>
      </c>
      <c r="B77" s="15" t="s">
        <v>124</v>
      </c>
      <c r="C77" s="16">
        <f>'Медикаменты Январь_2'!L77</f>
        <v>0</v>
      </c>
      <c r="D77" s="17"/>
      <c r="E77" s="14"/>
      <c r="F77" s="18"/>
      <c r="G77" s="19"/>
      <c r="H77" s="20"/>
      <c r="I77" s="21"/>
      <c r="J77" s="14"/>
      <c r="K77" s="14">
        <f t="shared" si="2"/>
        <v>0</v>
      </c>
      <c r="L77" s="16">
        <f t="shared" si="3"/>
        <v>0</v>
      </c>
      <c r="M77" s="22"/>
      <c r="N77" s="23" t="s">
        <v>16</v>
      </c>
      <c r="O77" s="24"/>
      <c r="P77" s="25"/>
    </row>
    <row r="78" spans="1:16">
      <c r="A78" s="14">
        <v>74</v>
      </c>
      <c r="B78" s="15" t="s">
        <v>125</v>
      </c>
      <c r="C78" s="16">
        <f>'Медикаменты Январь_2'!L78</f>
        <v>5</v>
      </c>
      <c r="D78" s="17"/>
      <c r="E78" s="14"/>
      <c r="F78" s="18"/>
      <c r="G78" s="19"/>
      <c r="H78" s="20"/>
      <c r="I78" s="21"/>
      <c r="J78" s="14"/>
      <c r="K78" s="14">
        <f t="shared" si="2"/>
        <v>0</v>
      </c>
      <c r="L78" s="16">
        <f t="shared" si="3"/>
        <v>5</v>
      </c>
      <c r="M78" s="22">
        <v>44531</v>
      </c>
      <c r="N78" s="23" t="s">
        <v>16</v>
      </c>
      <c r="O78" s="24" t="s">
        <v>17</v>
      </c>
      <c r="P78" s="28" t="s">
        <v>126</v>
      </c>
    </row>
    <row r="79" spans="1:16">
      <c r="A79" s="14">
        <v>75</v>
      </c>
      <c r="B79" s="15" t="s">
        <v>127</v>
      </c>
      <c r="C79" s="16">
        <f>'Медикаменты Январь_2'!L79</f>
        <v>10</v>
      </c>
      <c r="D79" s="17"/>
      <c r="E79" s="14"/>
      <c r="F79" s="18"/>
      <c r="G79" s="19"/>
      <c r="H79" s="20"/>
      <c r="I79" s="21"/>
      <c r="J79" s="14"/>
      <c r="K79" s="14">
        <f t="shared" si="2"/>
        <v>0</v>
      </c>
      <c r="L79" s="16">
        <f t="shared" si="3"/>
        <v>10</v>
      </c>
      <c r="M79" s="22">
        <v>44501</v>
      </c>
      <c r="N79" s="23" t="s">
        <v>16</v>
      </c>
      <c r="O79" s="24" t="s">
        <v>45</v>
      </c>
      <c r="P79" s="23" t="s">
        <v>128</v>
      </c>
    </row>
    <row r="80" spans="1:16" ht="25.5">
      <c r="A80" s="14">
        <v>76</v>
      </c>
      <c r="B80" s="15" t="s">
        <v>129</v>
      </c>
      <c r="C80" s="16">
        <f>'Медикаменты Январь_2'!L80</f>
        <v>15</v>
      </c>
      <c r="D80" s="17"/>
      <c r="E80" s="14"/>
      <c r="F80" s="18">
        <f>1+2</f>
        <v>3</v>
      </c>
      <c r="G80" s="19"/>
      <c r="H80" s="20"/>
      <c r="I80" s="21"/>
      <c r="J80" s="14"/>
      <c r="K80" s="14">
        <f t="shared" si="2"/>
        <v>3</v>
      </c>
      <c r="L80" s="16">
        <f t="shared" si="3"/>
        <v>12</v>
      </c>
      <c r="M80" s="22">
        <v>44713</v>
      </c>
      <c r="N80" s="23" t="s">
        <v>16</v>
      </c>
      <c r="O80" s="24" t="s">
        <v>17</v>
      </c>
      <c r="P80" s="28" t="s">
        <v>130</v>
      </c>
    </row>
    <row r="81" spans="1:16" ht="25.5">
      <c r="A81" s="14">
        <v>77</v>
      </c>
      <c r="B81" s="15" t="s">
        <v>129</v>
      </c>
      <c r="C81" s="16">
        <f>'Медикаменты Январь_2'!L81</f>
        <v>0</v>
      </c>
      <c r="D81" s="17"/>
      <c r="E81" s="14"/>
      <c r="F81" s="18"/>
      <c r="G81" s="19"/>
      <c r="H81" s="20"/>
      <c r="I81" s="21"/>
      <c r="J81" s="14"/>
      <c r="K81" s="14">
        <f t="shared" si="2"/>
        <v>0</v>
      </c>
      <c r="L81" s="16">
        <f t="shared" si="3"/>
        <v>0</v>
      </c>
      <c r="M81" s="22">
        <v>44713</v>
      </c>
      <c r="N81" s="23" t="s">
        <v>26</v>
      </c>
      <c r="O81" s="24"/>
      <c r="P81" s="28" t="s">
        <v>130</v>
      </c>
    </row>
    <row r="82" spans="1:16" ht="25.5">
      <c r="A82" s="14">
        <v>78</v>
      </c>
      <c r="B82" s="15" t="s">
        <v>131</v>
      </c>
      <c r="C82" s="16">
        <f>'Медикаменты Январь_2'!L82</f>
        <v>0</v>
      </c>
      <c r="D82" s="17"/>
      <c r="E82" s="14"/>
      <c r="F82" s="18"/>
      <c r="G82" s="19"/>
      <c r="H82" s="20"/>
      <c r="I82" s="21"/>
      <c r="J82" s="14"/>
      <c r="K82" s="14">
        <f t="shared" si="2"/>
        <v>0</v>
      </c>
      <c r="L82" s="16">
        <f t="shared" si="3"/>
        <v>0</v>
      </c>
      <c r="M82" s="22"/>
      <c r="N82" s="23" t="s">
        <v>16</v>
      </c>
      <c r="O82" s="24"/>
      <c r="P82" s="25"/>
    </row>
    <row r="83" spans="1:16">
      <c r="A83" s="14">
        <v>79</v>
      </c>
      <c r="B83" s="15" t="s">
        <v>132</v>
      </c>
      <c r="C83" s="16">
        <f>'Медикаменты Январь_2'!L83</f>
        <v>135</v>
      </c>
      <c r="D83" s="17"/>
      <c r="E83" s="14"/>
      <c r="F83" s="18"/>
      <c r="G83" s="19"/>
      <c r="H83" s="20"/>
      <c r="I83" s="21"/>
      <c r="J83" s="14"/>
      <c r="K83" s="14">
        <f t="shared" si="2"/>
        <v>0</v>
      </c>
      <c r="L83" s="16">
        <f t="shared" si="3"/>
        <v>135</v>
      </c>
      <c r="M83" s="22">
        <v>44713</v>
      </c>
      <c r="N83" s="23" t="s">
        <v>16</v>
      </c>
      <c r="O83" s="24" t="s">
        <v>17</v>
      </c>
      <c r="P83" s="23" t="s">
        <v>133</v>
      </c>
    </row>
    <row r="84" spans="1:16">
      <c r="A84" s="14">
        <v>80</v>
      </c>
      <c r="B84" s="15" t="s">
        <v>132</v>
      </c>
      <c r="C84" s="16">
        <f>'Медикаменты Январь_2'!L84</f>
        <v>30</v>
      </c>
      <c r="D84" s="17"/>
      <c r="E84" s="14"/>
      <c r="F84" s="18">
        <f>5+5+5+5</f>
        <v>20</v>
      </c>
      <c r="G84" s="19"/>
      <c r="H84" s="20"/>
      <c r="I84" s="21"/>
      <c r="J84" s="14"/>
      <c r="K84" s="14">
        <f t="shared" si="2"/>
        <v>20</v>
      </c>
      <c r="L84" s="16">
        <f t="shared" si="3"/>
        <v>10</v>
      </c>
      <c r="M84" s="22">
        <v>44409</v>
      </c>
      <c r="N84" s="23" t="s">
        <v>16</v>
      </c>
      <c r="O84" s="24" t="s">
        <v>17</v>
      </c>
      <c r="P84" s="23" t="s">
        <v>133</v>
      </c>
    </row>
    <row r="85" spans="1:16">
      <c r="A85" s="14">
        <v>81</v>
      </c>
      <c r="B85" s="15" t="s">
        <v>134</v>
      </c>
      <c r="C85" s="16">
        <f>'Медикаменты Январь_2'!L85</f>
        <v>14</v>
      </c>
      <c r="D85" s="17"/>
      <c r="E85" s="14"/>
      <c r="F85" s="18">
        <f>14</f>
        <v>14</v>
      </c>
      <c r="G85" s="19"/>
      <c r="H85" s="20"/>
      <c r="I85" s="21"/>
      <c r="J85" s="14"/>
      <c r="K85" s="14">
        <f t="shared" si="2"/>
        <v>14</v>
      </c>
      <c r="L85" s="16">
        <f t="shared" si="3"/>
        <v>0</v>
      </c>
      <c r="M85" s="22">
        <v>44228</v>
      </c>
      <c r="N85" s="23" t="s">
        <v>16</v>
      </c>
      <c r="O85" s="24" t="s">
        <v>17</v>
      </c>
      <c r="P85" s="23" t="s">
        <v>135</v>
      </c>
    </row>
    <row r="86" spans="1:16">
      <c r="A86" s="14">
        <v>82</v>
      </c>
      <c r="B86" s="15" t="s">
        <v>136</v>
      </c>
      <c r="C86" s="16">
        <f>'Медикаменты Январь_2'!L86</f>
        <v>0</v>
      </c>
      <c r="D86" s="17"/>
      <c r="E86" s="14"/>
      <c r="F86" s="18"/>
      <c r="G86" s="19"/>
      <c r="H86" s="20"/>
      <c r="I86" s="21"/>
      <c r="J86" s="14"/>
      <c r="K86" s="14">
        <f t="shared" si="2"/>
        <v>0</v>
      </c>
      <c r="L86" s="16">
        <f t="shared" si="3"/>
        <v>0</v>
      </c>
      <c r="M86" s="22">
        <v>45413</v>
      </c>
      <c r="N86" s="23" t="s">
        <v>16</v>
      </c>
      <c r="O86" s="24"/>
      <c r="P86" s="28" t="s">
        <v>137</v>
      </c>
    </row>
    <row r="87" spans="1:16">
      <c r="A87" s="14">
        <v>83</v>
      </c>
      <c r="B87" s="15" t="s">
        <v>138</v>
      </c>
      <c r="C87" s="16">
        <f>'Медикаменты Январь_2'!L87</f>
        <v>0</v>
      </c>
      <c r="D87" s="30"/>
      <c r="E87" s="14"/>
      <c r="F87" s="18"/>
      <c r="G87" s="19"/>
      <c r="H87" s="20"/>
      <c r="I87" s="21"/>
      <c r="J87" s="14"/>
      <c r="K87" s="14">
        <f t="shared" si="2"/>
        <v>0</v>
      </c>
      <c r="L87" s="16">
        <f t="shared" si="3"/>
        <v>0</v>
      </c>
      <c r="M87" s="22"/>
      <c r="N87" s="23" t="s">
        <v>16</v>
      </c>
      <c r="O87" s="24"/>
      <c r="P87" s="25"/>
    </row>
    <row r="88" spans="1:16">
      <c r="A88" s="14">
        <v>84</v>
      </c>
      <c r="B88" s="15" t="s">
        <v>139</v>
      </c>
      <c r="C88" s="16">
        <f>'Медикаменты Январь_2'!L88</f>
        <v>0</v>
      </c>
      <c r="D88" s="17"/>
      <c r="E88" s="14"/>
      <c r="F88" s="18"/>
      <c r="G88" s="19"/>
      <c r="H88" s="20"/>
      <c r="I88" s="21"/>
      <c r="J88" s="14"/>
      <c r="K88" s="14">
        <f t="shared" si="2"/>
        <v>0</v>
      </c>
      <c r="L88" s="16">
        <f t="shared" si="3"/>
        <v>0</v>
      </c>
      <c r="M88" s="22"/>
      <c r="N88" s="23" t="s">
        <v>16</v>
      </c>
      <c r="O88" s="24"/>
      <c r="P88" s="25"/>
    </row>
    <row r="89" spans="1:16">
      <c r="A89" s="14">
        <v>85</v>
      </c>
      <c r="B89" s="15" t="s">
        <v>140</v>
      </c>
      <c r="C89" s="16">
        <f>'Медикаменты Январь_2'!L89</f>
        <v>55</v>
      </c>
      <c r="D89" s="17"/>
      <c r="E89" s="14"/>
      <c r="F89" s="18">
        <f>3</f>
        <v>3</v>
      </c>
      <c r="G89" s="19"/>
      <c r="H89" s="20"/>
      <c r="I89" s="21"/>
      <c r="J89" s="14"/>
      <c r="K89" s="14">
        <f t="shared" si="2"/>
        <v>3</v>
      </c>
      <c r="L89" s="16">
        <f t="shared" si="3"/>
        <v>52</v>
      </c>
      <c r="M89" s="22">
        <v>44682</v>
      </c>
      <c r="N89" s="23" t="s">
        <v>16</v>
      </c>
      <c r="O89" s="24" t="s">
        <v>45</v>
      </c>
      <c r="P89" s="23" t="s">
        <v>141</v>
      </c>
    </row>
    <row r="90" spans="1:16">
      <c r="A90" s="14">
        <v>86</v>
      </c>
      <c r="B90" s="15" t="s">
        <v>142</v>
      </c>
      <c r="C90" s="16">
        <f>'Медикаменты Январь_2'!L90</f>
        <v>0</v>
      </c>
      <c r="D90" s="17"/>
      <c r="E90" s="14"/>
      <c r="F90" s="18"/>
      <c r="G90" s="19"/>
      <c r="H90" s="20"/>
      <c r="I90" s="21"/>
      <c r="J90" s="14"/>
      <c r="K90" s="14">
        <f t="shared" si="2"/>
        <v>0</v>
      </c>
      <c r="L90" s="16">
        <f t="shared" si="3"/>
        <v>0</v>
      </c>
      <c r="M90" s="22">
        <v>45352</v>
      </c>
      <c r="N90" s="23" t="s">
        <v>16</v>
      </c>
      <c r="O90" s="24"/>
      <c r="P90" s="23" t="s">
        <v>143</v>
      </c>
    </row>
    <row r="91" spans="1:16">
      <c r="A91" s="14">
        <v>87</v>
      </c>
      <c r="B91" s="15" t="s">
        <v>144</v>
      </c>
      <c r="C91" s="16">
        <f>'Медикаменты Январь_2'!L91</f>
        <v>0</v>
      </c>
      <c r="D91" s="17"/>
      <c r="E91" s="14"/>
      <c r="F91" s="18"/>
      <c r="G91" s="19"/>
      <c r="H91" s="20"/>
      <c r="I91" s="21"/>
      <c r="J91" s="14"/>
      <c r="K91" s="14">
        <f t="shared" si="2"/>
        <v>0</v>
      </c>
      <c r="L91" s="16">
        <f t="shared" si="3"/>
        <v>0</v>
      </c>
      <c r="M91" s="22">
        <v>44228</v>
      </c>
      <c r="N91" s="23" t="s">
        <v>16</v>
      </c>
      <c r="O91" s="24"/>
      <c r="P91" s="28" t="s">
        <v>145</v>
      </c>
    </row>
    <row r="92" spans="1:16">
      <c r="A92" s="14">
        <v>88</v>
      </c>
      <c r="B92" s="15" t="s">
        <v>146</v>
      </c>
      <c r="C92" s="16">
        <f>'Медикаменты Январь_2'!L92</f>
        <v>3</v>
      </c>
      <c r="D92" s="17"/>
      <c r="E92" s="14"/>
      <c r="F92" s="18">
        <f>3</f>
        <v>3</v>
      </c>
      <c r="G92" s="19"/>
      <c r="H92" s="20"/>
      <c r="I92" s="21"/>
      <c r="J92" s="14"/>
      <c r="K92" s="14">
        <f t="shared" si="2"/>
        <v>3</v>
      </c>
      <c r="L92" s="16">
        <f t="shared" si="3"/>
        <v>0</v>
      </c>
      <c r="M92" s="22">
        <v>45474</v>
      </c>
      <c r="N92" s="23" t="s">
        <v>16</v>
      </c>
      <c r="O92" s="24" t="s">
        <v>45</v>
      </c>
      <c r="P92" s="23" t="s">
        <v>147</v>
      </c>
    </row>
    <row r="93" spans="1:16">
      <c r="A93" s="14">
        <v>89</v>
      </c>
      <c r="B93" s="15" t="s">
        <v>148</v>
      </c>
      <c r="C93" s="16">
        <f>'Медикаменты Январь_2'!L93</f>
        <v>0</v>
      </c>
      <c r="D93" s="17"/>
      <c r="E93" s="14"/>
      <c r="F93" s="18"/>
      <c r="G93" s="19"/>
      <c r="H93" s="20"/>
      <c r="I93" s="21"/>
      <c r="J93" s="14"/>
      <c r="K93" s="14">
        <f t="shared" si="2"/>
        <v>0</v>
      </c>
      <c r="L93" s="16">
        <f t="shared" si="3"/>
        <v>0</v>
      </c>
      <c r="M93" s="22"/>
      <c r="N93" s="23" t="s">
        <v>16</v>
      </c>
      <c r="O93" s="24"/>
      <c r="P93" s="25"/>
    </row>
    <row r="94" spans="1:16">
      <c r="A94" s="14">
        <v>90</v>
      </c>
      <c r="B94" s="15" t="s">
        <v>149</v>
      </c>
      <c r="C94" s="16">
        <f>'Медикаменты Январь_2'!L94</f>
        <v>0</v>
      </c>
      <c r="D94" s="17"/>
      <c r="E94" s="14"/>
      <c r="F94" s="18"/>
      <c r="G94" s="19"/>
      <c r="H94" s="20"/>
      <c r="I94" s="21"/>
      <c r="J94" s="14"/>
      <c r="K94" s="14">
        <f t="shared" si="2"/>
        <v>0</v>
      </c>
      <c r="L94" s="16">
        <f t="shared" si="3"/>
        <v>0</v>
      </c>
      <c r="M94" s="22">
        <v>44348</v>
      </c>
      <c r="N94" s="23" t="s">
        <v>16</v>
      </c>
      <c r="O94" s="24"/>
      <c r="P94" s="23" t="s">
        <v>150</v>
      </c>
    </row>
    <row r="95" spans="1:16">
      <c r="A95" s="14">
        <v>91</v>
      </c>
      <c r="B95" s="15" t="s">
        <v>151</v>
      </c>
      <c r="C95" s="16">
        <f>'Медикаменты Январь_2'!L95</f>
        <v>2</v>
      </c>
      <c r="D95" s="17"/>
      <c r="E95" s="14"/>
      <c r="F95" s="18"/>
      <c r="G95" s="19"/>
      <c r="H95" s="20"/>
      <c r="I95" s="21"/>
      <c r="J95" s="14"/>
      <c r="K95" s="14">
        <f t="shared" si="2"/>
        <v>0</v>
      </c>
      <c r="L95" s="16">
        <f t="shared" si="3"/>
        <v>2</v>
      </c>
      <c r="M95" s="22">
        <v>44743</v>
      </c>
      <c r="N95" s="23" t="s">
        <v>16</v>
      </c>
      <c r="O95" s="24" t="s">
        <v>45</v>
      </c>
      <c r="P95" s="28" t="s">
        <v>152</v>
      </c>
    </row>
    <row r="96" spans="1:16">
      <c r="A96" s="14">
        <v>92</v>
      </c>
      <c r="B96" s="15" t="s">
        <v>153</v>
      </c>
      <c r="C96" s="16">
        <f>'Медикаменты Январь_2'!L96</f>
        <v>0</v>
      </c>
      <c r="D96" s="17"/>
      <c r="E96" s="14"/>
      <c r="F96" s="18"/>
      <c r="G96" s="19"/>
      <c r="H96" s="20"/>
      <c r="I96" s="21"/>
      <c r="J96" s="14"/>
      <c r="K96" s="14">
        <f t="shared" si="2"/>
        <v>0</v>
      </c>
      <c r="L96" s="16">
        <f t="shared" si="3"/>
        <v>0</v>
      </c>
      <c r="M96" s="22">
        <v>44256</v>
      </c>
      <c r="N96" s="23" t="s">
        <v>16</v>
      </c>
      <c r="O96" s="24"/>
      <c r="P96" s="23" t="s">
        <v>154</v>
      </c>
    </row>
    <row r="97" spans="1:16">
      <c r="A97" s="14">
        <v>93</v>
      </c>
      <c r="B97" s="15" t="s">
        <v>155</v>
      </c>
      <c r="C97" s="16">
        <f>'Медикаменты Январь_2'!L97</f>
        <v>0</v>
      </c>
      <c r="D97" s="17"/>
      <c r="E97" s="14"/>
      <c r="F97" s="18"/>
      <c r="G97" s="19"/>
      <c r="H97" s="20"/>
      <c r="I97" s="21"/>
      <c r="J97" s="14"/>
      <c r="K97" s="14">
        <f t="shared" si="2"/>
        <v>0</v>
      </c>
      <c r="L97" s="16">
        <f t="shared" si="3"/>
        <v>0</v>
      </c>
      <c r="M97" s="22"/>
      <c r="N97" s="23" t="s">
        <v>16</v>
      </c>
      <c r="O97" s="24"/>
      <c r="P97" s="25"/>
    </row>
    <row r="98" spans="1:16">
      <c r="A98" s="14">
        <v>94</v>
      </c>
      <c r="B98" s="15" t="s">
        <v>156</v>
      </c>
      <c r="C98" s="16">
        <f>'Медикаменты Январь_2'!L98</f>
        <v>0</v>
      </c>
      <c r="D98" s="17"/>
      <c r="E98" s="14"/>
      <c r="F98" s="18"/>
      <c r="G98" s="19"/>
      <c r="H98" s="20"/>
      <c r="I98" s="21"/>
      <c r="J98" s="14"/>
      <c r="K98" s="14">
        <f t="shared" si="2"/>
        <v>0</v>
      </c>
      <c r="L98" s="16">
        <f t="shared" si="3"/>
        <v>0</v>
      </c>
      <c r="M98" s="22">
        <v>44197</v>
      </c>
      <c r="N98" s="23" t="s">
        <v>16</v>
      </c>
      <c r="O98" s="24"/>
      <c r="P98" s="23" t="s">
        <v>157</v>
      </c>
    </row>
    <row r="99" spans="1:16">
      <c r="A99" s="14">
        <v>95</v>
      </c>
      <c r="B99" s="15" t="s">
        <v>158</v>
      </c>
      <c r="C99" s="16">
        <f>'Медикаменты Январь_2'!L99</f>
        <v>5</v>
      </c>
      <c r="D99" s="17"/>
      <c r="E99" s="14"/>
      <c r="F99" s="18"/>
      <c r="G99" s="19"/>
      <c r="H99" s="20"/>
      <c r="I99" s="21"/>
      <c r="J99" s="14"/>
      <c r="K99" s="14">
        <f t="shared" si="2"/>
        <v>0</v>
      </c>
      <c r="L99" s="16">
        <f t="shared" si="3"/>
        <v>5</v>
      </c>
      <c r="M99" s="22">
        <v>44774</v>
      </c>
      <c r="N99" s="23" t="s">
        <v>16</v>
      </c>
      <c r="O99" s="24" t="s">
        <v>17</v>
      </c>
      <c r="P99" s="23" t="s">
        <v>159</v>
      </c>
    </row>
    <row r="100" spans="1:16">
      <c r="A100" s="14">
        <v>96</v>
      </c>
      <c r="B100" s="15" t="s">
        <v>160</v>
      </c>
      <c r="C100" s="16">
        <f>'Медикаменты Январь_2'!L100</f>
        <v>123</v>
      </c>
      <c r="D100" s="17"/>
      <c r="E100" s="14"/>
      <c r="F100" s="18">
        <f>5</f>
        <v>5</v>
      </c>
      <c r="G100" s="19"/>
      <c r="H100" s="20"/>
      <c r="I100" s="21"/>
      <c r="J100" s="14"/>
      <c r="K100" s="14">
        <f t="shared" si="2"/>
        <v>5</v>
      </c>
      <c r="L100" s="16">
        <f t="shared" si="3"/>
        <v>118</v>
      </c>
      <c r="M100" s="22">
        <v>44805</v>
      </c>
      <c r="N100" s="23" t="s">
        <v>16</v>
      </c>
      <c r="O100" s="24" t="s">
        <v>17</v>
      </c>
      <c r="P100" s="28" t="s">
        <v>161</v>
      </c>
    </row>
    <row r="101" spans="1:16">
      <c r="A101" s="14">
        <v>97</v>
      </c>
      <c r="B101" s="15" t="s">
        <v>162</v>
      </c>
      <c r="C101" s="16">
        <f>'Медикаменты Январь_2'!L101</f>
        <v>95</v>
      </c>
      <c r="D101" s="17"/>
      <c r="E101" s="14"/>
      <c r="F101" s="18"/>
      <c r="G101" s="19"/>
      <c r="H101" s="20"/>
      <c r="I101" s="21"/>
      <c r="J101" s="14"/>
      <c r="K101" s="14">
        <f t="shared" si="2"/>
        <v>0</v>
      </c>
      <c r="L101" s="16">
        <f t="shared" si="3"/>
        <v>95</v>
      </c>
      <c r="M101" s="22">
        <v>44742</v>
      </c>
      <c r="N101" s="23" t="s">
        <v>16</v>
      </c>
      <c r="O101" s="24" t="s">
        <v>17</v>
      </c>
      <c r="P101" s="28" t="s">
        <v>163</v>
      </c>
    </row>
    <row r="102" spans="1:16">
      <c r="A102" s="14">
        <v>98</v>
      </c>
      <c r="B102" s="15" t="s">
        <v>164</v>
      </c>
      <c r="C102" s="16">
        <f>'Медикаменты Январь_2'!L102</f>
        <v>5</v>
      </c>
      <c r="D102" s="17"/>
      <c r="E102" s="14"/>
      <c r="F102" s="18">
        <f>3</f>
        <v>3</v>
      </c>
      <c r="G102" s="19"/>
      <c r="H102" s="20"/>
      <c r="I102" s="21"/>
      <c r="J102" s="14"/>
      <c r="K102" s="14">
        <f t="shared" si="2"/>
        <v>3</v>
      </c>
      <c r="L102" s="16">
        <f t="shared" si="3"/>
        <v>2</v>
      </c>
      <c r="M102" s="22">
        <v>44927</v>
      </c>
      <c r="N102" s="23" t="s">
        <v>26</v>
      </c>
      <c r="O102" s="24" t="s">
        <v>17</v>
      </c>
      <c r="P102" s="28" t="s">
        <v>165</v>
      </c>
    </row>
    <row r="103" spans="1:16">
      <c r="A103" s="14">
        <v>99</v>
      </c>
      <c r="B103" s="15" t="s">
        <v>166</v>
      </c>
      <c r="C103" s="16">
        <f>'Медикаменты Январь_2'!L103</f>
        <v>0</v>
      </c>
      <c r="D103" s="17"/>
      <c r="E103" s="14"/>
      <c r="F103" s="18"/>
      <c r="G103" s="19"/>
      <c r="H103" s="20"/>
      <c r="I103" s="21"/>
      <c r="J103" s="14"/>
      <c r="K103" s="14">
        <f t="shared" si="2"/>
        <v>0</v>
      </c>
      <c r="L103" s="16">
        <f t="shared" si="3"/>
        <v>0</v>
      </c>
      <c r="M103" s="22">
        <v>44440</v>
      </c>
      <c r="N103" s="23" t="s">
        <v>16</v>
      </c>
      <c r="O103" s="24"/>
      <c r="P103" s="28" t="s">
        <v>165</v>
      </c>
    </row>
    <row r="104" spans="1:16">
      <c r="A104" s="14">
        <v>100</v>
      </c>
      <c r="B104" s="15" t="s">
        <v>167</v>
      </c>
      <c r="C104" s="16">
        <f>'Медикаменты Январь_2'!L104</f>
        <v>145</v>
      </c>
      <c r="D104" s="17"/>
      <c r="E104" s="14"/>
      <c r="F104" s="18">
        <f>50+95</f>
        <v>145</v>
      </c>
      <c r="G104" s="19"/>
      <c r="H104" s="20"/>
      <c r="I104" s="21"/>
      <c r="J104" s="14"/>
      <c r="K104" s="14">
        <f t="shared" si="2"/>
        <v>145</v>
      </c>
      <c r="L104" s="16">
        <f t="shared" si="3"/>
        <v>0</v>
      </c>
      <c r="M104" s="22">
        <v>44256</v>
      </c>
      <c r="N104" s="23" t="s">
        <v>16</v>
      </c>
      <c r="O104" s="24" t="s">
        <v>17</v>
      </c>
      <c r="P104" s="23" t="s">
        <v>168</v>
      </c>
    </row>
    <row r="105" spans="1:16">
      <c r="A105" s="14">
        <v>101</v>
      </c>
      <c r="B105" s="15" t="s">
        <v>169</v>
      </c>
      <c r="C105" s="16">
        <f>'Медикаменты Январь_2'!L105</f>
        <v>0</v>
      </c>
      <c r="D105" s="17"/>
      <c r="E105" s="14"/>
      <c r="F105" s="18"/>
      <c r="G105" s="19"/>
      <c r="H105" s="20"/>
      <c r="I105" s="21"/>
      <c r="J105" s="14"/>
      <c r="K105" s="14">
        <f t="shared" si="2"/>
        <v>0</v>
      </c>
      <c r="L105" s="16">
        <f t="shared" si="3"/>
        <v>0</v>
      </c>
      <c r="M105" s="22">
        <v>44197</v>
      </c>
      <c r="N105" s="23" t="s">
        <v>16</v>
      </c>
      <c r="O105" s="24"/>
      <c r="P105" s="23" t="s">
        <v>170</v>
      </c>
    </row>
    <row r="106" spans="1:16">
      <c r="A106" s="14">
        <v>102</v>
      </c>
      <c r="B106" s="15" t="s">
        <v>171</v>
      </c>
      <c r="C106" s="16">
        <f>'Медикаменты Январь_2'!L106</f>
        <v>0</v>
      </c>
      <c r="D106" s="17"/>
      <c r="E106" s="14"/>
      <c r="F106" s="18"/>
      <c r="G106" s="19"/>
      <c r="H106" s="20"/>
      <c r="I106" s="21"/>
      <c r="J106" s="14"/>
      <c r="K106" s="14">
        <f t="shared" si="2"/>
        <v>0</v>
      </c>
      <c r="L106" s="16">
        <f t="shared" si="3"/>
        <v>0</v>
      </c>
      <c r="M106" s="22"/>
      <c r="N106" s="23" t="s">
        <v>16</v>
      </c>
      <c r="O106" s="24"/>
      <c r="P106" s="25"/>
    </row>
    <row r="107" spans="1:16">
      <c r="A107" s="14">
        <v>103</v>
      </c>
      <c r="B107" s="15" t="s">
        <v>172</v>
      </c>
      <c r="C107" s="16">
        <f>'Медикаменты Январь_2'!L107</f>
        <v>35</v>
      </c>
      <c r="D107" s="17"/>
      <c r="E107" s="14"/>
      <c r="F107" s="18">
        <f>5</f>
        <v>5</v>
      </c>
      <c r="G107" s="19"/>
      <c r="H107" s="20"/>
      <c r="I107" s="21">
        <f>10</f>
        <v>10</v>
      </c>
      <c r="J107" s="14"/>
      <c r="K107" s="14">
        <f t="shared" si="2"/>
        <v>15</v>
      </c>
      <c r="L107" s="16">
        <f t="shared" si="3"/>
        <v>20</v>
      </c>
      <c r="M107" s="22">
        <v>44287</v>
      </c>
      <c r="N107" s="23" t="s">
        <v>26</v>
      </c>
      <c r="O107" s="24" t="s">
        <v>17</v>
      </c>
      <c r="P107" s="23" t="s">
        <v>173</v>
      </c>
    </row>
    <row r="108" spans="1:16">
      <c r="A108" s="14">
        <v>104</v>
      </c>
      <c r="B108" s="15" t="s">
        <v>172</v>
      </c>
      <c r="C108" s="16">
        <f>'Медикаменты Январь_2'!L108</f>
        <v>85</v>
      </c>
      <c r="D108" s="17"/>
      <c r="E108" s="14"/>
      <c r="F108" s="18"/>
      <c r="G108" s="19"/>
      <c r="H108" s="20"/>
      <c r="I108" s="21"/>
      <c r="J108" s="14"/>
      <c r="K108" s="14">
        <f t="shared" si="2"/>
        <v>0</v>
      </c>
      <c r="L108" s="16">
        <f t="shared" si="3"/>
        <v>85</v>
      </c>
      <c r="M108" s="22">
        <v>44805</v>
      </c>
      <c r="N108" s="23" t="s">
        <v>26</v>
      </c>
      <c r="O108" s="24" t="s">
        <v>17</v>
      </c>
      <c r="P108" s="23" t="s">
        <v>173</v>
      </c>
    </row>
    <row r="109" spans="1:16">
      <c r="A109" s="14">
        <v>105</v>
      </c>
      <c r="B109" s="15" t="s">
        <v>174</v>
      </c>
      <c r="C109" s="16">
        <f>'Медикаменты Январь_2'!L109</f>
        <v>0</v>
      </c>
      <c r="D109" s="17"/>
      <c r="E109" s="14"/>
      <c r="F109" s="18"/>
      <c r="G109" s="19"/>
      <c r="H109" s="20"/>
      <c r="I109" s="21"/>
      <c r="J109" s="14"/>
      <c r="K109" s="14">
        <f t="shared" si="2"/>
        <v>0</v>
      </c>
      <c r="L109" s="16">
        <f t="shared" si="3"/>
        <v>0</v>
      </c>
      <c r="M109" s="22"/>
      <c r="N109" s="23" t="s">
        <v>16</v>
      </c>
      <c r="O109" s="24"/>
      <c r="P109" s="25"/>
    </row>
    <row r="110" spans="1:16">
      <c r="A110" s="14">
        <v>106</v>
      </c>
      <c r="B110" s="15" t="s">
        <v>547</v>
      </c>
      <c r="C110" s="16">
        <f>'Медикаменты Январь_2'!L110</f>
        <v>219</v>
      </c>
      <c r="D110" s="17"/>
      <c r="E110" s="14"/>
      <c r="F110" s="18">
        <f>5+3</f>
        <v>8</v>
      </c>
      <c r="G110" s="19"/>
      <c r="H110" s="20"/>
      <c r="I110" s="21">
        <f>20</f>
        <v>20</v>
      </c>
      <c r="J110" s="14"/>
      <c r="K110" s="14">
        <f t="shared" si="2"/>
        <v>28</v>
      </c>
      <c r="L110" s="16">
        <f t="shared" si="3"/>
        <v>191</v>
      </c>
      <c r="M110" s="22">
        <v>44317</v>
      </c>
      <c r="N110" s="23" t="s">
        <v>16</v>
      </c>
      <c r="O110" s="24" t="s">
        <v>17</v>
      </c>
      <c r="P110" s="23" t="s">
        <v>176</v>
      </c>
    </row>
    <row r="111" spans="1:16">
      <c r="A111" s="14">
        <v>107</v>
      </c>
      <c r="B111" s="15" t="s">
        <v>177</v>
      </c>
      <c r="C111" s="16">
        <f>'Медикаменты Январь_2'!L111</f>
        <v>0</v>
      </c>
      <c r="D111" s="17"/>
      <c r="E111" s="14"/>
      <c r="F111" s="18"/>
      <c r="G111" s="19"/>
      <c r="H111" s="20"/>
      <c r="I111" s="21"/>
      <c r="J111" s="14"/>
      <c r="K111" s="14">
        <f t="shared" si="2"/>
        <v>0</v>
      </c>
      <c r="L111" s="16">
        <f t="shared" si="3"/>
        <v>0</v>
      </c>
      <c r="M111" s="22"/>
      <c r="N111" s="23" t="s">
        <v>16</v>
      </c>
      <c r="O111" s="24"/>
      <c r="P111" s="25"/>
    </row>
    <row r="112" spans="1:16">
      <c r="A112" s="14">
        <v>108</v>
      </c>
      <c r="B112" s="15" t="s">
        <v>178</v>
      </c>
      <c r="C112" s="16">
        <f>'Медикаменты Январь_2'!L112</f>
        <v>23</v>
      </c>
      <c r="D112" s="17"/>
      <c r="E112" s="14"/>
      <c r="F112" s="18">
        <f>5+5</f>
        <v>10</v>
      </c>
      <c r="G112" s="19"/>
      <c r="H112" s="20"/>
      <c r="I112" s="21"/>
      <c r="J112" s="14"/>
      <c r="K112" s="14">
        <f t="shared" si="2"/>
        <v>10</v>
      </c>
      <c r="L112" s="16">
        <f t="shared" si="3"/>
        <v>13</v>
      </c>
      <c r="M112" s="22">
        <v>44378</v>
      </c>
      <c r="N112" s="23" t="s">
        <v>16</v>
      </c>
      <c r="O112" s="24" t="s">
        <v>17</v>
      </c>
      <c r="P112" s="23" t="s">
        <v>179</v>
      </c>
    </row>
    <row r="113" spans="1:16">
      <c r="A113" s="14">
        <v>109</v>
      </c>
      <c r="B113" s="15" t="s">
        <v>180</v>
      </c>
      <c r="C113" s="16">
        <f>'Медикаменты Январь_2'!L113</f>
        <v>70</v>
      </c>
      <c r="D113" s="17"/>
      <c r="E113" s="14"/>
      <c r="F113" s="18">
        <f>4+2+2+2</f>
        <v>10</v>
      </c>
      <c r="G113" s="19"/>
      <c r="H113" s="20"/>
      <c r="I113" s="21"/>
      <c r="J113" s="14"/>
      <c r="K113" s="14">
        <f t="shared" si="2"/>
        <v>10</v>
      </c>
      <c r="L113" s="16">
        <f t="shared" si="3"/>
        <v>60</v>
      </c>
      <c r="M113" s="22">
        <v>45200</v>
      </c>
      <c r="N113" s="23" t="s">
        <v>16</v>
      </c>
      <c r="O113" s="24" t="s">
        <v>17</v>
      </c>
      <c r="P113" s="23" t="s">
        <v>181</v>
      </c>
    </row>
    <row r="114" spans="1:16">
      <c r="A114" s="14">
        <v>110</v>
      </c>
      <c r="B114" s="15" t="s">
        <v>182</v>
      </c>
      <c r="C114" s="16">
        <f>'Медикаменты Январь_2'!L114</f>
        <v>0</v>
      </c>
      <c r="D114" s="17"/>
      <c r="E114" s="14"/>
      <c r="F114" s="18"/>
      <c r="G114" s="19"/>
      <c r="H114" s="20"/>
      <c r="I114" s="21"/>
      <c r="J114" s="14"/>
      <c r="K114" s="14">
        <f t="shared" si="2"/>
        <v>0</v>
      </c>
      <c r="L114" s="16">
        <f t="shared" si="3"/>
        <v>0</v>
      </c>
      <c r="M114" s="22">
        <v>44409</v>
      </c>
      <c r="N114" s="23" t="s">
        <v>16</v>
      </c>
      <c r="O114" s="24"/>
      <c r="P114" s="23" t="s">
        <v>183</v>
      </c>
    </row>
    <row r="115" spans="1:16">
      <c r="A115" s="14">
        <v>111</v>
      </c>
      <c r="B115" s="15" t="s">
        <v>184</v>
      </c>
      <c r="C115" s="16">
        <f>'Медикаменты Январь_2'!L115</f>
        <v>10</v>
      </c>
      <c r="D115" s="17"/>
      <c r="E115" s="14"/>
      <c r="F115" s="18">
        <f>2+3</f>
        <v>5</v>
      </c>
      <c r="G115" s="19"/>
      <c r="H115" s="20">
        <f>5</f>
        <v>5</v>
      </c>
      <c r="I115" s="21"/>
      <c r="J115" s="14"/>
      <c r="K115" s="14">
        <f t="shared" si="2"/>
        <v>10</v>
      </c>
      <c r="L115" s="16">
        <f t="shared" si="3"/>
        <v>0</v>
      </c>
      <c r="M115" s="22">
        <v>44986</v>
      </c>
      <c r="N115" s="23" t="s">
        <v>16</v>
      </c>
      <c r="O115" s="24" t="s">
        <v>17</v>
      </c>
      <c r="P115" s="23" t="s">
        <v>185</v>
      </c>
    </row>
    <row r="116" spans="1:16">
      <c r="A116" s="14">
        <v>112</v>
      </c>
      <c r="B116" s="15" t="s">
        <v>186</v>
      </c>
      <c r="C116" s="16">
        <f>'Медикаменты Январь_2'!L116</f>
        <v>4</v>
      </c>
      <c r="D116" s="17"/>
      <c r="E116" s="14"/>
      <c r="F116" s="18"/>
      <c r="G116" s="19"/>
      <c r="H116" s="20"/>
      <c r="I116" s="21"/>
      <c r="J116" s="14"/>
      <c r="K116" s="14">
        <f t="shared" si="2"/>
        <v>0</v>
      </c>
      <c r="L116" s="16">
        <f t="shared" si="3"/>
        <v>4</v>
      </c>
      <c r="M116" s="22">
        <v>44743</v>
      </c>
      <c r="N116" s="23" t="s">
        <v>16</v>
      </c>
      <c r="O116" s="24" t="s">
        <v>17</v>
      </c>
      <c r="P116" s="23" t="s">
        <v>187</v>
      </c>
    </row>
    <row r="117" spans="1:16">
      <c r="A117" s="14">
        <v>113</v>
      </c>
      <c r="B117" s="15" t="s">
        <v>188</v>
      </c>
      <c r="C117" s="16">
        <f>'Медикаменты Январь_2'!L117</f>
        <v>0</v>
      </c>
      <c r="D117" s="17"/>
      <c r="E117" s="14"/>
      <c r="F117" s="18"/>
      <c r="G117" s="19"/>
      <c r="H117" s="20"/>
      <c r="I117" s="21"/>
      <c r="J117" s="14"/>
      <c r="K117" s="14">
        <f t="shared" si="2"/>
        <v>0</v>
      </c>
      <c r="L117" s="16">
        <f t="shared" si="3"/>
        <v>0</v>
      </c>
      <c r="M117" s="22"/>
      <c r="N117" s="23" t="s">
        <v>16</v>
      </c>
      <c r="O117" s="24"/>
      <c r="P117" s="25"/>
    </row>
    <row r="118" spans="1:16">
      <c r="A118" s="14">
        <v>114</v>
      </c>
      <c r="B118" s="15" t="s">
        <v>189</v>
      </c>
      <c r="C118" s="16">
        <f>'Медикаменты Январь_2'!L118</f>
        <v>6</v>
      </c>
      <c r="D118" s="17"/>
      <c r="E118" s="14"/>
      <c r="F118" s="18">
        <f>6</f>
        <v>6</v>
      </c>
      <c r="G118" s="19"/>
      <c r="H118" s="20"/>
      <c r="I118" s="21"/>
      <c r="J118" s="14"/>
      <c r="K118" s="14">
        <f t="shared" si="2"/>
        <v>6</v>
      </c>
      <c r="L118" s="16">
        <f t="shared" si="3"/>
        <v>0</v>
      </c>
      <c r="M118" s="22">
        <v>44348</v>
      </c>
      <c r="N118" s="23" t="s">
        <v>16</v>
      </c>
      <c r="O118" s="24" t="s">
        <v>45</v>
      </c>
      <c r="P118" s="28" t="s">
        <v>190</v>
      </c>
    </row>
    <row r="119" spans="1:16">
      <c r="A119" s="14">
        <v>115</v>
      </c>
      <c r="B119" s="15" t="s">
        <v>191</v>
      </c>
      <c r="C119" s="16">
        <f>'Медикаменты Январь_2'!L119</f>
        <v>0</v>
      </c>
      <c r="D119" s="17"/>
      <c r="E119" s="14"/>
      <c r="F119" s="18"/>
      <c r="G119" s="19"/>
      <c r="H119" s="20"/>
      <c r="I119" s="21"/>
      <c r="J119" s="14"/>
      <c r="K119" s="14">
        <f t="shared" si="2"/>
        <v>0</v>
      </c>
      <c r="L119" s="16">
        <f t="shared" si="3"/>
        <v>0</v>
      </c>
      <c r="M119" s="22"/>
      <c r="N119" s="23" t="s">
        <v>16</v>
      </c>
      <c r="O119" s="24"/>
      <c r="P119" s="25"/>
    </row>
    <row r="120" spans="1:16">
      <c r="A120" s="14">
        <v>116</v>
      </c>
      <c r="B120" s="15" t="s">
        <v>192</v>
      </c>
      <c r="C120" s="16">
        <f>'Медикаменты Январь_2'!L120</f>
        <v>130</v>
      </c>
      <c r="D120" s="17"/>
      <c r="E120" s="14"/>
      <c r="F120" s="18"/>
      <c r="G120" s="19"/>
      <c r="H120" s="20"/>
      <c r="I120" s="21"/>
      <c r="J120" s="14"/>
      <c r="K120" s="14">
        <f t="shared" si="2"/>
        <v>0</v>
      </c>
      <c r="L120" s="16">
        <f t="shared" si="3"/>
        <v>130</v>
      </c>
      <c r="M120" s="22">
        <v>45047</v>
      </c>
      <c r="N120" s="23" t="s">
        <v>16</v>
      </c>
      <c r="O120" s="24" t="s">
        <v>17</v>
      </c>
      <c r="P120" s="28" t="s">
        <v>193</v>
      </c>
    </row>
    <row r="121" spans="1:16">
      <c r="A121" s="14">
        <v>117</v>
      </c>
      <c r="B121" s="15" t="s">
        <v>192</v>
      </c>
      <c r="C121" s="16">
        <f>'Медикаменты Январь_2'!L121</f>
        <v>0</v>
      </c>
      <c r="D121" s="17"/>
      <c r="E121" s="14"/>
      <c r="F121" s="18"/>
      <c r="G121" s="19"/>
      <c r="H121" s="20"/>
      <c r="I121" s="21"/>
      <c r="J121" s="14"/>
      <c r="K121" s="14">
        <f t="shared" si="2"/>
        <v>0</v>
      </c>
      <c r="L121" s="16">
        <f t="shared" si="3"/>
        <v>0</v>
      </c>
      <c r="M121" s="22">
        <v>45047</v>
      </c>
      <c r="N121" s="23" t="s">
        <v>26</v>
      </c>
      <c r="O121" s="24"/>
      <c r="P121" s="28" t="s">
        <v>193</v>
      </c>
    </row>
    <row r="122" spans="1:16">
      <c r="A122" s="14">
        <v>118</v>
      </c>
      <c r="B122" s="15" t="s">
        <v>194</v>
      </c>
      <c r="C122" s="16">
        <f>'Медикаменты Январь_2'!L122</f>
        <v>10</v>
      </c>
      <c r="D122" s="17"/>
      <c r="E122" s="14"/>
      <c r="F122" s="18"/>
      <c r="G122" s="19"/>
      <c r="H122" s="20"/>
      <c r="I122" s="21"/>
      <c r="J122" s="14"/>
      <c r="K122" s="14">
        <f t="shared" si="2"/>
        <v>0</v>
      </c>
      <c r="L122" s="16">
        <f t="shared" si="3"/>
        <v>10</v>
      </c>
      <c r="M122" s="22">
        <v>45658</v>
      </c>
      <c r="N122" s="23" t="s">
        <v>16</v>
      </c>
      <c r="O122" s="24" t="s">
        <v>45</v>
      </c>
      <c r="P122" s="28" t="s">
        <v>195</v>
      </c>
    </row>
    <row r="123" spans="1:16">
      <c r="A123" s="14">
        <v>119</v>
      </c>
      <c r="B123" s="15" t="s">
        <v>196</v>
      </c>
      <c r="C123" s="16">
        <f>'Медикаменты Январь_2'!L123</f>
        <v>56</v>
      </c>
      <c r="D123" s="17"/>
      <c r="E123" s="14"/>
      <c r="F123" s="18"/>
      <c r="G123" s="19"/>
      <c r="H123" s="20"/>
      <c r="I123" s="21"/>
      <c r="J123" s="14"/>
      <c r="K123" s="14">
        <f t="shared" si="2"/>
        <v>0</v>
      </c>
      <c r="L123" s="16">
        <f t="shared" si="3"/>
        <v>56</v>
      </c>
      <c r="M123" s="22">
        <v>44593</v>
      </c>
      <c r="N123" s="23" t="s">
        <v>16</v>
      </c>
      <c r="O123" s="24" t="s">
        <v>17</v>
      </c>
      <c r="P123" s="28" t="s">
        <v>197</v>
      </c>
    </row>
    <row r="124" spans="1:16">
      <c r="A124" s="14">
        <v>120</v>
      </c>
      <c r="B124" s="15" t="s">
        <v>198</v>
      </c>
      <c r="C124" s="16">
        <f>'Медикаменты Январь_2'!L124</f>
        <v>0</v>
      </c>
      <c r="D124" s="17"/>
      <c r="E124" s="14"/>
      <c r="F124" s="18"/>
      <c r="G124" s="19"/>
      <c r="H124" s="20"/>
      <c r="I124" s="21"/>
      <c r="J124" s="14"/>
      <c r="K124" s="14">
        <f t="shared" si="2"/>
        <v>0</v>
      </c>
      <c r="L124" s="16">
        <f t="shared" si="3"/>
        <v>0</v>
      </c>
      <c r="M124" s="22"/>
      <c r="N124" s="23" t="s">
        <v>16</v>
      </c>
      <c r="O124" s="24"/>
      <c r="P124" s="25"/>
    </row>
    <row r="125" spans="1:16">
      <c r="A125" s="14">
        <v>121</v>
      </c>
      <c r="B125" s="15" t="s">
        <v>199</v>
      </c>
      <c r="C125" s="16">
        <f>'Медикаменты Январь_2'!L125</f>
        <v>0</v>
      </c>
      <c r="D125" s="17"/>
      <c r="E125" s="14"/>
      <c r="F125" s="18"/>
      <c r="G125" s="19"/>
      <c r="H125" s="20"/>
      <c r="I125" s="21"/>
      <c r="J125" s="14"/>
      <c r="K125" s="14">
        <f t="shared" si="2"/>
        <v>0</v>
      </c>
      <c r="L125" s="16">
        <f t="shared" si="3"/>
        <v>0</v>
      </c>
      <c r="M125" s="22"/>
      <c r="N125" s="23" t="s">
        <v>16</v>
      </c>
      <c r="O125" s="24"/>
      <c r="P125" s="25"/>
    </row>
    <row r="126" spans="1:16">
      <c r="A126" s="14">
        <v>122</v>
      </c>
      <c r="B126" s="15" t="s">
        <v>548</v>
      </c>
      <c r="C126" s="16">
        <f>'Медикаменты Январь_2'!L126</f>
        <v>268</v>
      </c>
      <c r="D126" s="17"/>
      <c r="E126" s="14"/>
      <c r="F126" s="18">
        <f>10+10+3</f>
        <v>23</v>
      </c>
      <c r="G126" s="19"/>
      <c r="H126" s="20">
        <f>10</f>
        <v>10</v>
      </c>
      <c r="I126" s="21"/>
      <c r="J126" s="14"/>
      <c r="K126" s="14">
        <f t="shared" si="2"/>
        <v>33</v>
      </c>
      <c r="L126" s="16">
        <f t="shared" si="3"/>
        <v>235</v>
      </c>
      <c r="M126" s="22">
        <v>45658</v>
      </c>
      <c r="N126" s="23" t="s">
        <v>26</v>
      </c>
      <c r="O126" s="24" t="s">
        <v>17</v>
      </c>
      <c r="P126" s="23" t="s">
        <v>201</v>
      </c>
    </row>
    <row r="127" spans="1:16">
      <c r="A127" s="14">
        <v>123</v>
      </c>
      <c r="B127" s="15" t="s">
        <v>202</v>
      </c>
      <c r="C127" s="16">
        <f>'Медикаменты Январь_2'!L127</f>
        <v>0</v>
      </c>
      <c r="D127" s="17"/>
      <c r="E127" s="14"/>
      <c r="F127" s="18"/>
      <c r="G127" s="19"/>
      <c r="H127" s="20"/>
      <c r="I127" s="21"/>
      <c r="J127" s="14"/>
      <c r="K127" s="14">
        <f t="shared" si="2"/>
        <v>0</v>
      </c>
      <c r="L127" s="16">
        <f t="shared" si="3"/>
        <v>0</v>
      </c>
      <c r="M127" s="22"/>
      <c r="N127" s="23" t="s">
        <v>16</v>
      </c>
      <c r="O127" s="24"/>
      <c r="P127" s="25"/>
    </row>
    <row r="128" spans="1:16">
      <c r="A128" s="14">
        <v>124</v>
      </c>
      <c r="B128" s="15" t="s">
        <v>203</v>
      </c>
      <c r="C128" s="16">
        <f>'Медикаменты Январь_2'!L128</f>
        <v>0</v>
      </c>
      <c r="D128" s="17"/>
      <c r="E128" s="14"/>
      <c r="F128" s="18"/>
      <c r="G128" s="19"/>
      <c r="H128" s="20"/>
      <c r="I128" s="21"/>
      <c r="J128" s="14"/>
      <c r="K128" s="14">
        <f t="shared" si="2"/>
        <v>0</v>
      </c>
      <c r="L128" s="16">
        <f t="shared" si="3"/>
        <v>0</v>
      </c>
      <c r="M128" s="22">
        <v>44287</v>
      </c>
      <c r="N128" s="23" t="s">
        <v>16</v>
      </c>
      <c r="O128" s="24"/>
      <c r="P128" s="23" t="s">
        <v>204</v>
      </c>
    </row>
    <row r="129" spans="1:16">
      <c r="A129" s="14">
        <v>125</v>
      </c>
      <c r="B129" s="15" t="s">
        <v>205</v>
      </c>
      <c r="C129" s="16">
        <f>'Медикаменты Январь_2'!L129</f>
        <v>0</v>
      </c>
      <c r="D129" s="17"/>
      <c r="E129" s="14"/>
      <c r="F129" s="18"/>
      <c r="G129" s="19"/>
      <c r="H129" s="20"/>
      <c r="I129" s="21"/>
      <c r="J129" s="14"/>
      <c r="K129" s="14">
        <f t="shared" si="2"/>
        <v>0</v>
      </c>
      <c r="L129" s="16">
        <f t="shared" si="3"/>
        <v>0</v>
      </c>
      <c r="M129" s="22"/>
      <c r="N129" s="23" t="s">
        <v>16</v>
      </c>
      <c r="O129" s="24"/>
      <c r="P129" s="25"/>
    </row>
    <row r="130" spans="1:16">
      <c r="A130" s="14">
        <v>126</v>
      </c>
      <c r="B130" s="15" t="s">
        <v>206</v>
      </c>
      <c r="C130" s="16">
        <f>'Медикаменты Январь_2'!L130</f>
        <v>0</v>
      </c>
      <c r="D130" s="17"/>
      <c r="E130" s="14"/>
      <c r="F130" s="18"/>
      <c r="G130" s="19"/>
      <c r="H130" s="20"/>
      <c r="I130" s="21"/>
      <c r="J130" s="14"/>
      <c r="K130" s="14">
        <f t="shared" si="2"/>
        <v>0</v>
      </c>
      <c r="L130" s="16">
        <f t="shared" si="3"/>
        <v>0</v>
      </c>
      <c r="M130" s="22"/>
      <c r="N130" s="23" t="s">
        <v>16</v>
      </c>
      <c r="O130" s="24"/>
      <c r="P130" s="25"/>
    </row>
    <row r="131" spans="1:16">
      <c r="A131" s="14">
        <v>127</v>
      </c>
      <c r="B131" s="15" t="s">
        <v>207</v>
      </c>
      <c r="C131" s="16">
        <f>'Медикаменты Январь_2'!L131</f>
        <v>0</v>
      </c>
      <c r="D131" s="17"/>
      <c r="E131" s="14"/>
      <c r="F131" s="18"/>
      <c r="G131" s="19"/>
      <c r="H131" s="20"/>
      <c r="I131" s="21"/>
      <c r="J131" s="14"/>
      <c r="K131" s="14">
        <f t="shared" si="2"/>
        <v>0</v>
      </c>
      <c r="L131" s="16">
        <f t="shared" si="3"/>
        <v>0</v>
      </c>
      <c r="M131" s="22"/>
      <c r="N131" s="23" t="s">
        <v>16</v>
      </c>
      <c r="O131" s="24"/>
      <c r="P131" s="25"/>
    </row>
    <row r="132" spans="1:16">
      <c r="A132" s="14">
        <v>128</v>
      </c>
      <c r="B132" s="15" t="s">
        <v>208</v>
      </c>
      <c r="C132" s="16">
        <f>'Медикаменты Январь_2'!L132</f>
        <v>0</v>
      </c>
      <c r="D132" s="17"/>
      <c r="E132" s="14"/>
      <c r="F132" s="18"/>
      <c r="G132" s="19"/>
      <c r="H132" s="20"/>
      <c r="I132" s="21"/>
      <c r="J132" s="14"/>
      <c r="K132" s="14">
        <f t="shared" si="2"/>
        <v>0</v>
      </c>
      <c r="L132" s="16">
        <f t="shared" si="3"/>
        <v>0</v>
      </c>
      <c r="M132" s="22">
        <v>44986</v>
      </c>
      <c r="N132" s="23" t="s">
        <v>16</v>
      </c>
      <c r="O132" s="24"/>
      <c r="P132" s="23" t="s">
        <v>209</v>
      </c>
    </row>
    <row r="133" spans="1:16">
      <c r="A133" s="14">
        <v>129</v>
      </c>
      <c r="B133" s="15" t="s">
        <v>210</v>
      </c>
      <c r="C133" s="16">
        <f>'Медикаменты Январь_2'!L133</f>
        <v>112</v>
      </c>
      <c r="D133" s="17"/>
      <c r="E133" s="14"/>
      <c r="F133" s="18">
        <f>5+10+2</f>
        <v>17</v>
      </c>
      <c r="G133" s="19"/>
      <c r="H133" s="20"/>
      <c r="I133" s="21"/>
      <c r="J133" s="14"/>
      <c r="K133" s="14">
        <f t="shared" ref="K133:K196" si="4">SUM(F133:J133)</f>
        <v>17</v>
      </c>
      <c r="L133" s="16">
        <f t="shared" ref="L133:L196" si="5">(C133+E133)-K133</f>
        <v>95</v>
      </c>
      <c r="M133" s="22">
        <v>45413</v>
      </c>
      <c r="N133" s="23" t="s">
        <v>16</v>
      </c>
      <c r="O133" s="24" t="s">
        <v>17</v>
      </c>
      <c r="P133" s="23" t="s">
        <v>211</v>
      </c>
    </row>
    <row r="134" spans="1:16">
      <c r="A134" s="14">
        <v>130</v>
      </c>
      <c r="B134" s="15" t="s">
        <v>210</v>
      </c>
      <c r="C134" s="16">
        <f>'Медикаменты Январь_2'!L134</f>
        <v>32</v>
      </c>
      <c r="D134" s="17"/>
      <c r="E134" s="14"/>
      <c r="F134" s="18"/>
      <c r="G134" s="19"/>
      <c r="H134" s="20"/>
      <c r="I134" s="21">
        <f>25</f>
        <v>25</v>
      </c>
      <c r="J134" s="14"/>
      <c r="K134" s="14">
        <f t="shared" si="4"/>
        <v>25</v>
      </c>
      <c r="L134" s="16">
        <f t="shared" si="5"/>
        <v>7</v>
      </c>
      <c r="M134" s="22">
        <v>45413</v>
      </c>
      <c r="N134" s="23" t="s">
        <v>26</v>
      </c>
      <c r="O134" s="24" t="s">
        <v>17</v>
      </c>
      <c r="P134" s="23" t="s">
        <v>211</v>
      </c>
    </row>
    <row r="135" spans="1:16">
      <c r="A135" s="14">
        <v>131</v>
      </c>
      <c r="B135" s="15" t="s">
        <v>212</v>
      </c>
      <c r="C135" s="16">
        <f>'Медикаменты Январь_2'!L135</f>
        <v>0</v>
      </c>
      <c r="D135" s="17"/>
      <c r="E135" s="14"/>
      <c r="F135" s="18"/>
      <c r="G135" s="19"/>
      <c r="H135" s="20"/>
      <c r="I135" s="21"/>
      <c r="J135" s="14"/>
      <c r="K135" s="14">
        <f t="shared" si="4"/>
        <v>0</v>
      </c>
      <c r="L135" s="16">
        <f t="shared" si="5"/>
        <v>0</v>
      </c>
      <c r="M135" s="22"/>
      <c r="N135" s="23" t="s">
        <v>16</v>
      </c>
      <c r="O135" s="24"/>
      <c r="P135" s="25"/>
    </row>
    <row r="136" spans="1:16" ht="26.25">
      <c r="A136" s="14">
        <v>132</v>
      </c>
      <c r="B136" s="15" t="s">
        <v>213</v>
      </c>
      <c r="C136" s="16">
        <f>'Медикаменты Январь_2'!L136</f>
        <v>68</v>
      </c>
      <c r="D136" s="17"/>
      <c r="E136" s="14"/>
      <c r="F136" s="18"/>
      <c r="G136" s="19"/>
      <c r="H136" s="20"/>
      <c r="I136" s="21"/>
      <c r="J136" s="14"/>
      <c r="K136" s="14">
        <f t="shared" si="4"/>
        <v>0</v>
      </c>
      <c r="L136" s="16">
        <f t="shared" si="5"/>
        <v>68</v>
      </c>
      <c r="M136" s="22">
        <v>44409</v>
      </c>
      <c r="N136" s="23" t="s">
        <v>16</v>
      </c>
      <c r="O136" s="24" t="s">
        <v>17</v>
      </c>
      <c r="P136" s="28" t="s">
        <v>214</v>
      </c>
    </row>
    <row r="137" spans="1:16">
      <c r="A137" s="14">
        <v>133</v>
      </c>
      <c r="B137" s="15" t="s">
        <v>215</v>
      </c>
      <c r="C137" s="16">
        <f>'Медикаменты Январь_2'!L137</f>
        <v>0</v>
      </c>
      <c r="D137" s="17"/>
      <c r="E137" s="14"/>
      <c r="F137" s="18"/>
      <c r="G137" s="19"/>
      <c r="H137" s="20"/>
      <c r="I137" s="21"/>
      <c r="J137" s="14"/>
      <c r="K137" s="14">
        <f t="shared" si="4"/>
        <v>0</v>
      </c>
      <c r="L137" s="16">
        <f t="shared" si="5"/>
        <v>0</v>
      </c>
      <c r="M137" s="22"/>
      <c r="N137" s="23" t="s">
        <v>26</v>
      </c>
      <c r="O137" s="24"/>
      <c r="P137" s="25"/>
    </row>
    <row r="138" spans="1:16" ht="26.25">
      <c r="A138" s="14">
        <v>134</v>
      </c>
      <c r="B138" s="15" t="s">
        <v>216</v>
      </c>
      <c r="C138" s="16">
        <f>'Медикаменты Январь_2'!L138</f>
        <v>31</v>
      </c>
      <c r="D138" s="17"/>
      <c r="E138" s="14"/>
      <c r="F138" s="18"/>
      <c r="G138" s="19"/>
      <c r="H138" s="20">
        <f>5</f>
        <v>5</v>
      </c>
      <c r="I138" s="21"/>
      <c r="J138" s="14"/>
      <c r="K138" s="14">
        <f t="shared" si="4"/>
        <v>5</v>
      </c>
      <c r="L138" s="16">
        <f t="shared" si="5"/>
        <v>26</v>
      </c>
      <c r="M138" s="22">
        <v>44805</v>
      </c>
      <c r="N138" s="23" t="s">
        <v>16</v>
      </c>
      <c r="O138" s="24" t="s">
        <v>17</v>
      </c>
      <c r="P138" s="28" t="s">
        <v>217</v>
      </c>
    </row>
    <row r="139" spans="1:16">
      <c r="A139" s="14">
        <v>135</v>
      </c>
      <c r="B139" s="15" t="s">
        <v>216</v>
      </c>
      <c r="C139" s="16">
        <f>'Медикаменты Январь_2'!L139</f>
        <v>0</v>
      </c>
      <c r="D139" s="17"/>
      <c r="E139" s="14"/>
      <c r="F139" s="18"/>
      <c r="G139" s="19"/>
      <c r="H139" s="20"/>
      <c r="I139" s="21"/>
      <c r="J139" s="14"/>
      <c r="K139" s="14">
        <f t="shared" si="4"/>
        <v>0</v>
      </c>
      <c r="L139" s="16">
        <f t="shared" si="5"/>
        <v>0</v>
      </c>
      <c r="M139" s="22"/>
      <c r="N139" s="23" t="s">
        <v>26</v>
      </c>
      <c r="O139" s="24"/>
      <c r="P139" s="25"/>
    </row>
    <row r="140" spans="1:16">
      <c r="A140" s="14">
        <v>136</v>
      </c>
      <c r="B140" s="15" t="s">
        <v>218</v>
      </c>
      <c r="C140" s="16">
        <f>'Медикаменты Январь_2'!L140</f>
        <v>0</v>
      </c>
      <c r="D140" s="17"/>
      <c r="E140" s="14"/>
      <c r="F140" s="18"/>
      <c r="G140" s="19"/>
      <c r="H140" s="20"/>
      <c r="I140" s="21"/>
      <c r="J140" s="14"/>
      <c r="K140" s="14">
        <f t="shared" si="4"/>
        <v>0</v>
      </c>
      <c r="L140" s="16">
        <f t="shared" si="5"/>
        <v>0</v>
      </c>
      <c r="M140" s="22"/>
      <c r="N140" s="23" t="s">
        <v>16</v>
      </c>
      <c r="O140" s="24"/>
      <c r="P140" s="25"/>
    </row>
    <row r="141" spans="1:16">
      <c r="A141" s="14">
        <v>137</v>
      </c>
      <c r="B141" s="15" t="s">
        <v>219</v>
      </c>
      <c r="C141" s="16">
        <f>'Медикаменты Январь_2'!L141</f>
        <v>0</v>
      </c>
      <c r="D141" s="17"/>
      <c r="E141" s="14"/>
      <c r="F141" s="18"/>
      <c r="G141" s="19"/>
      <c r="H141" s="20"/>
      <c r="I141" s="21"/>
      <c r="J141" s="14"/>
      <c r="K141" s="14">
        <f t="shared" si="4"/>
        <v>0</v>
      </c>
      <c r="L141" s="16">
        <f t="shared" si="5"/>
        <v>0</v>
      </c>
      <c r="M141" s="22"/>
      <c r="N141" s="23" t="s">
        <v>16</v>
      </c>
      <c r="O141" s="24"/>
      <c r="P141" s="25"/>
    </row>
    <row r="142" spans="1:16">
      <c r="A142" s="14">
        <v>138</v>
      </c>
      <c r="B142" s="15" t="s">
        <v>220</v>
      </c>
      <c r="C142" s="16">
        <f>'Медикаменты Январь_2'!L142</f>
        <v>0</v>
      </c>
      <c r="D142" s="17"/>
      <c r="E142" s="14"/>
      <c r="F142" s="18"/>
      <c r="G142" s="19"/>
      <c r="H142" s="20"/>
      <c r="I142" s="21"/>
      <c r="J142" s="14"/>
      <c r="K142" s="14">
        <f t="shared" si="4"/>
        <v>0</v>
      </c>
      <c r="L142" s="16">
        <f t="shared" si="5"/>
        <v>0</v>
      </c>
      <c r="M142" s="22">
        <v>44256</v>
      </c>
      <c r="N142" s="23" t="s">
        <v>16</v>
      </c>
      <c r="O142" s="24"/>
      <c r="P142" s="23" t="s">
        <v>221</v>
      </c>
    </row>
    <row r="143" spans="1:16">
      <c r="A143" s="14">
        <v>139</v>
      </c>
      <c r="B143" s="15" t="s">
        <v>222</v>
      </c>
      <c r="C143" s="16">
        <f>'Медикаменты Январь_2'!L143</f>
        <v>94</v>
      </c>
      <c r="D143" s="17"/>
      <c r="E143" s="14"/>
      <c r="F143" s="18">
        <f>8</f>
        <v>8</v>
      </c>
      <c r="G143" s="19"/>
      <c r="H143" s="20"/>
      <c r="I143" s="21"/>
      <c r="J143" s="14"/>
      <c r="K143" s="14">
        <f t="shared" si="4"/>
        <v>8</v>
      </c>
      <c r="L143" s="16">
        <f t="shared" si="5"/>
        <v>86</v>
      </c>
      <c r="M143" s="22">
        <v>44317</v>
      </c>
      <c r="N143" s="23" t="s">
        <v>16</v>
      </c>
      <c r="O143" s="24" t="s">
        <v>17</v>
      </c>
      <c r="P143" s="23" t="s">
        <v>223</v>
      </c>
    </row>
    <row r="144" spans="1:16">
      <c r="A144" s="14">
        <v>140</v>
      </c>
      <c r="B144" s="15" t="s">
        <v>224</v>
      </c>
      <c r="C144" s="16">
        <f>'Медикаменты Январь_2'!L144</f>
        <v>0</v>
      </c>
      <c r="D144" s="17"/>
      <c r="E144" s="14"/>
      <c r="F144" s="18"/>
      <c r="G144" s="19"/>
      <c r="H144" s="20"/>
      <c r="I144" s="21"/>
      <c r="J144" s="14"/>
      <c r="K144" s="14">
        <f t="shared" si="4"/>
        <v>0</v>
      </c>
      <c r="L144" s="16">
        <f t="shared" si="5"/>
        <v>0</v>
      </c>
      <c r="M144" s="22">
        <v>45261</v>
      </c>
      <c r="N144" s="23" t="s">
        <v>16</v>
      </c>
      <c r="O144" s="24"/>
      <c r="P144" s="28" t="s">
        <v>225</v>
      </c>
    </row>
    <row r="145" spans="1:16">
      <c r="A145" s="14">
        <v>141</v>
      </c>
      <c r="B145" s="15" t="s">
        <v>226</v>
      </c>
      <c r="C145" s="16">
        <f>'Медикаменты Январь_2'!L145</f>
        <v>0</v>
      </c>
      <c r="D145" s="17"/>
      <c r="E145" s="14"/>
      <c r="F145" s="18"/>
      <c r="G145" s="19"/>
      <c r="H145" s="20"/>
      <c r="I145" s="21"/>
      <c r="J145" s="14"/>
      <c r="K145" s="14">
        <f t="shared" si="4"/>
        <v>0</v>
      </c>
      <c r="L145" s="16">
        <f t="shared" si="5"/>
        <v>0</v>
      </c>
      <c r="M145" s="22"/>
      <c r="N145" s="23" t="s">
        <v>16</v>
      </c>
      <c r="O145" s="24"/>
      <c r="P145" s="25"/>
    </row>
    <row r="146" spans="1:16">
      <c r="A146" s="14">
        <v>142</v>
      </c>
      <c r="B146" s="15" t="s">
        <v>227</v>
      </c>
      <c r="C146" s="16">
        <f>'Медикаменты Январь_2'!L146</f>
        <v>0</v>
      </c>
      <c r="D146" s="17"/>
      <c r="E146" s="14"/>
      <c r="F146" s="18"/>
      <c r="G146" s="19"/>
      <c r="H146" s="20"/>
      <c r="I146" s="21"/>
      <c r="J146" s="14"/>
      <c r="K146" s="14">
        <f t="shared" si="4"/>
        <v>0</v>
      </c>
      <c r="L146" s="16">
        <f t="shared" si="5"/>
        <v>0</v>
      </c>
      <c r="M146" s="22">
        <v>44562</v>
      </c>
      <c r="N146" s="23" t="s">
        <v>16</v>
      </c>
      <c r="O146" s="24"/>
      <c r="P146" s="23" t="s">
        <v>228</v>
      </c>
    </row>
    <row r="147" spans="1:16">
      <c r="A147" s="14">
        <v>143</v>
      </c>
      <c r="B147" s="15" t="s">
        <v>229</v>
      </c>
      <c r="C147" s="16">
        <f>'Медикаменты Январь_2'!L147</f>
        <v>36</v>
      </c>
      <c r="D147" s="17"/>
      <c r="E147" s="14"/>
      <c r="F147" s="18"/>
      <c r="G147" s="19"/>
      <c r="H147" s="20"/>
      <c r="I147" s="21"/>
      <c r="J147" s="14"/>
      <c r="K147" s="14">
        <f t="shared" si="4"/>
        <v>0</v>
      </c>
      <c r="L147" s="16">
        <f t="shared" si="5"/>
        <v>36</v>
      </c>
      <c r="M147" s="22">
        <v>44986</v>
      </c>
      <c r="N147" s="23" t="s">
        <v>16</v>
      </c>
      <c r="O147" s="24" t="s">
        <v>17</v>
      </c>
      <c r="P147" s="23" t="s">
        <v>230</v>
      </c>
    </row>
    <row r="148" spans="1:16">
      <c r="A148" s="14">
        <v>144</v>
      </c>
      <c r="B148" s="15" t="s">
        <v>231</v>
      </c>
      <c r="C148" s="16">
        <f>'Медикаменты Январь_2'!L148</f>
        <v>0</v>
      </c>
      <c r="D148" s="17"/>
      <c r="E148" s="14"/>
      <c r="F148" s="18"/>
      <c r="G148" s="19"/>
      <c r="H148" s="20"/>
      <c r="I148" s="21"/>
      <c r="J148" s="14"/>
      <c r="K148" s="14">
        <f t="shared" si="4"/>
        <v>0</v>
      </c>
      <c r="L148" s="16">
        <f t="shared" si="5"/>
        <v>0</v>
      </c>
      <c r="M148" s="22"/>
      <c r="N148" s="23" t="s">
        <v>16</v>
      </c>
      <c r="O148" s="24"/>
      <c r="P148" s="25"/>
    </row>
    <row r="149" spans="1:16">
      <c r="A149" s="14">
        <v>145</v>
      </c>
      <c r="B149" s="15" t="s">
        <v>232</v>
      </c>
      <c r="C149" s="16">
        <f>'Медикаменты Январь_2'!L149</f>
        <v>0</v>
      </c>
      <c r="D149" s="17"/>
      <c r="E149" s="14"/>
      <c r="F149" s="18"/>
      <c r="G149" s="19"/>
      <c r="H149" s="20"/>
      <c r="I149" s="21"/>
      <c r="J149" s="14"/>
      <c r="K149" s="14">
        <f t="shared" si="4"/>
        <v>0</v>
      </c>
      <c r="L149" s="16">
        <f t="shared" si="5"/>
        <v>0</v>
      </c>
      <c r="M149" s="22"/>
      <c r="N149" s="23" t="s">
        <v>16</v>
      </c>
      <c r="O149" s="24"/>
      <c r="P149" s="25"/>
    </row>
    <row r="150" spans="1:16">
      <c r="A150" s="14">
        <v>146</v>
      </c>
      <c r="B150" s="15" t="s">
        <v>233</v>
      </c>
      <c r="C150" s="16">
        <f>'Медикаменты Январь_2'!L150</f>
        <v>29</v>
      </c>
      <c r="D150" s="17"/>
      <c r="E150" s="14"/>
      <c r="F150" s="18"/>
      <c r="G150" s="19"/>
      <c r="H150" s="20"/>
      <c r="I150" s="21"/>
      <c r="J150" s="14"/>
      <c r="K150" s="14">
        <f t="shared" si="4"/>
        <v>0</v>
      </c>
      <c r="L150" s="16">
        <f t="shared" si="5"/>
        <v>29</v>
      </c>
      <c r="M150" s="22">
        <v>44287</v>
      </c>
      <c r="N150" s="23" t="s">
        <v>16</v>
      </c>
      <c r="O150" s="24" t="s">
        <v>45</v>
      </c>
      <c r="P150" s="23" t="s">
        <v>234</v>
      </c>
    </row>
    <row r="151" spans="1:16">
      <c r="A151" s="14">
        <v>147</v>
      </c>
      <c r="B151" s="15" t="s">
        <v>235</v>
      </c>
      <c r="C151" s="16">
        <f>'Медикаменты Январь_2'!L151</f>
        <v>0</v>
      </c>
      <c r="D151" s="17"/>
      <c r="E151" s="14"/>
      <c r="F151" s="18"/>
      <c r="G151" s="19"/>
      <c r="H151" s="20"/>
      <c r="I151" s="21"/>
      <c r="J151" s="14"/>
      <c r="K151" s="14">
        <f t="shared" si="4"/>
        <v>0</v>
      </c>
      <c r="L151" s="16">
        <f t="shared" si="5"/>
        <v>0</v>
      </c>
      <c r="M151" s="22"/>
      <c r="N151" s="23" t="s">
        <v>16</v>
      </c>
      <c r="O151" s="24"/>
      <c r="P151" s="25"/>
    </row>
    <row r="152" spans="1:16">
      <c r="A152" s="14">
        <v>148</v>
      </c>
      <c r="B152" s="15" t="s">
        <v>236</v>
      </c>
      <c r="C152" s="16">
        <f>'Медикаменты Январь_2'!L152</f>
        <v>84</v>
      </c>
      <c r="D152" s="17"/>
      <c r="E152" s="14"/>
      <c r="F152" s="18">
        <f>5</f>
        <v>5</v>
      </c>
      <c r="G152" s="19"/>
      <c r="H152" s="20"/>
      <c r="I152" s="21"/>
      <c r="J152" s="14"/>
      <c r="K152" s="14">
        <f t="shared" si="4"/>
        <v>5</v>
      </c>
      <c r="L152" s="16">
        <f t="shared" si="5"/>
        <v>79</v>
      </c>
      <c r="M152" s="22">
        <v>44593</v>
      </c>
      <c r="N152" s="23" t="s">
        <v>16</v>
      </c>
      <c r="O152" s="24" t="s">
        <v>45</v>
      </c>
      <c r="P152" s="28" t="s">
        <v>237</v>
      </c>
    </row>
    <row r="153" spans="1:16">
      <c r="A153" s="14">
        <v>149</v>
      </c>
      <c r="B153" s="15" t="s">
        <v>238</v>
      </c>
      <c r="C153" s="16">
        <f>'Медикаменты Январь_2'!L153</f>
        <v>0</v>
      </c>
      <c r="D153" s="17"/>
      <c r="E153" s="14"/>
      <c r="F153" s="18"/>
      <c r="G153" s="19"/>
      <c r="H153" s="20"/>
      <c r="I153" s="21"/>
      <c r="J153" s="14"/>
      <c r="K153" s="14">
        <f t="shared" si="4"/>
        <v>0</v>
      </c>
      <c r="L153" s="16">
        <f t="shared" si="5"/>
        <v>0</v>
      </c>
      <c r="M153" s="22"/>
      <c r="N153" s="23" t="s">
        <v>16</v>
      </c>
      <c r="O153" s="24"/>
      <c r="P153" s="25"/>
    </row>
    <row r="154" spans="1:16">
      <c r="A154" s="14">
        <v>150</v>
      </c>
      <c r="B154" s="15" t="s">
        <v>239</v>
      </c>
      <c r="C154" s="16">
        <f>'Медикаменты Январь_2'!L154</f>
        <v>0</v>
      </c>
      <c r="D154" s="17"/>
      <c r="E154" s="14"/>
      <c r="F154" s="18"/>
      <c r="G154" s="19"/>
      <c r="H154" s="20"/>
      <c r="I154" s="21"/>
      <c r="J154" s="14"/>
      <c r="K154" s="14">
        <f t="shared" si="4"/>
        <v>0</v>
      </c>
      <c r="L154" s="16">
        <f t="shared" si="5"/>
        <v>0</v>
      </c>
      <c r="M154" s="22"/>
      <c r="N154" s="23" t="s">
        <v>16</v>
      </c>
      <c r="O154" s="24"/>
      <c r="P154" s="25"/>
    </row>
    <row r="155" spans="1:16">
      <c r="A155" s="14">
        <v>151</v>
      </c>
      <c r="B155" s="15" t="s">
        <v>240</v>
      </c>
      <c r="C155" s="16">
        <f>'Медикаменты Январь_2'!L155</f>
        <v>149</v>
      </c>
      <c r="D155" s="17"/>
      <c r="E155" s="14"/>
      <c r="F155" s="18">
        <f>15+10+3</f>
        <v>28</v>
      </c>
      <c r="G155" s="19"/>
      <c r="H155" s="20"/>
      <c r="I155" s="21"/>
      <c r="J155" s="14"/>
      <c r="K155" s="14">
        <f t="shared" si="4"/>
        <v>28</v>
      </c>
      <c r="L155" s="16">
        <f t="shared" si="5"/>
        <v>121</v>
      </c>
      <c r="M155" s="22">
        <v>44652</v>
      </c>
      <c r="N155" s="23" t="s">
        <v>16</v>
      </c>
      <c r="O155" s="24" t="s">
        <v>17</v>
      </c>
      <c r="P155" s="28" t="s">
        <v>241</v>
      </c>
    </row>
    <row r="156" spans="1:16">
      <c r="A156" s="14">
        <v>152</v>
      </c>
      <c r="B156" s="15" t="s">
        <v>242</v>
      </c>
      <c r="C156" s="16">
        <f>'Медикаменты Январь_2'!L156</f>
        <v>0</v>
      </c>
      <c r="D156" s="17"/>
      <c r="E156" s="14"/>
      <c r="F156" s="18"/>
      <c r="G156" s="19"/>
      <c r="H156" s="20"/>
      <c r="I156" s="21"/>
      <c r="J156" s="14"/>
      <c r="K156" s="14">
        <f t="shared" si="4"/>
        <v>0</v>
      </c>
      <c r="L156" s="16">
        <f t="shared" si="5"/>
        <v>0</v>
      </c>
      <c r="M156" s="22"/>
      <c r="N156" s="23" t="s">
        <v>16</v>
      </c>
      <c r="O156" s="24"/>
      <c r="P156" s="25"/>
    </row>
    <row r="157" spans="1:16" ht="26.25">
      <c r="A157" s="14">
        <v>153</v>
      </c>
      <c r="B157" s="15" t="s">
        <v>243</v>
      </c>
      <c r="C157" s="16">
        <f>'Медикаменты Январь_2'!L157</f>
        <v>155</v>
      </c>
      <c r="D157" s="17"/>
      <c r="E157" s="14"/>
      <c r="F157" s="18">
        <f>5</f>
        <v>5</v>
      </c>
      <c r="G157" s="19"/>
      <c r="H157" s="20"/>
      <c r="I157" s="21"/>
      <c r="J157" s="14"/>
      <c r="K157" s="14">
        <f t="shared" si="4"/>
        <v>5</v>
      </c>
      <c r="L157" s="16">
        <f t="shared" si="5"/>
        <v>150</v>
      </c>
      <c r="M157" s="22">
        <v>44501</v>
      </c>
      <c r="N157" s="23" t="s">
        <v>16</v>
      </c>
      <c r="O157" s="24" t="s">
        <v>17</v>
      </c>
      <c r="P157" s="28" t="s">
        <v>244</v>
      </c>
    </row>
    <row r="158" spans="1:16">
      <c r="A158" s="14">
        <v>154</v>
      </c>
      <c r="B158" s="15" t="s">
        <v>245</v>
      </c>
      <c r="C158" s="16">
        <f>'Медикаменты Январь_2'!L158</f>
        <v>0</v>
      </c>
      <c r="D158" s="17"/>
      <c r="E158" s="14"/>
      <c r="F158" s="18"/>
      <c r="G158" s="19"/>
      <c r="H158" s="20"/>
      <c r="I158" s="21"/>
      <c r="J158" s="14"/>
      <c r="K158" s="14">
        <f t="shared" si="4"/>
        <v>0</v>
      </c>
      <c r="L158" s="16">
        <f t="shared" si="5"/>
        <v>0</v>
      </c>
      <c r="M158" s="22"/>
      <c r="N158" s="23" t="s">
        <v>16</v>
      </c>
      <c r="O158" s="24"/>
      <c r="P158" s="25"/>
    </row>
    <row r="159" spans="1:16">
      <c r="A159" s="14">
        <v>155</v>
      </c>
      <c r="B159" s="15" t="s">
        <v>246</v>
      </c>
      <c r="C159" s="16">
        <f>'Медикаменты Январь_2'!L159</f>
        <v>0</v>
      </c>
      <c r="D159" s="17"/>
      <c r="E159" s="14"/>
      <c r="F159" s="18"/>
      <c r="G159" s="19"/>
      <c r="H159" s="20"/>
      <c r="I159" s="21"/>
      <c r="J159" s="14"/>
      <c r="K159" s="14">
        <f t="shared" si="4"/>
        <v>0</v>
      </c>
      <c r="L159" s="16">
        <f t="shared" si="5"/>
        <v>0</v>
      </c>
      <c r="M159" s="22"/>
      <c r="N159" s="23" t="s">
        <v>16</v>
      </c>
      <c r="O159" s="24"/>
      <c r="P159" s="25"/>
    </row>
    <row r="160" spans="1:16">
      <c r="A160" s="14">
        <v>156</v>
      </c>
      <c r="B160" s="15" t="s">
        <v>247</v>
      </c>
      <c r="C160" s="16">
        <f>'Медикаменты Январь_2'!L160</f>
        <v>0</v>
      </c>
      <c r="D160" s="17"/>
      <c r="E160" s="14"/>
      <c r="F160" s="18"/>
      <c r="G160" s="19"/>
      <c r="H160" s="20"/>
      <c r="I160" s="21"/>
      <c r="J160" s="14"/>
      <c r="K160" s="14">
        <f t="shared" si="4"/>
        <v>0</v>
      </c>
      <c r="L160" s="16">
        <f t="shared" si="5"/>
        <v>0</v>
      </c>
      <c r="M160" s="22"/>
      <c r="N160" s="23" t="s">
        <v>16</v>
      </c>
      <c r="O160" s="24"/>
      <c r="P160" s="25"/>
    </row>
    <row r="161" spans="1:16">
      <c r="A161" s="14">
        <v>157</v>
      </c>
      <c r="B161" s="15" t="s">
        <v>248</v>
      </c>
      <c r="C161" s="16">
        <f>'Медикаменты Январь_2'!L161</f>
        <v>0</v>
      </c>
      <c r="D161" s="17"/>
      <c r="E161" s="14"/>
      <c r="F161" s="18"/>
      <c r="G161" s="19"/>
      <c r="H161" s="20"/>
      <c r="I161" s="21"/>
      <c r="J161" s="14"/>
      <c r="K161" s="14">
        <f t="shared" si="4"/>
        <v>0</v>
      </c>
      <c r="L161" s="16">
        <f t="shared" si="5"/>
        <v>0</v>
      </c>
      <c r="M161" s="22"/>
      <c r="N161" s="23" t="s">
        <v>16</v>
      </c>
      <c r="O161" s="24"/>
      <c r="P161" s="25"/>
    </row>
    <row r="162" spans="1:16">
      <c r="A162" s="14">
        <v>158</v>
      </c>
      <c r="B162" s="15" t="s">
        <v>249</v>
      </c>
      <c r="C162" s="16">
        <f>'Медикаменты Январь_2'!L162</f>
        <v>0</v>
      </c>
      <c r="D162" s="17"/>
      <c r="E162" s="14"/>
      <c r="F162" s="18"/>
      <c r="G162" s="19"/>
      <c r="H162" s="20"/>
      <c r="I162" s="21"/>
      <c r="J162" s="14"/>
      <c r="K162" s="14">
        <f t="shared" si="4"/>
        <v>0</v>
      </c>
      <c r="L162" s="16">
        <f t="shared" si="5"/>
        <v>0</v>
      </c>
      <c r="M162" s="22"/>
      <c r="N162" s="23" t="s">
        <v>16</v>
      </c>
      <c r="O162" s="24"/>
      <c r="P162" s="25"/>
    </row>
    <row r="163" spans="1:16">
      <c r="A163" s="14">
        <v>159</v>
      </c>
      <c r="B163" s="15" t="s">
        <v>250</v>
      </c>
      <c r="C163" s="16">
        <f>'Медикаменты Январь_2'!L163</f>
        <v>0</v>
      </c>
      <c r="D163" s="17"/>
      <c r="E163" s="14"/>
      <c r="F163" s="18"/>
      <c r="G163" s="19"/>
      <c r="H163" s="20"/>
      <c r="I163" s="21"/>
      <c r="J163" s="14"/>
      <c r="K163" s="14">
        <f t="shared" si="4"/>
        <v>0</v>
      </c>
      <c r="L163" s="16">
        <f t="shared" si="5"/>
        <v>0</v>
      </c>
      <c r="M163" s="22"/>
      <c r="N163" s="23" t="s">
        <v>16</v>
      </c>
      <c r="O163" s="24"/>
      <c r="P163" s="25"/>
    </row>
    <row r="164" spans="1:16">
      <c r="A164" s="14">
        <v>160</v>
      </c>
      <c r="B164" s="15" t="s">
        <v>251</v>
      </c>
      <c r="C164" s="16">
        <f>'Медикаменты Январь_2'!L164</f>
        <v>5</v>
      </c>
      <c r="D164" s="17"/>
      <c r="E164" s="14"/>
      <c r="F164" s="18"/>
      <c r="G164" s="19"/>
      <c r="H164" s="20"/>
      <c r="I164" s="21"/>
      <c r="J164" s="14"/>
      <c r="K164" s="14">
        <f t="shared" si="4"/>
        <v>0</v>
      </c>
      <c r="L164" s="16">
        <f t="shared" si="5"/>
        <v>5</v>
      </c>
      <c r="M164" s="22">
        <v>44682</v>
      </c>
      <c r="N164" s="23" t="s">
        <v>16</v>
      </c>
      <c r="O164" s="24" t="s">
        <v>45</v>
      </c>
      <c r="P164" s="23" t="s">
        <v>252</v>
      </c>
    </row>
    <row r="165" spans="1:16">
      <c r="A165" s="14">
        <v>161</v>
      </c>
      <c r="B165" s="15" t="s">
        <v>253</v>
      </c>
      <c r="C165" s="16">
        <f>'Медикаменты Январь_2'!L165</f>
        <v>100</v>
      </c>
      <c r="D165" s="17"/>
      <c r="E165" s="14"/>
      <c r="F165" s="18"/>
      <c r="G165" s="19"/>
      <c r="H165" s="20"/>
      <c r="I165" s="21"/>
      <c r="J165" s="14"/>
      <c r="K165" s="14">
        <f t="shared" si="4"/>
        <v>0</v>
      </c>
      <c r="L165" s="16">
        <f t="shared" si="5"/>
        <v>100</v>
      </c>
      <c r="M165" s="22">
        <v>45047</v>
      </c>
      <c r="N165" s="23" t="s">
        <v>16</v>
      </c>
      <c r="O165" s="24" t="s">
        <v>17</v>
      </c>
      <c r="P165" s="23" t="s">
        <v>254</v>
      </c>
    </row>
    <row r="166" spans="1:16">
      <c r="A166" s="14">
        <v>162</v>
      </c>
      <c r="B166" s="15" t="s">
        <v>255</v>
      </c>
      <c r="C166" s="16">
        <f>'Медикаменты Январь_2'!L166</f>
        <v>0</v>
      </c>
      <c r="D166" s="17"/>
      <c r="E166" s="14"/>
      <c r="F166" s="18"/>
      <c r="G166" s="19"/>
      <c r="H166" s="20"/>
      <c r="I166" s="21"/>
      <c r="J166" s="14"/>
      <c r="K166" s="14">
        <f t="shared" si="4"/>
        <v>0</v>
      </c>
      <c r="L166" s="16">
        <f t="shared" si="5"/>
        <v>0</v>
      </c>
      <c r="M166" s="22">
        <v>44562</v>
      </c>
      <c r="N166" s="23" t="s">
        <v>26</v>
      </c>
      <c r="O166" s="24"/>
      <c r="P166" s="23"/>
    </row>
    <row r="167" spans="1:16">
      <c r="A167" s="14">
        <v>163</v>
      </c>
      <c r="B167" s="15" t="s">
        <v>256</v>
      </c>
      <c r="C167" s="16">
        <f>'Медикаменты Январь_2'!L167</f>
        <v>0</v>
      </c>
      <c r="D167" s="17"/>
      <c r="E167" s="14"/>
      <c r="F167" s="18"/>
      <c r="G167" s="19"/>
      <c r="H167" s="20"/>
      <c r="I167" s="21"/>
      <c r="J167" s="14"/>
      <c r="K167" s="14">
        <f t="shared" si="4"/>
        <v>0</v>
      </c>
      <c r="L167" s="16">
        <f t="shared" si="5"/>
        <v>0</v>
      </c>
      <c r="M167" s="22">
        <v>44044</v>
      </c>
      <c r="N167" s="23" t="s">
        <v>16</v>
      </c>
      <c r="O167" s="24"/>
      <c r="P167" s="25"/>
    </row>
    <row r="168" spans="1:16">
      <c r="A168" s="14">
        <v>164</v>
      </c>
      <c r="B168" s="15" t="s">
        <v>257</v>
      </c>
      <c r="C168" s="16">
        <f>'Медикаменты Январь_2'!L168</f>
        <v>91</v>
      </c>
      <c r="D168" s="17"/>
      <c r="E168" s="14"/>
      <c r="F168" s="18"/>
      <c r="G168" s="19"/>
      <c r="H168" s="20"/>
      <c r="I168" s="21"/>
      <c r="J168" s="14"/>
      <c r="K168" s="14">
        <f t="shared" si="4"/>
        <v>0</v>
      </c>
      <c r="L168" s="16">
        <f t="shared" si="5"/>
        <v>91</v>
      </c>
      <c r="M168" s="22">
        <v>44287</v>
      </c>
      <c r="N168" s="23" t="s">
        <v>16</v>
      </c>
      <c r="O168" s="24" t="s">
        <v>17</v>
      </c>
      <c r="P168" s="23" t="s">
        <v>258</v>
      </c>
    </row>
    <row r="169" spans="1:16">
      <c r="A169" s="14">
        <v>165</v>
      </c>
      <c r="B169" s="15" t="s">
        <v>259</v>
      </c>
      <c r="C169" s="16">
        <f>'Медикаменты Январь_2'!L169</f>
        <v>13</v>
      </c>
      <c r="D169" s="17"/>
      <c r="E169" s="14"/>
      <c r="F169" s="18"/>
      <c r="G169" s="19"/>
      <c r="H169" s="20"/>
      <c r="I169" s="21"/>
      <c r="J169" s="14"/>
      <c r="K169" s="14">
        <f t="shared" si="4"/>
        <v>0</v>
      </c>
      <c r="L169" s="16">
        <f t="shared" si="5"/>
        <v>13</v>
      </c>
      <c r="M169" s="22">
        <v>44531</v>
      </c>
      <c r="N169" s="23" t="s">
        <v>16</v>
      </c>
      <c r="O169" s="24" t="s">
        <v>17</v>
      </c>
      <c r="P169" s="28" t="s">
        <v>260</v>
      </c>
    </row>
    <row r="170" spans="1:16">
      <c r="A170" s="14">
        <v>166</v>
      </c>
      <c r="B170" s="15" t="s">
        <v>261</v>
      </c>
      <c r="C170" s="16">
        <f>'Медикаменты Январь_2'!L170</f>
        <v>0</v>
      </c>
      <c r="D170" s="17"/>
      <c r="E170" s="14"/>
      <c r="F170" s="18"/>
      <c r="G170" s="19"/>
      <c r="H170" s="20"/>
      <c r="I170" s="21"/>
      <c r="J170" s="14"/>
      <c r="K170" s="14">
        <f t="shared" si="4"/>
        <v>0</v>
      </c>
      <c r="L170" s="16">
        <f t="shared" si="5"/>
        <v>0</v>
      </c>
      <c r="M170" s="22">
        <v>44440</v>
      </c>
      <c r="N170" s="23" t="s">
        <v>16</v>
      </c>
      <c r="O170" s="24"/>
      <c r="P170" s="28" t="s">
        <v>262</v>
      </c>
    </row>
    <row r="171" spans="1:16">
      <c r="A171" s="14">
        <v>167</v>
      </c>
      <c r="B171" s="15" t="s">
        <v>261</v>
      </c>
      <c r="C171" s="16">
        <f>'Медикаменты Январь_2'!L171</f>
        <v>84</v>
      </c>
      <c r="D171" s="17"/>
      <c r="E171" s="14"/>
      <c r="F171" s="18">
        <f>5</f>
        <v>5</v>
      </c>
      <c r="G171" s="19"/>
      <c r="H171" s="20"/>
      <c r="I171" s="21"/>
      <c r="J171" s="14"/>
      <c r="K171" s="14">
        <f t="shared" si="4"/>
        <v>5</v>
      </c>
      <c r="L171" s="16">
        <f t="shared" si="5"/>
        <v>79</v>
      </c>
      <c r="M171" s="22">
        <v>44501</v>
      </c>
      <c r="N171" s="23" t="s">
        <v>16</v>
      </c>
      <c r="O171" s="24" t="s">
        <v>17</v>
      </c>
      <c r="P171" s="28" t="s">
        <v>262</v>
      </c>
    </row>
    <row r="172" spans="1:16">
      <c r="A172" s="14">
        <v>168</v>
      </c>
      <c r="B172" s="15" t="s">
        <v>263</v>
      </c>
      <c r="C172" s="16">
        <f>'Медикаменты Январь_2'!L172</f>
        <v>0</v>
      </c>
      <c r="D172" s="17"/>
      <c r="E172" s="14"/>
      <c r="F172" s="18"/>
      <c r="G172" s="19"/>
      <c r="H172" s="20"/>
      <c r="I172" s="21"/>
      <c r="J172" s="14"/>
      <c r="K172" s="14">
        <f t="shared" si="4"/>
        <v>0</v>
      </c>
      <c r="L172" s="16">
        <f t="shared" si="5"/>
        <v>0</v>
      </c>
      <c r="M172" s="22"/>
      <c r="N172" s="23" t="s">
        <v>16</v>
      </c>
      <c r="O172" s="24"/>
      <c r="P172" s="25"/>
    </row>
    <row r="173" spans="1:16">
      <c r="A173" s="14">
        <v>169</v>
      </c>
      <c r="B173" s="15" t="s">
        <v>264</v>
      </c>
      <c r="C173" s="16">
        <f>'Медикаменты Январь_2'!L173</f>
        <v>0</v>
      </c>
      <c r="D173" s="17"/>
      <c r="E173" s="14"/>
      <c r="F173" s="18"/>
      <c r="G173" s="19"/>
      <c r="H173" s="20"/>
      <c r="I173" s="21"/>
      <c r="J173" s="14"/>
      <c r="K173" s="14">
        <f t="shared" si="4"/>
        <v>0</v>
      </c>
      <c r="L173" s="16">
        <f t="shared" si="5"/>
        <v>0</v>
      </c>
      <c r="M173" s="22"/>
      <c r="N173" s="23" t="s">
        <v>16</v>
      </c>
      <c r="O173" s="24"/>
      <c r="P173" s="25"/>
    </row>
    <row r="174" spans="1:16">
      <c r="A174" s="14">
        <v>170</v>
      </c>
      <c r="B174" s="15" t="s">
        <v>265</v>
      </c>
      <c r="C174" s="16">
        <f>'Медикаменты Январь_2'!L174</f>
        <v>0</v>
      </c>
      <c r="D174" s="17"/>
      <c r="E174" s="14"/>
      <c r="F174" s="18"/>
      <c r="G174" s="19"/>
      <c r="H174" s="20"/>
      <c r="I174" s="21"/>
      <c r="J174" s="14"/>
      <c r="K174" s="14">
        <f t="shared" si="4"/>
        <v>0</v>
      </c>
      <c r="L174" s="16">
        <f t="shared" si="5"/>
        <v>0</v>
      </c>
      <c r="M174" s="22"/>
      <c r="N174" s="23" t="s">
        <v>16</v>
      </c>
      <c r="O174" s="24"/>
      <c r="P174" s="25"/>
    </row>
    <row r="175" spans="1:16">
      <c r="A175" s="14">
        <v>171</v>
      </c>
      <c r="B175" s="15" t="s">
        <v>266</v>
      </c>
      <c r="C175" s="16">
        <f>'Медикаменты Январь_2'!L175</f>
        <v>0</v>
      </c>
      <c r="D175" s="17"/>
      <c r="E175" s="14"/>
      <c r="F175" s="18"/>
      <c r="G175" s="19"/>
      <c r="H175" s="20"/>
      <c r="I175" s="21"/>
      <c r="J175" s="14"/>
      <c r="K175" s="14">
        <f t="shared" si="4"/>
        <v>0</v>
      </c>
      <c r="L175" s="16">
        <f t="shared" si="5"/>
        <v>0</v>
      </c>
      <c r="M175" s="22"/>
      <c r="N175" s="23" t="s">
        <v>16</v>
      </c>
      <c r="O175" s="24"/>
      <c r="P175" s="25"/>
    </row>
    <row r="176" spans="1:16">
      <c r="A176" s="14">
        <v>172</v>
      </c>
      <c r="B176" s="15" t="s">
        <v>267</v>
      </c>
      <c r="C176" s="16">
        <f>'Медикаменты Январь_2'!L176</f>
        <v>0</v>
      </c>
      <c r="D176" s="17"/>
      <c r="E176" s="14"/>
      <c r="F176" s="18"/>
      <c r="G176" s="19"/>
      <c r="H176" s="20"/>
      <c r="I176" s="21"/>
      <c r="J176" s="14"/>
      <c r="K176" s="14">
        <f t="shared" si="4"/>
        <v>0</v>
      </c>
      <c r="L176" s="16">
        <f t="shared" si="5"/>
        <v>0</v>
      </c>
      <c r="M176" s="22"/>
      <c r="N176" s="23" t="s">
        <v>16</v>
      </c>
      <c r="O176" s="24"/>
      <c r="P176" s="25"/>
    </row>
    <row r="177" spans="1:16">
      <c r="A177" s="14">
        <v>173</v>
      </c>
      <c r="B177" s="15" t="s">
        <v>268</v>
      </c>
      <c r="C177" s="16">
        <f>'Медикаменты Январь_2'!L177</f>
        <v>0</v>
      </c>
      <c r="D177" s="17"/>
      <c r="E177" s="14"/>
      <c r="F177" s="18"/>
      <c r="G177" s="19"/>
      <c r="H177" s="20"/>
      <c r="I177" s="21"/>
      <c r="J177" s="14"/>
      <c r="K177" s="14">
        <f t="shared" si="4"/>
        <v>0</v>
      </c>
      <c r="L177" s="16">
        <f t="shared" si="5"/>
        <v>0</v>
      </c>
      <c r="M177" s="22">
        <v>45323</v>
      </c>
      <c r="N177" s="23" t="s">
        <v>16</v>
      </c>
      <c r="O177" s="24"/>
      <c r="P177" s="28" t="s">
        <v>269</v>
      </c>
    </row>
    <row r="178" spans="1:16">
      <c r="A178" s="14">
        <v>174</v>
      </c>
      <c r="B178" s="15" t="s">
        <v>268</v>
      </c>
      <c r="C178" s="16">
        <f>'Медикаменты Январь_2'!L178</f>
        <v>0</v>
      </c>
      <c r="D178" s="17"/>
      <c r="E178" s="14"/>
      <c r="F178" s="18"/>
      <c r="G178" s="19"/>
      <c r="H178" s="20"/>
      <c r="I178" s="21"/>
      <c r="J178" s="14"/>
      <c r="K178" s="14">
        <f t="shared" si="4"/>
        <v>0</v>
      </c>
      <c r="L178" s="16">
        <f t="shared" si="5"/>
        <v>0</v>
      </c>
      <c r="M178" s="22">
        <v>45323</v>
      </c>
      <c r="N178" s="23" t="s">
        <v>26</v>
      </c>
      <c r="O178" s="24"/>
      <c r="P178" s="28" t="s">
        <v>269</v>
      </c>
    </row>
    <row r="179" spans="1:16">
      <c r="A179" s="14">
        <v>175</v>
      </c>
      <c r="B179" s="15" t="s">
        <v>270</v>
      </c>
      <c r="C179" s="16">
        <f>'Медикаменты Январь_2'!L179</f>
        <v>0</v>
      </c>
      <c r="D179" s="17"/>
      <c r="E179" s="14"/>
      <c r="F179" s="18"/>
      <c r="G179" s="19"/>
      <c r="H179" s="20"/>
      <c r="I179" s="21"/>
      <c r="J179" s="14"/>
      <c r="K179" s="14">
        <f t="shared" si="4"/>
        <v>0</v>
      </c>
      <c r="L179" s="16">
        <f t="shared" si="5"/>
        <v>0</v>
      </c>
      <c r="M179" s="22">
        <v>44075</v>
      </c>
      <c r="N179" s="23" t="s">
        <v>16</v>
      </c>
      <c r="O179" s="24"/>
      <c r="P179" s="23" t="s">
        <v>271</v>
      </c>
    </row>
    <row r="180" spans="1:16">
      <c r="A180" s="14">
        <v>176</v>
      </c>
      <c r="B180" s="15" t="s">
        <v>272</v>
      </c>
      <c r="C180" s="16">
        <f>'Медикаменты Январь_2'!L180</f>
        <v>40</v>
      </c>
      <c r="D180" s="17"/>
      <c r="E180" s="14"/>
      <c r="F180" s="18">
        <f>6+5</f>
        <v>11</v>
      </c>
      <c r="G180" s="19"/>
      <c r="H180" s="20"/>
      <c r="I180" s="21"/>
      <c r="J180" s="14"/>
      <c r="K180" s="14">
        <f t="shared" si="4"/>
        <v>11</v>
      </c>
      <c r="L180" s="16">
        <f t="shared" si="5"/>
        <v>29</v>
      </c>
      <c r="M180" s="22">
        <v>45352</v>
      </c>
      <c r="N180" s="23" t="s">
        <v>16</v>
      </c>
      <c r="O180" s="24" t="s">
        <v>17</v>
      </c>
      <c r="P180" s="23" t="s">
        <v>273</v>
      </c>
    </row>
    <row r="181" spans="1:16">
      <c r="A181" s="14">
        <v>177</v>
      </c>
      <c r="B181" s="15" t="s">
        <v>274</v>
      </c>
      <c r="C181" s="16">
        <f>'Медикаменты Январь_2'!L181</f>
        <v>0</v>
      </c>
      <c r="D181" s="17"/>
      <c r="E181" s="14"/>
      <c r="F181" s="18"/>
      <c r="G181" s="19"/>
      <c r="H181" s="20"/>
      <c r="I181" s="21"/>
      <c r="J181" s="14"/>
      <c r="K181" s="14">
        <f t="shared" si="4"/>
        <v>0</v>
      </c>
      <c r="L181" s="16">
        <f t="shared" si="5"/>
        <v>0</v>
      </c>
      <c r="M181" s="22">
        <v>44593</v>
      </c>
      <c r="N181" s="23" t="s">
        <v>16</v>
      </c>
      <c r="O181" s="24"/>
      <c r="P181" s="23" t="s">
        <v>275</v>
      </c>
    </row>
    <row r="182" spans="1:16">
      <c r="A182" s="14">
        <v>178</v>
      </c>
      <c r="B182" s="15" t="s">
        <v>276</v>
      </c>
      <c r="C182" s="16">
        <f>'Медикаменты Январь_2'!L182</f>
        <v>0</v>
      </c>
      <c r="D182" s="17"/>
      <c r="E182" s="14"/>
      <c r="F182" s="18"/>
      <c r="G182" s="19"/>
      <c r="H182" s="20"/>
      <c r="I182" s="21"/>
      <c r="J182" s="14"/>
      <c r="K182" s="14">
        <f t="shared" si="4"/>
        <v>0</v>
      </c>
      <c r="L182" s="16">
        <f t="shared" si="5"/>
        <v>0</v>
      </c>
      <c r="M182" s="22"/>
      <c r="N182" s="23" t="s">
        <v>16</v>
      </c>
      <c r="O182" s="24"/>
      <c r="P182" s="25"/>
    </row>
    <row r="183" spans="1:16">
      <c r="A183" s="14">
        <v>179</v>
      </c>
      <c r="B183" s="15" t="s">
        <v>277</v>
      </c>
      <c r="C183" s="16">
        <f>'Медикаменты Январь_2'!L183</f>
        <v>33</v>
      </c>
      <c r="D183" s="17"/>
      <c r="E183" s="14"/>
      <c r="F183" s="18"/>
      <c r="G183" s="19"/>
      <c r="H183" s="20"/>
      <c r="I183" s="21"/>
      <c r="J183" s="14"/>
      <c r="K183" s="14">
        <f t="shared" si="4"/>
        <v>0</v>
      </c>
      <c r="L183" s="16">
        <f t="shared" si="5"/>
        <v>33</v>
      </c>
      <c r="M183" s="22">
        <v>44409</v>
      </c>
      <c r="N183" s="23" t="s">
        <v>16</v>
      </c>
      <c r="O183" s="24" t="s">
        <v>17</v>
      </c>
      <c r="P183" s="28" t="s">
        <v>278</v>
      </c>
    </row>
    <row r="184" spans="1:16">
      <c r="A184" s="14">
        <v>180</v>
      </c>
      <c r="B184" s="15" t="s">
        <v>279</v>
      </c>
      <c r="C184" s="16">
        <f>'Медикаменты Январь_2'!L184</f>
        <v>1</v>
      </c>
      <c r="D184" s="17"/>
      <c r="E184" s="14"/>
      <c r="F184" s="18"/>
      <c r="G184" s="19"/>
      <c r="H184" s="20"/>
      <c r="I184" s="21"/>
      <c r="J184" s="14"/>
      <c r="K184" s="14">
        <f t="shared" si="4"/>
        <v>0</v>
      </c>
      <c r="L184" s="16">
        <f t="shared" si="5"/>
        <v>1</v>
      </c>
      <c r="M184" s="22">
        <v>44378</v>
      </c>
      <c r="N184" s="23" t="s">
        <v>16</v>
      </c>
      <c r="O184" s="24" t="s">
        <v>17</v>
      </c>
      <c r="P184" s="23" t="s">
        <v>280</v>
      </c>
    </row>
    <row r="185" spans="1:16">
      <c r="A185" s="14">
        <v>181</v>
      </c>
      <c r="B185" s="15" t="s">
        <v>281</v>
      </c>
      <c r="C185" s="16">
        <f>'Медикаменты Январь_2'!L185</f>
        <v>12</v>
      </c>
      <c r="D185" s="17"/>
      <c r="E185" s="14"/>
      <c r="F185" s="18">
        <f>3</f>
        <v>3</v>
      </c>
      <c r="G185" s="19"/>
      <c r="H185" s="20"/>
      <c r="I185" s="21"/>
      <c r="J185" s="14"/>
      <c r="K185" s="14">
        <f t="shared" si="4"/>
        <v>3</v>
      </c>
      <c r="L185" s="16">
        <f t="shared" si="5"/>
        <v>9</v>
      </c>
      <c r="M185" s="22">
        <v>44593</v>
      </c>
      <c r="N185" s="23" t="s">
        <v>16</v>
      </c>
      <c r="O185" s="24" t="s">
        <v>17</v>
      </c>
      <c r="P185" s="23" t="s">
        <v>282</v>
      </c>
    </row>
    <row r="186" spans="1:16">
      <c r="A186" s="14">
        <v>182</v>
      </c>
      <c r="B186" s="15" t="s">
        <v>283</v>
      </c>
      <c r="C186" s="16">
        <f>'Медикаменты Январь_2'!L186</f>
        <v>0</v>
      </c>
      <c r="D186" s="17"/>
      <c r="E186" s="14"/>
      <c r="F186" s="18"/>
      <c r="G186" s="19"/>
      <c r="H186" s="20"/>
      <c r="I186" s="21"/>
      <c r="J186" s="14"/>
      <c r="K186" s="14">
        <f t="shared" si="4"/>
        <v>0</v>
      </c>
      <c r="L186" s="16">
        <f t="shared" si="5"/>
        <v>0</v>
      </c>
      <c r="M186" s="22">
        <v>44136</v>
      </c>
      <c r="N186" s="23" t="s">
        <v>16</v>
      </c>
      <c r="O186" s="24"/>
      <c r="P186" s="23" t="s">
        <v>284</v>
      </c>
    </row>
    <row r="187" spans="1:16">
      <c r="A187" s="14">
        <v>183</v>
      </c>
      <c r="B187" s="15" t="s">
        <v>285</v>
      </c>
      <c r="C187" s="16">
        <f>'Медикаменты Январь_2'!L187</f>
        <v>0</v>
      </c>
      <c r="D187" s="17"/>
      <c r="E187" s="14"/>
      <c r="F187" s="18"/>
      <c r="G187" s="19"/>
      <c r="H187" s="20"/>
      <c r="I187" s="21"/>
      <c r="J187" s="14"/>
      <c r="K187" s="14">
        <f t="shared" si="4"/>
        <v>0</v>
      </c>
      <c r="L187" s="16">
        <f t="shared" si="5"/>
        <v>0</v>
      </c>
      <c r="M187" s="22"/>
      <c r="N187" s="23" t="s">
        <v>16</v>
      </c>
      <c r="O187" s="24"/>
      <c r="P187" s="25"/>
    </row>
    <row r="188" spans="1:16">
      <c r="A188" s="14">
        <v>184</v>
      </c>
      <c r="B188" s="15" t="s">
        <v>286</v>
      </c>
      <c r="C188" s="16">
        <f>'Медикаменты Январь_2'!L188</f>
        <v>0</v>
      </c>
      <c r="D188" s="17"/>
      <c r="E188" s="14"/>
      <c r="F188" s="18"/>
      <c r="G188" s="19"/>
      <c r="H188" s="20"/>
      <c r="I188" s="21"/>
      <c r="J188" s="14"/>
      <c r="K188" s="14">
        <f t="shared" si="4"/>
        <v>0</v>
      </c>
      <c r="L188" s="16">
        <f t="shared" si="5"/>
        <v>0</v>
      </c>
      <c r="M188" s="22">
        <v>44197</v>
      </c>
      <c r="N188" s="23" t="s">
        <v>16</v>
      </c>
      <c r="O188" s="24"/>
      <c r="P188" s="23" t="s">
        <v>287</v>
      </c>
    </row>
    <row r="189" spans="1:16">
      <c r="A189" s="14">
        <v>185</v>
      </c>
      <c r="B189" s="15" t="s">
        <v>288</v>
      </c>
      <c r="C189" s="16">
        <f>'Медикаменты Январь_2'!L189</f>
        <v>0</v>
      </c>
      <c r="D189" s="17"/>
      <c r="E189" s="14"/>
      <c r="F189" s="18"/>
      <c r="G189" s="19"/>
      <c r="H189" s="20"/>
      <c r="I189" s="21"/>
      <c r="J189" s="14"/>
      <c r="K189" s="14">
        <f t="shared" si="4"/>
        <v>0</v>
      </c>
      <c r="L189" s="16">
        <f t="shared" si="5"/>
        <v>0</v>
      </c>
      <c r="M189" s="22">
        <v>44105</v>
      </c>
      <c r="N189" s="23" t="s">
        <v>16</v>
      </c>
      <c r="O189" s="24"/>
      <c r="P189" s="28" t="s">
        <v>289</v>
      </c>
    </row>
    <row r="190" spans="1:16">
      <c r="A190" s="14">
        <v>186</v>
      </c>
      <c r="B190" s="15" t="s">
        <v>290</v>
      </c>
      <c r="C190" s="16">
        <f>'Медикаменты Январь_2'!L190</f>
        <v>67</v>
      </c>
      <c r="D190" s="17"/>
      <c r="E190" s="14"/>
      <c r="F190" s="18">
        <f>10+5</f>
        <v>15</v>
      </c>
      <c r="G190" s="19"/>
      <c r="H190" s="20"/>
      <c r="I190" s="21"/>
      <c r="J190" s="14"/>
      <c r="K190" s="14">
        <f t="shared" si="4"/>
        <v>15</v>
      </c>
      <c r="L190" s="16">
        <f t="shared" si="5"/>
        <v>52</v>
      </c>
      <c r="M190" s="22">
        <v>44317</v>
      </c>
      <c r="N190" s="23" t="s">
        <v>16</v>
      </c>
      <c r="O190" s="24" t="s">
        <v>17</v>
      </c>
      <c r="P190" s="23" t="s">
        <v>291</v>
      </c>
    </row>
    <row r="191" spans="1:16">
      <c r="A191" s="14">
        <v>187</v>
      </c>
      <c r="B191" s="15" t="s">
        <v>292</v>
      </c>
      <c r="C191" s="16">
        <f>'Медикаменты Январь_2'!L191</f>
        <v>0</v>
      </c>
      <c r="D191" s="17"/>
      <c r="E191" s="14"/>
      <c r="F191" s="18"/>
      <c r="G191" s="19"/>
      <c r="H191" s="20"/>
      <c r="I191" s="21"/>
      <c r="J191" s="14"/>
      <c r="K191" s="14">
        <f t="shared" si="4"/>
        <v>0</v>
      </c>
      <c r="L191" s="16">
        <f t="shared" si="5"/>
        <v>0</v>
      </c>
      <c r="M191" s="22">
        <v>44197</v>
      </c>
      <c r="N191" s="23" t="s">
        <v>16</v>
      </c>
      <c r="O191" s="24"/>
      <c r="P191" s="23" t="s">
        <v>293</v>
      </c>
    </row>
    <row r="192" spans="1:16">
      <c r="A192" s="14">
        <v>188</v>
      </c>
      <c r="B192" s="15" t="s">
        <v>292</v>
      </c>
      <c r="C192" s="16">
        <f>'Медикаменты Январь_2'!L192</f>
        <v>55</v>
      </c>
      <c r="D192" s="17"/>
      <c r="E192" s="14"/>
      <c r="F192" s="18"/>
      <c r="G192" s="19"/>
      <c r="H192" s="20"/>
      <c r="I192" s="21"/>
      <c r="J192" s="14"/>
      <c r="K192" s="14">
        <f t="shared" si="4"/>
        <v>0</v>
      </c>
      <c r="L192" s="16">
        <f t="shared" si="5"/>
        <v>55</v>
      </c>
      <c r="M192" s="22">
        <v>44713</v>
      </c>
      <c r="N192" s="23" t="s">
        <v>16</v>
      </c>
      <c r="O192" s="24" t="s">
        <v>45</v>
      </c>
      <c r="P192" s="23" t="s">
        <v>293</v>
      </c>
    </row>
    <row r="193" spans="1:16">
      <c r="A193" s="14">
        <v>189</v>
      </c>
      <c r="B193" s="15" t="s">
        <v>294</v>
      </c>
      <c r="C193" s="16">
        <f>'Медикаменты Январь_2'!L193</f>
        <v>9</v>
      </c>
      <c r="D193" s="17"/>
      <c r="E193" s="14"/>
      <c r="F193" s="18"/>
      <c r="G193" s="19"/>
      <c r="H193" s="20"/>
      <c r="I193" s="21"/>
      <c r="J193" s="14"/>
      <c r="K193" s="14">
        <f t="shared" si="4"/>
        <v>0</v>
      </c>
      <c r="L193" s="16">
        <f t="shared" si="5"/>
        <v>9</v>
      </c>
      <c r="M193" s="22">
        <v>44409</v>
      </c>
      <c r="N193" s="23" t="s">
        <v>16</v>
      </c>
      <c r="O193" s="24" t="s">
        <v>45</v>
      </c>
      <c r="P193" s="23" t="s">
        <v>295</v>
      </c>
    </row>
    <row r="194" spans="1:16">
      <c r="A194" s="14">
        <v>190</v>
      </c>
      <c r="B194" s="15" t="s">
        <v>296</v>
      </c>
      <c r="C194" s="16">
        <f>'Медикаменты Январь_2'!L194</f>
        <v>0</v>
      </c>
      <c r="D194" s="17"/>
      <c r="E194" s="14"/>
      <c r="F194" s="18"/>
      <c r="G194" s="19"/>
      <c r="H194" s="20"/>
      <c r="I194" s="21"/>
      <c r="J194" s="14"/>
      <c r="K194" s="14">
        <f t="shared" si="4"/>
        <v>0</v>
      </c>
      <c r="L194" s="16">
        <f t="shared" si="5"/>
        <v>0</v>
      </c>
      <c r="M194" s="22"/>
      <c r="N194" s="23" t="s">
        <v>16</v>
      </c>
      <c r="O194" s="24"/>
      <c r="P194" s="25"/>
    </row>
    <row r="195" spans="1:16">
      <c r="A195" s="14">
        <v>191</v>
      </c>
      <c r="B195" s="15" t="s">
        <v>297</v>
      </c>
      <c r="C195" s="16">
        <f>'Медикаменты Январь_2'!L195</f>
        <v>0</v>
      </c>
      <c r="D195" s="17"/>
      <c r="E195" s="14"/>
      <c r="F195" s="18"/>
      <c r="G195" s="19"/>
      <c r="H195" s="20"/>
      <c r="I195" s="21"/>
      <c r="J195" s="14"/>
      <c r="K195" s="14">
        <f t="shared" si="4"/>
        <v>0</v>
      </c>
      <c r="L195" s="16">
        <f t="shared" si="5"/>
        <v>0</v>
      </c>
      <c r="M195" s="22"/>
      <c r="N195" s="23" t="s">
        <v>16</v>
      </c>
      <c r="O195" s="24"/>
      <c r="P195" s="25"/>
    </row>
    <row r="196" spans="1:16" ht="25.5">
      <c r="A196" s="14">
        <v>192</v>
      </c>
      <c r="B196" s="15" t="s">
        <v>298</v>
      </c>
      <c r="C196" s="16">
        <f>'Медикаменты Январь_2'!L196</f>
        <v>0</v>
      </c>
      <c r="D196" s="17"/>
      <c r="E196" s="14"/>
      <c r="F196" s="18"/>
      <c r="G196" s="19"/>
      <c r="H196" s="20"/>
      <c r="I196" s="21"/>
      <c r="J196" s="14"/>
      <c r="K196" s="14">
        <f t="shared" si="4"/>
        <v>0</v>
      </c>
      <c r="L196" s="16">
        <f t="shared" si="5"/>
        <v>0</v>
      </c>
      <c r="M196" s="22">
        <v>44593</v>
      </c>
      <c r="N196" s="23" t="s">
        <v>26</v>
      </c>
      <c r="O196" s="24"/>
      <c r="P196" s="23"/>
    </row>
    <row r="197" spans="1:16">
      <c r="A197" s="14">
        <v>193</v>
      </c>
      <c r="B197" s="15" t="s">
        <v>299</v>
      </c>
      <c r="C197" s="16">
        <f>'Медикаменты Январь_2'!L197</f>
        <v>0</v>
      </c>
      <c r="D197" s="17"/>
      <c r="E197" s="14"/>
      <c r="F197" s="18"/>
      <c r="G197" s="19"/>
      <c r="H197" s="20"/>
      <c r="I197" s="21"/>
      <c r="J197" s="14"/>
      <c r="K197" s="14">
        <f t="shared" ref="K197:K260" si="6">SUM(F197:J197)</f>
        <v>0</v>
      </c>
      <c r="L197" s="16">
        <f t="shared" ref="L197:L260" si="7">(C197+E197)-K197</f>
        <v>0</v>
      </c>
      <c r="M197" s="22">
        <v>44256</v>
      </c>
      <c r="N197" s="23" t="s">
        <v>16</v>
      </c>
      <c r="O197" s="24"/>
      <c r="P197" s="23" t="s">
        <v>300</v>
      </c>
    </row>
    <row r="198" spans="1:16">
      <c r="A198" s="14">
        <v>194</v>
      </c>
      <c r="B198" s="15" t="s">
        <v>301</v>
      </c>
      <c r="C198" s="16">
        <f>'Медикаменты Январь_2'!L198</f>
        <v>0</v>
      </c>
      <c r="D198" s="17"/>
      <c r="E198" s="14"/>
      <c r="F198" s="18"/>
      <c r="G198" s="19"/>
      <c r="H198" s="20"/>
      <c r="I198" s="21"/>
      <c r="J198" s="14"/>
      <c r="K198" s="14">
        <f t="shared" si="6"/>
        <v>0</v>
      </c>
      <c r="L198" s="16">
        <f t="shared" si="7"/>
        <v>0</v>
      </c>
      <c r="M198" s="22"/>
      <c r="N198" s="23" t="s">
        <v>16</v>
      </c>
      <c r="O198" s="24"/>
      <c r="P198" s="25"/>
    </row>
    <row r="199" spans="1:16">
      <c r="A199" s="14">
        <v>195</v>
      </c>
      <c r="B199" s="15" t="s">
        <v>302</v>
      </c>
      <c r="C199" s="16">
        <f>'Медикаменты Январь_2'!L199</f>
        <v>0</v>
      </c>
      <c r="D199" s="17"/>
      <c r="E199" s="14"/>
      <c r="F199" s="18"/>
      <c r="G199" s="19"/>
      <c r="H199" s="20"/>
      <c r="I199" s="21"/>
      <c r="J199" s="14"/>
      <c r="K199" s="14">
        <f t="shared" si="6"/>
        <v>0</v>
      </c>
      <c r="L199" s="16">
        <f t="shared" si="7"/>
        <v>0</v>
      </c>
      <c r="M199" s="22"/>
      <c r="N199" s="23" t="s">
        <v>16</v>
      </c>
      <c r="O199" s="24"/>
      <c r="P199" s="25"/>
    </row>
    <row r="200" spans="1:16">
      <c r="A200" s="14">
        <v>196</v>
      </c>
      <c r="B200" s="15" t="s">
        <v>303</v>
      </c>
      <c r="C200" s="16">
        <f>'Медикаменты Январь_2'!L200</f>
        <v>0</v>
      </c>
      <c r="D200" s="17"/>
      <c r="E200" s="14"/>
      <c r="F200" s="18"/>
      <c r="G200" s="19"/>
      <c r="H200" s="20"/>
      <c r="I200" s="21"/>
      <c r="J200" s="14"/>
      <c r="K200" s="14">
        <f t="shared" si="6"/>
        <v>0</v>
      </c>
      <c r="L200" s="16">
        <f t="shared" si="7"/>
        <v>0</v>
      </c>
      <c r="M200" s="22"/>
      <c r="N200" s="23" t="s">
        <v>16</v>
      </c>
      <c r="O200" s="24"/>
      <c r="P200" s="25"/>
    </row>
    <row r="201" spans="1:16">
      <c r="A201" s="14">
        <v>197</v>
      </c>
      <c r="B201" s="15" t="s">
        <v>304</v>
      </c>
      <c r="C201" s="16">
        <f>'Медикаменты Январь_2'!L201</f>
        <v>0</v>
      </c>
      <c r="D201" s="17"/>
      <c r="E201" s="14"/>
      <c r="F201" s="18"/>
      <c r="G201" s="19"/>
      <c r="H201" s="20"/>
      <c r="I201" s="21"/>
      <c r="J201" s="14"/>
      <c r="K201" s="14">
        <f t="shared" si="6"/>
        <v>0</v>
      </c>
      <c r="L201" s="16">
        <f t="shared" si="7"/>
        <v>0</v>
      </c>
      <c r="M201" s="22">
        <v>45261</v>
      </c>
      <c r="N201" s="23" t="s">
        <v>16</v>
      </c>
      <c r="O201" s="24"/>
      <c r="P201" s="23" t="s">
        <v>305</v>
      </c>
    </row>
    <row r="202" spans="1:16">
      <c r="A202" s="14">
        <v>198</v>
      </c>
      <c r="B202" s="15" t="s">
        <v>304</v>
      </c>
      <c r="C202" s="16">
        <f>'Медикаменты Январь_2'!L202</f>
        <v>1760</v>
      </c>
      <c r="D202" s="17"/>
      <c r="E202" s="14"/>
      <c r="F202" s="18">
        <f>80+40+80</f>
        <v>200</v>
      </c>
      <c r="G202" s="19"/>
      <c r="H202" s="20"/>
      <c r="I202" s="21"/>
      <c r="J202" s="14"/>
      <c r="K202" s="14">
        <f t="shared" si="6"/>
        <v>200</v>
      </c>
      <c r="L202" s="16">
        <f t="shared" si="7"/>
        <v>1560</v>
      </c>
      <c r="M202" s="22">
        <v>45413</v>
      </c>
      <c r="N202" s="23" t="s">
        <v>26</v>
      </c>
      <c r="O202" s="24" t="s">
        <v>17</v>
      </c>
      <c r="P202" s="23" t="s">
        <v>305</v>
      </c>
    </row>
    <row r="203" spans="1:16">
      <c r="A203" s="14">
        <v>199</v>
      </c>
      <c r="B203" s="15" t="s">
        <v>306</v>
      </c>
      <c r="C203" s="16">
        <f>'Медикаменты Январь_2'!L203</f>
        <v>0</v>
      </c>
      <c r="D203" s="17"/>
      <c r="E203" s="14"/>
      <c r="F203" s="18"/>
      <c r="G203" s="19"/>
      <c r="H203" s="20"/>
      <c r="I203" s="21"/>
      <c r="J203" s="14"/>
      <c r="K203" s="14">
        <f t="shared" si="6"/>
        <v>0</v>
      </c>
      <c r="L203" s="16">
        <f t="shared" si="7"/>
        <v>0</v>
      </c>
      <c r="M203" s="22"/>
      <c r="N203" s="23" t="s">
        <v>16</v>
      </c>
      <c r="O203" s="24"/>
      <c r="P203" s="25"/>
    </row>
    <row r="204" spans="1:16">
      <c r="A204" s="14">
        <v>200</v>
      </c>
      <c r="B204" s="15" t="s">
        <v>307</v>
      </c>
      <c r="C204" s="16">
        <f>'Медикаменты Январь_2'!L204</f>
        <v>0</v>
      </c>
      <c r="D204" s="17"/>
      <c r="E204" s="14"/>
      <c r="F204" s="18"/>
      <c r="G204" s="19"/>
      <c r="H204" s="20"/>
      <c r="I204" s="21"/>
      <c r="J204" s="14"/>
      <c r="K204" s="14">
        <f t="shared" si="6"/>
        <v>0</v>
      </c>
      <c r="L204" s="16">
        <f t="shared" si="7"/>
        <v>0</v>
      </c>
      <c r="M204" s="22"/>
      <c r="N204" s="23" t="s">
        <v>16</v>
      </c>
      <c r="O204" s="24"/>
      <c r="P204" s="25"/>
    </row>
    <row r="205" spans="1:16">
      <c r="A205" s="14">
        <v>201</v>
      </c>
      <c r="B205" s="15" t="s">
        <v>308</v>
      </c>
      <c r="C205" s="16">
        <f>'Медикаменты Январь_2'!L205</f>
        <v>0</v>
      </c>
      <c r="D205" s="17"/>
      <c r="E205" s="14"/>
      <c r="F205" s="18"/>
      <c r="G205" s="19"/>
      <c r="H205" s="20"/>
      <c r="I205" s="21"/>
      <c r="J205" s="14"/>
      <c r="K205" s="14">
        <f t="shared" si="6"/>
        <v>0</v>
      </c>
      <c r="L205" s="16">
        <f t="shared" si="7"/>
        <v>0</v>
      </c>
      <c r="M205" s="22">
        <v>44136</v>
      </c>
      <c r="N205" s="23" t="s">
        <v>16</v>
      </c>
      <c r="O205" s="24"/>
      <c r="P205" s="23" t="s">
        <v>309</v>
      </c>
    </row>
    <row r="206" spans="1:16">
      <c r="A206" s="14">
        <v>202</v>
      </c>
      <c r="B206" s="15" t="s">
        <v>310</v>
      </c>
      <c r="C206" s="16">
        <f>'Медикаменты Январь_2'!L206</f>
        <v>17</v>
      </c>
      <c r="D206" s="17"/>
      <c r="E206" s="14"/>
      <c r="F206" s="18"/>
      <c r="G206" s="19"/>
      <c r="H206" s="20"/>
      <c r="I206" s="21"/>
      <c r="J206" s="14"/>
      <c r="K206" s="14">
        <f t="shared" si="6"/>
        <v>0</v>
      </c>
      <c r="L206" s="16">
        <f t="shared" si="7"/>
        <v>17</v>
      </c>
      <c r="M206" s="22">
        <v>44652</v>
      </c>
      <c r="N206" s="23" t="s">
        <v>16</v>
      </c>
      <c r="O206" s="24" t="s">
        <v>17</v>
      </c>
      <c r="P206" s="28" t="s">
        <v>311</v>
      </c>
    </row>
    <row r="207" spans="1:16">
      <c r="A207" s="14">
        <v>203</v>
      </c>
      <c r="B207" s="15" t="s">
        <v>310</v>
      </c>
      <c r="C207" s="16">
        <f>'Медикаменты Январь_2'!L207</f>
        <v>0</v>
      </c>
      <c r="D207" s="17"/>
      <c r="E207" s="14"/>
      <c r="F207" s="18"/>
      <c r="G207" s="19"/>
      <c r="H207" s="20"/>
      <c r="I207" s="21"/>
      <c r="J207" s="14"/>
      <c r="K207" s="14">
        <f t="shared" si="6"/>
        <v>0</v>
      </c>
      <c r="L207" s="16">
        <f t="shared" si="7"/>
        <v>0</v>
      </c>
      <c r="M207" s="22">
        <v>44652</v>
      </c>
      <c r="N207" s="23" t="s">
        <v>26</v>
      </c>
      <c r="O207" s="24"/>
      <c r="P207" s="28" t="s">
        <v>311</v>
      </c>
    </row>
    <row r="208" spans="1:16">
      <c r="A208" s="14">
        <v>204</v>
      </c>
      <c r="B208" s="15" t="s">
        <v>312</v>
      </c>
      <c r="C208" s="16">
        <f>'Медикаменты Январь_2'!L208</f>
        <v>0</v>
      </c>
      <c r="D208" s="17"/>
      <c r="E208" s="14"/>
      <c r="F208" s="18"/>
      <c r="G208" s="19"/>
      <c r="H208" s="20"/>
      <c r="I208" s="21"/>
      <c r="J208" s="14"/>
      <c r="K208" s="14">
        <f t="shared" si="6"/>
        <v>0</v>
      </c>
      <c r="L208" s="16">
        <f t="shared" si="7"/>
        <v>0</v>
      </c>
      <c r="M208" s="22">
        <v>45658</v>
      </c>
      <c r="N208" s="23" t="s">
        <v>16</v>
      </c>
      <c r="O208" s="24"/>
      <c r="P208" s="28" t="s">
        <v>313</v>
      </c>
    </row>
    <row r="209" spans="1:16">
      <c r="A209" s="14">
        <v>205</v>
      </c>
      <c r="B209" s="15" t="s">
        <v>312</v>
      </c>
      <c r="C209" s="16">
        <f>'Медикаменты Январь_2'!L209</f>
        <v>0</v>
      </c>
      <c r="D209" s="17"/>
      <c r="E209" s="14"/>
      <c r="F209" s="18"/>
      <c r="G209" s="19"/>
      <c r="H209" s="20"/>
      <c r="I209" s="21"/>
      <c r="J209" s="14"/>
      <c r="K209" s="14">
        <f t="shared" si="6"/>
        <v>0</v>
      </c>
      <c r="L209" s="16">
        <f t="shared" si="7"/>
        <v>0</v>
      </c>
      <c r="M209" s="22">
        <v>45658</v>
      </c>
      <c r="N209" s="23" t="s">
        <v>26</v>
      </c>
      <c r="O209" s="24"/>
      <c r="P209" s="28" t="s">
        <v>313</v>
      </c>
    </row>
    <row r="210" spans="1:16">
      <c r="A210" s="14">
        <v>206</v>
      </c>
      <c r="B210" s="15" t="s">
        <v>314</v>
      </c>
      <c r="C210" s="16">
        <f>'Медикаменты Январь_2'!L210</f>
        <v>0</v>
      </c>
      <c r="D210" s="17"/>
      <c r="E210" s="14"/>
      <c r="F210" s="18"/>
      <c r="G210" s="19"/>
      <c r="H210" s="20"/>
      <c r="I210" s="21"/>
      <c r="J210" s="14"/>
      <c r="K210" s="14">
        <f t="shared" si="6"/>
        <v>0</v>
      </c>
      <c r="L210" s="16">
        <f t="shared" si="7"/>
        <v>0</v>
      </c>
      <c r="M210" s="22">
        <v>44562</v>
      </c>
      <c r="N210" s="23" t="s">
        <v>16</v>
      </c>
      <c r="O210" s="24"/>
      <c r="P210" s="23" t="s">
        <v>315</v>
      </c>
    </row>
    <row r="211" spans="1:16">
      <c r="A211" s="14">
        <v>207</v>
      </c>
      <c r="B211" s="15" t="s">
        <v>316</v>
      </c>
      <c r="C211" s="16">
        <f>'Медикаменты Январь_2'!L211</f>
        <v>0</v>
      </c>
      <c r="D211" s="17"/>
      <c r="E211" s="14"/>
      <c r="F211" s="18"/>
      <c r="G211" s="19"/>
      <c r="H211" s="20"/>
      <c r="I211" s="21"/>
      <c r="J211" s="14"/>
      <c r="K211" s="14">
        <f t="shared" si="6"/>
        <v>0</v>
      </c>
      <c r="L211" s="16">
        <f t="shared" si="7"/>
        <v>0</v>
      </c>
      <c r="M211" s="22"/>
      <c r="N211" s="23" t="s">
        <v>16</v>
      </c>
      <c r="O211" s="24"/>
      <c r="P211" s="25"/>
    </row>
    <row r="212" spans="1:16">
      <c r="A212" s="14">
        <v>208</v>
      </c>
      <c r="B212" s="29" t="s">
        <v>317</v>
      </c>
      <c r="C212" s="16">
        <f>'Медикаменты Январь_2'!L212</f>
        <v>0</v>
      </c>
      <c r="D212" s="17"/>
      <c r="E212" s="14"/>
      <c r="F212" s="18"/>
      <c r="G212" s="19"/>
      <c r="H212" s="20"/>
      <c r="I212" s="21"/>
      <c r="J212" s="14"/>
      <c r="K212" s="14">
        <f t="shared" si="6"/>
        <v>0</v>
      </c>
      <c r="L212" s="16">
        <f t="shared" si="7"/>
        <v>0</v>
      </c>
      <c r="M212" s="22"/>
      <c r="N212" s="23" t="s">
        <v>16</v>
      </c>
      <c r="O212" s="24"/>
      <c r="P212" s="25"/>
    </row>
    <row r="213" spans="1:16">
      <c r="A213" s="14">
        <v>209</v>
      </c>
      <c r="B213" s="29" t="s">
        <v>318</v>
      </c>
      <c r="C213" s="16">
        <f>'Медикаменты Январь_2'!L213</f>
        <v>0</v>
      </c>
      <c r="D213" s="17"/>
      <c r="E213" s="14"/>
      <c r="F213" s="18"/>
      <c r="G213" s="19"/>
      <c r="H213" s="20"/>
      <c r="I213" s="21"/>
      <c r="J213" s="14"/>
      <c r="K213" s="14">
        <f t="shared" si="6"/>
        <v>0</v>
      </c>
      <c r="L213" s="16">
        <f t="shared" si="7"/>
        <v>0</v>
      </c>
      <c r="M213" s="22"/>
      <c r="N213" s="23" t="s">
        <v>16</v>
      </c>
      <c r="O213" s="24"/>
      <c r="P213" s="25"/>
    </row>
    <row r="214" spans="1:16">
      <c r="A214" s="14">
        <v>210</v>
      </c>
      <c r="B214" s="29" t="s">
        <v>319</v>
      </c>
      <c r="C214" s="16">
        <f>'Медикаменты Январь_2'!L214</f>
        <v>0</v>
      </c>
      <c r="D214" s="17"/>
      <c r="E214" s="14"/>
      <c r="F214" s="18"/>
      <c r="G214" s="19"/>
      <c r="H214" s="20"/>
      <c r="I214" s="21"/>
      <c r="J214" s="14"/>
      <c r="K214" s="14">
        <f t="shared" si="6"/>
        <v>0</v>
      </c>
      <c r="L214" s="16">
        <f t="shared" si="7"/>
        <v>0</v>
      </c>
      <c r="M214" s="22"/>
      <c r="N214" s="23" t="s">
        <v>16</v>
      </c>
      <c r="O214" s="24"/>
      <c r="P214" s="25"/>
    </row>
    <row r="215" spans="1:16">
      <c r="A215" s="14">
        <v>211</v>
      </c>
      <c r="B215" s="29" t="s">
        <v>320</v>
      </c>
      <c r="C215" s="16">
        <f>'Медикаменты Январь_2'!L215</f>
        <v>2</v>
      </c>
      <c r="D215" s="17"/>
      <c r="E215" s="14"/>
      <c r="F215" s="18">
        <f>2</f>
        <v>2</v>
      </c>
      <c r="G215" s="19"/>
      <c r="H215" s="20"/>
      <c r="I215" s="21"/>
      <c r="J215" s="14"/>
      <c r="K215" s="14">
        <f t="shared" si="6"/>
        <v>2</v>
      </c>
      <c r="L215" s="16">
        <f t="shared" si="7"/>
        <v>0</v>
      </c>
      <c r="M215" s="22">
        <v>44652</v>
      </c>
      <c r="N215" s="23" t="s">
        <v>16</v>
      </c>
      <c r="O215" s="24" t="s">
        <v>17</v>
      </c>
      <c r="P215" s="28" t="s">
        <v>321</v>
      </c>
    </row>
    <row r="216" spans="1:16">
      <c r="A216" s="14">
        <v>212</v>
      </c>
      <c r="B216" s="29" t="s">
        <v>322</v>
      </c>
      <c r="C216" s="16">
        <f>'Медикаменты Январь_2'!L216</f>
        <v>0</v>
      </c>
      <c r="D216" s="17"/>
      <c r="E216" s="14"/>
      <c r="F216" s="18"/>
      <c r="G216" s="19"/>
      <c r="H216" s="20"/>
      <c r="I216" s="21"/>
      <c r="J216" s="14"/>
      <c r="K216" s="14">
        <f t="shared" si="6"/>
        <v>0</v>
      </c>
      <c r="L216" s="16">
        <f t="shared" si="7"/>
        <v>0</v>
      </c>
      <c r="M216" s="22"/>
      <c r="N216" s="23" t="s">
        <v>16</v>
      </c>
      <c r="O216" s="24"/>
      <c r="P216" s="25"/>
    </row>
    <row r="217" spans="1:16">
      <c r="A217" s="14">
        <v>213</v>
      </c>
      <c r="B217" s="29" t="s">
        <v>323</v>
      </c>
      <c r="C217" s="16">
        <f>'Медикаменты Январь_2'!L217</f>
        <v>0</v>
      </c>
      <c r="D217" s="17"/>
      <c r="E217" s="14"/>
      <c r="F217" s="18"/>
      <c r="G217" s="19"/>
      <c r="H217" s="20"/>
      <c r="I217" s="21"/>
      <c r="J217" s="14"/>
      <c r="K217" s="14">
        <f t="shared" si="6"/>
        <v>0</v>
      </c>
      <c r="L217" s="16">
        <f t="shared" si="7"/>
        <v>0</v>
      </c>
      <c r="M217" s="22"/>
      <c r="N217" s="23" t="s">
        <v>16</v>
      </c>
      <c r="O217" s="24"/>
      <c r="P217" s="25"/>
    </row>
    <row r="218" spans="1:16">
      <c r="A218" s="14">
        <v>214</v>
      </c>
      <c r="B218" s="29" t="s">
        <v>324</v>
      </c>
      <c r="C218" s="16">
        <f>'Медикаменты Январь_2'!L218</f>
        <v>84</v>
      </c>
      <c r="D218" s="17"/>
      <c r="E218" s="14"/>
      <c r="F218" s="18">
        <f>3+5+3</f>
        <v>11</v>
      </c>
      <c r="G218" s="19"/>
      <c r="H218" s="20"/>
      <c r="I218" s="21"/>
      <c r="J218" s="14"/>
      <c r="K218" s="14">
        <f t="shared" si="6"/>
        <v>11</v>
      </c>
      <c r="L218" s="16">
        <f t="shared" si="7"/>
        <v>73</v>
      </c>
      <c r="M218" s="22">
        <v>45017</v>
      </c>
      <c r="N218" s="23" t="s">
        <v>16</v>
      </c>
      <c r="O218" s="24" t="s">
        <v>17</v>
      </c>
      <c r="P218" s="23" t="s">
        <v>325</v>
      </c>
    </row>
    <row r="219" spans="1:16">
      <c r="A219" s="14">
        <v>215</v>
      </c>
      <c r="B219" s="29" t="s">
        <v>326</v>
      </c>
      <c r="C219" s="16">
        <f>'Медикаменты Январь_2'!L219</f>
        <v>0</v>
      </c>
      <c r="D219" s="17"/>
      <c r="E219" s="14"/>
      <c r="F219" s="18"/>
      <c r="G219" s="19"/>
      <c r="H219" s="20"/>
      <c r="I219" s="21"/>
      <c r="J219" s="14"/>
      <c r="K219" s="14">
        <f t="shared" si="6"/>
        <v>0</v>
      </c>
      <c r="L219" s="16">
        <f t="shared" si="7"/>
        <v>0</v>
      </c>
      <c r="M219" s="22"/>
      <c r="N219" s="23" t="s">
        <v>16</v>
      </c>
      <c r="O219" s="24"/>
      <c r="P219" s="25"/>
    </row>
    <row r="220" spans="1:16">
      <c r="A220" s="14">
        <v>216</v>
      </c>
      <c r="B220" s="29" t="s">
        <v>327</v>
      </c>
      <c r="C220" s="16">
        <f>'Медикаменты Январь_2'!L220</f>
        <v>96</v>
      </c>
      <c r="D220" s="17"/>
      <c r="E220" s="14"/>
      <c r="F220" s="18">
        <f>5+5</f>
        <v>10</v>
      </c>
      <c r="G220" s="19"/>
      <c r="H220" s="20">
        <f>10</f>
        <v>10</v>
      </c>
      <c r="I220" s="21"/>
      <c r="J220" s="14"/>
      <c r="K220" s="14">
        <f t="shared" si="6"/>
        <v>20</v>
      </c>
      <c r="L220" s="16">
        <f t="shared" si="7"/>
        <v>76</v>
      </c>
      <c r="M220" s="22">
        <v>44774</v>
      </c>
      <c r="N220" s="23" t="s">
        <v>16</v>
      </c>
      <c r="O220" s="24" t="s">
        <v>17</v>
      </c>
      <c r="P220" s="23" t="s">
        <v>328</v>
      </c>
    </row>
    <row r="221" spans="1:16">
      <c r="A221" s="14">
        <v>217</v>
      </c>
      <c r="B221" s="29" t="s">
        <v>327</v>
      </c>
      <c r="C221" s="16">
        <f>'Медикаменты Январь_2'!L221</f>
        <v>0</v>
      </c>
      <c r="D221" s="17"/>
      <c r="E221" s="14"/>
      <c r="F221" s="18"/>
      <c r="G221" s="19"/>
      <c r="H221" s="20"/>
      <c r="I221" s="21"/>
      <c r="J221" s="14"/>
      <c r="K221" s="14">
        <f t="shared" si="6"/>
        <v>0</v>
      </c>
      <c r="L221" s="16">
        <f t="shared" si="7"/>
        <v>0</v>
      </c>
      <c r="M221" s="22">
        <v>44743</v>
      </c>
      <c r="N221" s="23" t="s">
        <v>16</v>
      </c>
      <c r="O221" s="24" t="s">
        <v>17</v>
      </c>
      <c r="P221" s="23" t="s">
        <v>328</v>
      </c>
    </row>
    <row r="222" spans="1:16">
      <c r="A222" s="14">
        <v>218</v>
      </c>
      <c r="B222" s="29" t="s">
        <v>327</v>
      </c>
      <c r="C222" s="16">
        <f>'Медикаменты Январь_2'!L222</f>
        <v>25</v>
      </c>
      <c r="D222" s="17"/>
      <c r="E222" s="14"/>
      <c r="F222" s="18"/>
      <c r="G222" s="19"/>
      <c r="H222" s="20"/>
      <c r="I222" s="21"/>
      <c r="J222" s="14"/>
      <c r="K222" s="14">
        <f t="shared" si="6"/>
        <v>0</v>
      </c>
      <c r="L222" s="16">
        <f t="shared" si="7"/>
        <v>25</v>
      </c>
      <c r="M222" s="22">
        <v>44774</v>
      </c>
      <c r="N222" s="23" t="s">
        <v>26</v>
      </c>
      <c r="O222" s="24" t="s">
        <v>17</v>
      </c>
      <c r="P222" s="23" t="s">
        <v>328</v>
      </c>
    </row>
    <row r="223" spans="1:16">
      <c r="A223" s="14">
        <v>219</v>
      </c>
      <c r="B223" s="29" t="s">
        <v>329</v>
      </c>
      <c r="C223" s="16">
        <f>'Медикаменты Январь_2'!L223</f>
        <v>0</v>
      </c>
      <c r="D223" s="17"/>
      <c r="E223" s="14"/>
      <c r="F223" s="18"/>
      <c r="G223" s="19"/>
      <c r="H223" s="20"/>
      <c r="I223" s="21"/>
      <c r="J223" s="14"/>
      <c r="K223" s="14">
        <f t="shared" si="6"/>
        <v>0</v>
      </c>
      <c r="L223" s="16">
        <f t="shared" si="7"/>
        <v>0</v>
      </c>
      <c r="M223" s="22">
        <v>44713</v>
      </c>
      <c r="N223" s="23" t="s">
        <v>16</v>
      </c>
      <c r="O223" s="24"/>
      <c r="P223" s="23" t="s">
        <v>330</v>
      </c>
    </row>
    <row r="224" spans="1:16">
      <c r="A224" s="14">
        <v>220</v>
      </c>
      <c r="B224" s="29" t="s">
        <v>331</v>
      </c>
      <c r="C224" s="16">
        <f>'Медикаменты Январь_2'!L224</f>
        <v>5</v>
      </c>
      <c r="D224" s="17"/>
      <c r="E224" s="14"/>
      <c r="F224" s="18"/>
      <c r="G224" s="19"/>
      <c r="H224" s="20"/>
      <c r="I224" s="21"/>
      <c r="J224" s="14"/>
      <c r="K224" s="14">
        <f t="shared" si="6"/>
        <v>0</v>
      </c>
      <c r="L224" s="16">
        <f t="shared" si="7"/>
        <v>5</v>
      </c>
      <c r="M224" s="22">
        <v>44317</v>
      </c>
      <c r="N224" s="23" t="s">
        <v>16</v>
      </c>
      <c r="O224" s="24" t="s">
        <v>45</v>
      </c>
      <c r="P224" s="23" t="s">
        <v>332</v>
      </c>
    </row>
    <row r="225" spans="1:16">
      <c r="A225" s="14">
        <v>221</v>
      </c>
      <c r="B225" s="29" t="s">
        <v>333</v>
      </c>
      <c r="C225" s="16">
        <f>'Медикаменты Январь_2'!L225</f>
        <v>0</v>
      </c>
      <c r="D225" s="17"/>
      <c r="E225" s="14"/>
      <c r="F225" s="18"/>
      <c r="G225" s="19"/>
      <c r="H225" s="20"/>
      <c r="I225" s="21"/>
      <c r="J225" s="14"/>
      <c r="K225" s="14">
        <f t="shared" si="6"/>
        <v>0</v>
      </c>
      <c r="L225" s="16">
        <f t="shared" si="7"/>
        <v>0</v>
      </c>
      <c r="M225" s="22">
        <v>44348</v>
      </c>
      <c r="N225" s="23" t="s">
        <v>16</v>
      </c>
      <c r="O225" s="24"/>
      <c r="P225" s="23" t="s">
        <v>334</v>
      </c>
    </row>
    <row r="226" spans="1:16">
      <c r="A226" s="14">
        <v>222</v>
      </c>
      <c r="B226" s="29" t="s">
        <v>335</v>
      </c>
      <c r="C226" s="16">
        <f>'Медикаменты Январь_2'!L226</f>
        <v>0</v>
      </c>
      <c r="D226" s="17"/>
      <c r="E226" s="14"/>
      <c r="F226" s="18"/>
      <c r="G226" s="19"/>
      <c r="H226" s="20"/>
      <c r="I226" s="21"/>
      <c r="J226" s="14"/>
      <c r="K226" s="14">
        <f t="shared" si="6"/>
        <v>0</v>
      </c>
      <c r="L226" s="16">
        <f t="shared" si="7"/>
        <v>0</v>
      </c>
      <c r="M226" s="22">
        <v>44348</v>
      </c>
      <c r="N226" s="23" t="s">
        <v>16</v>
      </c>
      <c r="O226" s="24"/>
      <c r="P226" s="25"/>
    </row>
    <row r="227" spans="1:16">
      <c r="A227" s="14">
        <v>223</v>
      </c>
      <c r="B227" s="29" t="s">
        <v>336</v>
      </c>
      <c r="C227" s="16">
        <f>'Медикаменты Январь_2'!L227</f>
        <v>162</v>
      </c>
      <c r="D227" s="17"/>
      <c r="E227" s="14"/>
      <c r="F227" s="18">
        <f>10+5</f>
        <v>15</v>
      </c>
      <c r="G227" s="19"/>
      <c r="H227" s="20">
        <f>10+20</f>
        <v>30</v>
      </c>
      <c r="I227" s="21"/>
      <c r="J227" s="14"/>
      <c r="K227" s="14">
        <f t="shared" si="6"/>
        <v>45</v>
      </c>
      <c r="L227" s="16">
        <f t="shared" si="7"/>
        <v>117</v>
      </c>
      <c r="M227" s="22">
        <v>45413</v>
      </c>
      <c r="N227" s="23" t="s">
        <v>16</v>
      </c>
      <c r="O227" s="24" t="s">
        <v>17</v>
      </c>
      <c r="P227" s="23" t="s">
        <v>337</v>
      </c>
    </row>
    <row r="228" spans="1:16">
      <c r="A228" s="14">
        <v>224</v>
      </c>
      <c r="B228" s="29" t="s">
        <v>338</v>
      </c>
      <c r="C228" s="16">
        <f>'Медикаменты Январь_2'!L228</f>
        <v>0</v>
      </c>
      <c r="D228" s="17"/>
      <c r="E228" s="14"/>
      <c r="F228" s="18"/>
      <c r="G228" s="19"/>
      <c r="H228" s="20"/>
      <c r="I228" s="21"/>
      <c r="J228" s="14"/>
      <c r="K228" s="14">
        <f t="shared" si="6"/>
        <v>0</v>
      </c>
      <c r="L228" s="16">
        <f t="shared" si="7"/>
        <v>0</v>
      </c>
      <c r="M228" s="22">
        <v>44562</v>
      </c>
      <c r="N228" s="23" t="s">
        <v>16</v>
      </c>
      <c r="O228" s="24"/>
      <c r="P228" s="23" t="s">
        <v>339</v>
      </c>
    </row>
    <row r="229" spans="1:16">
      <c r="A229" s="14">
        <v>225</v>
      </c>
      <c r="B229" s="29" t="s">
        <v>340</v>
      </c>
      <c r="C229" s="16">
        <f>'Медикаменты Январь_2'!L229</f>
        <v>0</v>
      </c>
      <c r="D229" s="17"/>
      <c r="E229" s="14"/>
      <c r="F229" s="18"/>
      <c r="G229" s="19"/>
      <c r="H229" s="20"/>
      <c r="I229" s="21"/>
      <c r="J229" s="14"/>
      <c r="K229" s="14">
        <f t="shared" si="6"/>
        <v>0</v>
      </c>
      <c r="L229" s="16">
        <f t="shared" si="7"/>
        <v>0</v>
      </c>
      <c r="M229" s="22"/>
      <c r="N229" s="23" t="s">
        <v>16</v>
      </c>
      <c r="O229" s="24"/>
      <c r="P229" s="25"/>
    </row>
    <row r="230" spans="1:16">
      <c r="A230" s="14">
        <v>226</v>
      </c>
      <c r="B230" s="29" t="s">
        <v>341</v>
      </c>
      <c r="C230" s="16">
        <f>'Медикаменты Январь_2'!L230</f>
        <v>62</v>
      </c>
      <c r="D230" s="17"/>
      <c r="E230" s="14"/>
      <c r="F230" s="18"/>
      <c r="G230" s="19"/>
      <c r="H230" s="20"/>
      <c r="I230" s="21"/>
      <c r="J230" s="14"/>
      <c r="K230" s="14">
        <f t="shared" si="6"/>
        <v>0</v>
      </c>
      <c r="L230" s="16">
        <f t="shared" si="7"/>
        <v>62</v>
      </c>
      <c r="M230" s="22">
        <v>45108</v>
      </c>
      <c r="N230" s="23" t="s">
        <v>16</v>
      </c>
      <c r="O230" s="24" t="s">
        <v>17</v>
      </c>
      <c r="P230" s="28" t="s">
        <v>342</v>
      </c>
    </row>
    <row r="231" spans="1:16">
      <c r="A231" s="14">
        <v>227</v>
      </c>
      <c r="B231" s="29" t="s">
        <v>343</v>
      </c>
      <c r="C231" s="16">
        <f>'Медикаменты Январь_2'!L231</f>
        <v>25</v>
      </c>
      <c r="D231" s="17"/>
      <c r="E231" s="14"/>
      <c r="F231" s="18">
        <f>25</f>
        <v>25</v>
      </c>
      <c r="G231" s="19"/>
      <c r="H231" s="20"/>
      <c r="I231" s="21"/>
      <c r="J231" s="14"/>
      <c r="K231" s="14">
        <f t="shared" si="6"/>
        <v>25</v>
      </c>
      <c r="L231" s="16">
        <f t="shared" si="7"/>
        <v>0</v>
      </c>
      <c r="M231" s="22">
        <v>44835</v>
      </c>
      <c r="N231" s="23" t="s">
        <v>16</v>
      </c>
      <c r="O231" s="24" t="s">
        <v>17</v>
      </c>
      <c r="P231" s="28" t="s">
        <v>344</v>
      </c>
    </row>
    <row r="232" spans="1:16">
      <c r="A232" s="14">
        <v>228</v>
      </c>
      <c r="B232" s="29" t="s">
        <v>343</v>
      </c>
      <c r="C232" s="16">
        <f>'Медикаменты Январь_2'!L232</f>
        <v>0</v>
      </c>
      <c r="D232" s="17"/>
      <c r="E232" s="14"/>
      <c r="F232" s="18"/>
      <c r="G232" s="19"/>
      <c r="H232" s="20"/>
      <c r="I232" s="21"/>
      <c r="J232" s="14"/>
      <c r="K232" s="14">
        <f t="shared" si="6"/>
        <v>0</v>
      </c>
      <c r="L232" s="16">
        <f t="shared" si="7"/>
        <v>0</v>
      </c>
      <c r="M232" s="22">
        <v>44835</v>
      </c>
      <c r="N232" s="23" t="s">
        <v>26</v>
      </c>
      <c r="O232" s="24"/>
      <c r="P232" s="28" t="s">
        <v>344</v>
      </c>
    </row>
    <row r="233" spans="1:16">
      <c r="A233" s="14">
        <v>229</v>
      </c>
      <c r="B233" s="29" t="s">
        <v>345</v>
      </c>
      <c r="C233" s="16">
        <f>'Медикаменты Январь_2'!L233</f>
        <v>47</v>
      </c>
      <c r="D233" s="17"/>
      <c r="E233" s="14"/>
      <c r="F233" s="18">
        <f>5</f>
        <v>5</v>
      </c>
      <c r="G233" s="19"/>
      <c r="H233" s="20"/>
      <c r="I233" s="21"/>
      <c r="J233" s="14"/>
      <c r="K233" s="14">
        <f t="shared" si="6"/>
        <v>5</v>
      </c>
      <c r="L233" s="16">
        <f t="shared" si="7"/>
        <v>42</v>
      </c>
      <c r="M233" s="22">
        <v>44562</v>
      </c>
      <c r="N233" s="23" t="s">
        <v>16</v>
      </c>
      <c r="O233" s="24" t="s">
        <v>45</v>
      </c>
      <c r="P233" s="28" t="s">
        <v>346</v>
      </c>
    </row>
    <row r="234" spans="1:16">
      <c r="A234" s="14">
        <v>230</v>
      </c>
      <c r="B234" s="29" t="s">
        <v>347</v>
      </c>
      <c r="C234" s="16">
        <f>'Медикаменты Январь_2'!L234</f>
        <v>0</v>
      </c>
      <c r="D234" s="17"/>
      <c r="E234" s="14"/>
      <c r="F234" s="18"/>
      <c r="G234" s="19"/>
      <c r="H234" s="20"/>
      <c r="I234" s="21"/>
      <c r="J234" s="14"/>
      <c r="K234" s="14">
        <f t="shared" si="6"/>
        <v>0</v>
      </c>
      <c r="L234" s="16">
        <f t="shared" si="7"/>
        <v>0</v>
      </c>
      <c r="M234" s="22">
        <v>44896</v>
      </c>
      <c r="N234" s="23" t="s">
        <v>16</v>
      </c>
      <c r="O234" s="24" t="s">
        <v>45</v>
      </c>
      <c r="P234" s="23" t="s">
        <v>348</v>
      </c>
    </row>
    <row r="235" spans="1:16">
      <c r="A235" s="14">
        <v>231</v>
      </c>
      <c r="B235" s="29" t="s">
        <v>349</v>
      </c>
      <c r="C235" s="16">
        <f>'Медикаменты Январь_2'!L235</f>
        <v>0</v>
      </c>
      <c r="D235" s="17"/>
      <c r="E235" s="14"/>
      <c r="F235" s="18"/>
      <c r="G235" s="19"/>
      <c r="H235" s="20"/>
      <c r="I235" s="21"/>
      <c r="J235" s="14"/>
      <c r="K235" s="14">
        <f t="shared" si="6"/>
        <v>0</v>
      </c>
      <c r="L235" s="16">
        <f t="shared" si="7"/>
        <v>0</v>
      </c>
      <c r="M235" s="22"/>
      <c r="N235" s="23" t="s">
        <v>16</v>
      </c>
      <c r="O235" s="24"/>
      <c r="P235" s="25"/>
    </row>
    <row r="236" spans="1:16">
      <c r="A236" s="14">
        <v>232</v>
      </c>
      <c r="B236" s="29" t="s">
        <v>350</v>
      </c>
      <c r="C236" s="16">
        <f>'Медикаменты Январь_2'!L236</f>
        <v>0</v>
      </c>
      <c r="D236" s="17"/>
      <c r="E236" s="14"/>
      <c r="F236" s="18"/>
      <c r="G236" s="19"/>
      <c r="H236" s="20"/>
      <c r="I236" s="21"/>
      <c r="J236" s="14"/>
      <c r="K236" s="14">
        <f t="shared" si="6"/>
        <v>0</v>
      </c>
      <c r="L236" s="16">
        <f t="shared" si="7"/>
        <v>0</v>
      </c>
      <c r="M236" s="22"/>
      <c r="N236" s="23" t="s">
        <v>16</v>
      </c>
      <c r="O236" s="24"/>
      <c r="P236" s="25"/>
    </row>
    <row r="237" spans="1:16">
      <c r="A237" s="14">
        <v>233</v>
      </c>
      <c r="B237" s="29" t="s">
        <v>351</v>
      </c>
      <c r="C237" s="16">
        <f>'Медикаменты Январь_2'!L237</f>
        <v>0</v>
      </c>
      <c r="D237" s="17"/>
      <c r="E237" s="14"/>
      <c r="F237" s="18"/>
      <c r="G237" s="19"/>
      <c r="H237" s="20"/>
      <c r="I237" s="21"/>
      <c r="J237" s="14"/>
      <c r="K237" s="14">
        <f t="shared" si="6"/>
        <v>0</v>
      </c>
      <c r="L237" s="16">
        <f t="shared" si="7"/>
        <v>0</v>
      </c>
      <c r="M237" s="22">
        <v>44197</v>
      </c>
      <c r="N237" s="23" t="s">
        <v>16</v>
      </c>
      <c r="O237" s="24"/>
      <c r="P237" s="28" t="s">
        <v>352</v>
      </c>
    </row>
    <row r="238" spans="1:16">
      <c r="A238" s="14">
        <v>234</v>
      </c>
      <c r="B238" s="29" t="s">
        <v>353</v>
      </c>
      <c r="C238" s="16">
        <f>'Медикаменты Январь_2'!L238</f>
        <v>368</v>
      </c>
      <c r="D238" s="17"/>
      <c r="E238" s="14"/>
      <c r="F238" s="18">
        <f>5</f>
        <v>5</v>
      </c>
      <c r="G238" s="19"/>
      <c r="H238" s="20"/>
      <c r="I238" s="21"/>
      <c r="J238" s="14"/>
      <c r="K238" s="14">
        <f t="shared" si="6"/>
        <v>5</v>
      </c>
      <c r="L238" s="16">
        <f t="shared" si="7"/>
        <v>363</v>
      </c>
      <c r="M238" s="22">
        <v>44652</v>
      </c>
      <c r="N238" s="23" t="s">
        <v>16</v>
      </c>
      <c r="O238" s="24" t="s">
        <v>17</v>
      </c>
      <c r="P238" s="28" t="s">
        <v>354</v>
      </c>
    </row>
    <row r="239" spans="1:16">
      <c r="A239" s="14">
        <v>235</v>
      </c>
      <c r="B239" s="29" t="s">
        <v>355</v>
      </c>
      <c r="C239" s="16">
        <f>'Медикаменты Январь_2'!L239</f>
        <v>8</v>
      </c>
      <c r="D239" s="17"/>
      <c r="E239" s="14"/>
      <c r="F239" s="18"/>
      <c r="G239" s="19"/>
      <c r="H239" s="20"/>
      <c r="I239" s="21"/>
      <c r="J239" s="14"/>
      <c r="K239" s="14">
        <f t="shared" si="6"/>
        <v>0</v>
      </c>
      <c r="L239" s="16">
        <f t="shared" si="7"/>
        <v>8</v>
      </c>
      <c r="M239" s="22">
        <v>44713</v>
      </c>
      <c r="N239" s="23" t="s">
        <v>16</v>
      </c>
      <c r="O239" s="24" t="s">
        <v>17</v>
      </c>
      <c r="P239" s="28" t="s">
        <v>356</v>
      </c>
    </row>
    <row r="240" spans="1:16">
      <c r="A240" s="14">
        <v>236</v>
      </c>
      <c r="B240" s="29" t="s">
        <v>357</v>
      </c>
      <c r="C240" s="16">
        <f>'Медикаменты Январь_2'!L240</f>
        <v>0</v>
      </c>
      <c r="D240" s="17"/>
      <c r="E240" s="14"/>
      <c r="F240" s="18"/>
      <c r="G240" s="19"/>
      <c r="H240" s="20"/>
      <c r="I240" s="21"/>
      <c r="J240" s="14"/>
      <c r="K240" s="14">
        <f t="shared" si="6"/>
        <v>0</v>
      </c>
      <c r="L240" s="16">
        <f t="shared" si="7"/>
        <v>0</v>
      </c>
      <c r="M240" s="22"/>
      <c r="N240" s="23" t="s">
        <v>16</v>
      </c>
      <c r="O240" s="24"/>
      <c r="P240" s="25"/>
    </row>
    <row r="241" spans="1:16">
      <c r="A241" s="14">
        <v>237</v>
      </c>
      <c r="B241" s="29" t="s">
        <v>358</v>
      </c>
      <c r="C241" s="16">
        <f>'Медикаменты Январь_2'!L241</f>
        <v>0</v>
      </c>
      <c r="D241" s="17"/>
      <c r="E241" s="14"/>
      <c r="F241" s="18"/>
      <c r="G241" s="19"/>
      <c r="H241" s="20"/>
      <c r="I241" s="21"/>
      <c r="J241" s="14"/>
      <c r="K241" s="14">
        <f t="shared" si="6"/>
        <v>0</v>
      </c>
      <c r="L241" s="16">
        <f t="shared" si="7"/>
        <v>0</v>
      </c>
      <c r="M241" s="22">
        <v>44562</v>
      </c>
      <c r="N241" s="23" t="s">
        <v>26</v>
      </c>
      <c r="O241" s="24"/>
      <c r="P241" s="28" t="s">
        <v>359</v>
      </c>
    </row>
    <row r="242" spans="1:16">
      <c r="A242" s="14">
        <v>238</v>
      </c>
      <c r="B242" s="29" t="s">
        <v>360</v>
      </c>
      <c r="C242" s="16">
        <f>'Медикаменты Январь_2'!L242</f>
        <v>0</v>
      </c>
      <c r="D242" s="17"/>
      <c r="E242" s="14"/>
      <c r="F242" s="18"/>
      <c r="G242" s="19"/>
      <c r="H242" s="20"/>
      <c r="I242" s="21"/>
      <c r="J242" s="14"/>
      <c r="K242" s="14">
        <f t="shared" si="6"/>
        <v>0</v>
      </c>
      <c r="L242" s="16">
        <f t="shared" si="7"/>
        <v>0</v>
      </c>
      <c r="M242" s="22"/>
      <c r="N242" s="23" t="s">
        <v>16</v>
      </c>
      <c r="O242" s="24"/>
      <c r="P242" s="25"/>
    </row>
    <row r="243" spans="1:16">
      <c r="A243" s="14">
        <v>239</v>
      </c>
      <c r="B243" s="29" t="s">
        <v>361</v>
      </c>
      <c r="C243" s="16">
        <f>'Медикаменты Январь_2'!L243</f>
        <v>0</v>
      </c>
      <c r="D243" s="17"/>
      <c r="E243" s="14"/>
      <c r="F243" s="18"/>
      <c r="G243" s="19"/>
      <c r="H243" s="20"/>
      <c r="I243" s="21"/>
      <c r="J243" s="14"/>
      <c r="K243" s="14">
        <f t="shared" si="6"/>
        <v>0</v>
      </c>
      <c r="L243" s="16">
        <f t="shared" si="7"/>
        <v>0</v>
      </c>
      <c r="M243" s="22"/>
      <c r="N243" s="23" t="s">
        <v>16</v>
      </c>
      <c r="O243" s="24"/>
      <c r="P243" s="25"/>
    </row>
    <row r="244" spans="1:16">
      <c r="A244" s="14">
        <v>240</v>
      </c>
      <c r="B244" s="29" t="s">
        <v>362</v>
      </c>
      <c r="C244" s="16">
        <f>'Медикаменты Январь_2'!L244</f>
        <v>0</v>
      </c>
      <c r="D244" s="17"/>
      <c r="E244" s="14"/>
      <c r="F244" s="18"/>
      <c r="G244" s="19"/>
      <c r="H244" s="20"/>
      <c r="I244" s="21"/>
      <c r="J244" s="14"/>
      <c r="K244" s="14">
        <f t="shared" si="6"/>
        <v>0</v>
      </c>
      <c r="L244" s="16">
        <f t="shared" si="7"/>
        <v>0</v>
      </c>
      <c r="M244" s="22">
        <v>45200</v>
      </c>
      <c r="N244" s="23" t="s">
        <v>16</v>
      </c>
      <c r="O244" s="24"/>
      <c r="P244" s="23" t="s">
        <v>363</v>
      </c>
    </row>
    <row r="245" spans="1:16">
      <c r="A245" s="14">
        <v>241</v>
      </c>
      <c r="B245" s="29" t="s">
        <v>364</v>
      </c>
      <c r="C245" s="16">
        <f>'Медикаменты Январь_2'!L245</f>
        <v>0</v>
      </c>
      <c r="D245" s="17"/>
      <c r="E245" s="14"/>
      <c r="F245" s="18"/>
      <c r="G245" s="19"/>
      <c r="H245" s="20"/>
      <c r="I245" s="21"/>
      <c r="J245" s="14"/>
      <c r="K245" s="14">
        <f t="shared" si="6"/>
        <v>0</v>
      </c>
      <c r="L245" s="16">
        <f t="shared" si="7"/>
        <v>0</v>
      </c>
      <c r="M245" s="22">
        <v>44378</v>
      </c>
      <c r="N245" s="23" t="s">
        <v>26</v>
      </c>
      <c r="O245" s="24"/>
      <c r="P245" s="25"/>
    </row>
    <row r="246" spans="1:16">
      <c r="A246" s="14">
        <v>242</v>
      </c>
      <c r="B246" s="29" t="s">
        <v>365</v>
      </c>
      <c r="C246" s="16">
        <f>'Медикаменты Январь_2'!L246</f>
        <v>0</v>
      </c>
      <c r="D246" s="17"/>
      <c r="E246" s="14"/>
      <c r="F246" s="18"/>
      <c r="G246" s="19"/>
      <c r="H246" s="20"/>
      <c r="I246" s="21"/>
      <c r="J246" s="14"/>
      <c r="K246" s="14">
        <f t="shared" si="6"/>
        <v>0</v>
      </c>
      <c r="L246" s="16">
        <f t="shared" si="7"/>
        <v>0</v>
      </c>
      <c r="M246" s="22"/>
      <c r="N246" s="23" t="s">
        <v>16</v>
      </c>
      <c r="O246" s="24"/>
      <c r="P246" s="25"/>
    </row>
    <row r="247" spans="1:16">
      <c r="A247" s="14">
        <v>243</v>
      </c>
      <c r="B247" s="29" t="s">
        <v>366</v>
      </c>
      <c r="C247" s="16">
        <f>'Медикаменты Январь_2'!L247</f>
        <v>0</v>
      </c>
      <c r="D247" s="17"/>
      <c r="E247" s="14"/>
      <c r="F247" s="18"/>
      <c r="G247" s="19"/>
      <c r="H247" s="20"/>
      <c r="I247" s="21"/>
      <c r="J247" s="14"/>
      <c r="K247" s="14">
        <f t="shared" si="6"/>
        <v>0</v>
      </c>
      <c r="L247" s="16">
        <f t="shared" si="7"/>
        <v>0</v>
      </c>
      <c r="M247" s="22"/>
      <c r="N247" s="23" t="s">
        <v>16</v>
      </c>
      <c r="O247" s="24"/>
      <c r="P247" s="25"/>
    </row>
    <row r="248" spans="1:16">
      <c r="A248" s="14">
        <v>244</v>
      </c>
      <c r="B248" s="29" t="s">
        <v>367</v>
      </c>
      <c r="C248" s="16">
        <f>'Медикаменты Январь_2'!L248</f>
        <v>25</v>
      </c>
      <c r="D248" s="17"/>
      <c r="E248" s="14"/>
      <c r="F248" s="18">
        <f>5</f>
        <v>5</v>
      </c>
      <c r="G248" s="19"/>
      <c r="H248" s="20"/>
      <c r="I248" s="21"/>
      <c r="J248" s="14"/>
      <c r="K248" s="14">
        <f t="shared" si="6"/>
        <v>5</v>
      </c>
      <c r="L248" s="16">
        <f t="shared" si="7"/>
        <v>20</v>
      </c>
      <c r="M248" s="22">
        <v>45261</v>
      </c>
      <c r="N248" s="23" t="s">
        <v>16</v>
      </c>
      <c r="O248" s="24" t="s">
        <v>17</v>
      </c>
      <c r="P248" s="23" t="s">
        <v>368</v>
      </c>
    </row>
    <row r="249" spans="1:16">
      <c r="A249" s="14">
        <v>245</v>
      </c>
      <c r="B249" s="29" t="s">
        <v>369</v>
      </c>
      <c r="C249" s="16">
        <f>'Медикаменты Январь_2'!L249</f>
        <v>20</v>
      </c>
      <c r="D249" s="17"/>
      <c r="E249" s="14"/>
      <c r="F249" s="18">
        <f>10</f>
        <v>10</v>
      </c>
      <c r="G249" s="19"/>
      <c r="H249" s="20"/>
      <c r="I249" s="21"/>
      <c r="J249" s="14"/>
      <c r="K249" s="14">
        <f t="shared" si="6"/>
        <v>10</v>
      </c>
      <c r="L249" s="16">
        <f t="shared" si="7"/>
        <v>10</v>
      </c>
      <c r="M249" s="22">
        <v>44927</v>
      </c>
      <c r="N249" s="23" t="s">
        <v>16</v>
      </c>
      <c r="O249" s="24" t="s">
        <v>45</v>
      </c>
      <c r="P249" s="28" t="s">
        <v>370</v>
      </c>
    </row>
    <row r="250" spans="1:16">
      <c r="A250" s="14">
        <v>246</v>
      </c>
      <c r="B250" s="29" t="s">
        <v>371</v>
      </c>
      <c r="C250" s="16">
        <f>'Медикаменты Январь_2'!L250</f>
        <v>47</v>
      </c>
      <c r="D250" s="17"/>
      <c r="E250" s="14"/>
      <c r="F250" s="18">
        <f>12+5+10+5</f>
        <v>32</v>
      </c>
      <c r="G250" s="19"/>
      <c r="H250" s="20"/>
      <c r="I250" s="21"/>
      <c r="J250" s="14"/>
      <c r="K250" s="14">
        <f t="shared" si="6"/>
        <v>32</v>
      </c>
      <c r="L250" s="16">
        <f t="shared" si="7"/>
        <v>15</v>
      </c>
      <c r="M250" s="22">
        <v>45413</v>
      </c>
      <c r="N250" s="23" t="s">
        <v>16</v>
      </c>
      <c r="O250" s="24" t="s">
        <v>17</v>
      </c>
      <c r="P250" s="23" t="s">
        <v>372</v>
      </c>
    </row>
    <row r="251" spans="1:16">
      <c r="A251" s="14">
        <v>247</v>
      </c>
      <c r="B251" s="29" t="s">
        <v>371</v>
      </c>
      <c r="C251" s="16">
        <f>'Медикаменты Январь_2'!L251</f>
        <v>0</v>
      </c>
      <c r="D251" s="17"/>
      <c r="E251" s="14"/>
      <c r="F251" s="18"/>
      <c r="G251" s="19"/>
      <c r="H251" s="20"/>
      <c r="I251" s="21"/>
      <c r="J251" s="14"/>
      <c r="K251" s="14">
        <f t="shared" si="6"/>
        <v>0</v>
      </c>
      <c r="L251" s="16">
        <f t="shared" si="7"/>
        <v>0</v>
      </c>
      <c r="M251" s="22">
        <v>45413</v>
      </c>
      <c r="N251" s="23" t="s">
        <v>26</v>
      </c>
      <c r="O251" s="24"/>
      <c r="P251" s="23" t="s">
        <v>372</v>
      </c>
    </row>
    <row r="252" spans="1:16">
      <c r="A252" s="14">
        <v>248</v>
      </c>
      <c r="B252" s="29" t="s">
        <v>373</v>
      </c>
      <c r="C252" s="16">
        <f>'Медикаменты Январь_2'!L252</f>
        <v>0</v>
      </c>
      <c r="D252" s="17"/>
      <c r="E252" s="14"/>
      <c r="F252" s="18"/>
      <c r="G252" s="19"/>
      <c r="H252" s="20"/>
      <c r="I252" s="21"/>
      <c r="J252" s="14"/>
      <c r="K252" s="14">
        <f t="shared" si="6"/>
        <v>0</v>
      </c>
      <c r="L252" s="16">
        <f t="shared" si="7"/>
        <v>0</v>
      </c>
      <c r="M252" s="22">
        <v>45108</v>
      </c>
      <c r="N252" s="23" t="s">
        <v>16</v>
      </c>
      <c r="O252" s="24"/>
      <c r="P252" s="23" t="s">
        <v>374</v>
      </c>
    </row>
    <row r="253" spans="1:16">
      <c r="A253" s="14">
        <v>249</v>
      </c>
      <c r="B253" s="29" t="s">
        <v>373</v>
      </c>
      <c r="C253" s="16">
        <f>'Медикаменты Январь_2'!L253</f>
        <v>0</v>
      </c>
      <c r="D253" s="17"/>
      <c r="E253" s="14"/>
      <c r="F253" s="18"/>
      <c r="G253" s="19"/>
      <c r="H253" s="20"/>
      <c r="I253" s="21"/>
      <c r="J253" s="14"/>
      <c r="K253" s="14">
        <f t="shared" si="6"/>
        <v>0</v>
      </c>
      <c r="L253" s="16">
        <f t="shared" si="7"/>
        <v>0</v>
      </c>
      <c r="M253" s="22">
        <v>45108</v>
      </c>
      <c r="N253" s="23" t="s">
        <v>26</v>
      </c>
      <c r="O253" s="24"/>
      <c r="P253" s="23" t="s">
        <v>374</v>
      </c>
    </row>
    <row r="254" spans="1:16">
      <c r="A254" s="14">
        <v>250</v>
      </c>
      <c r="B254" s="29" t="s">
        <v>375</v>
      </c>
      <c r="C254" s="16">
        <f>'Медикаменты Январь_2'!L254</f>
        <v>3</v>
      </c>
      <c r="D254" s="17"/>
      <c r="E254" s="14"/>
      <c r="F254" s="18">
        <f>3</f>
        <v>3</v>
      </c>
      <c r="G254" s="19"/>
      <c r="H254" s="20"/>
      <c r="I254" s="21"/>
      <c r="J254" s="14"/>
      <c r="K254" s="14">
        <f t="shared" si="6"/>
        <v>3</v>
      </c>
      <c r="L254" s="16">
        <f t="shared" si="7"/>
        <v>0</v>
      </c>
      <c r="M254" s="22">
        <v>44805</v>
      </c>
      <c r="N254" s="23" t="s">
        <v>16</v>
      </c>
      <c r="O254" s="24" t="s">
        <v>17</v>
      </c>
      <c r="P254" s="28" t="s">
        <v>376</v>
      </c>
    </row>
    <row r="255" spans="1:16">
      <c r="A255" s="14">
        <v>251</v>
      </c>
      <c r="B255" s="29" t="s">
        <v>375</v>
      </c>
      <c r="C255" s="16">
        <f>'Медикаменты Январь_2'!L255</f>
        <v>0</v>
      </c>
      <c r="D255" s="17"/>
      <c r="E255" s="14"/>
      <c r="F255" s="18"/>
      <c r="G255" s="19"/>
      <c r="H255" s="20"/>
      <c r="I255" s="21"/>
      <c r="J255" s="14"/>
      <c r="K255" s="14">
        <f t="shared" si="6"/>
        <v>0</v>
      </c>
      <c r="L255" s="16">
        <f t="shared" si="7"/>
        <v>0</v>
      </c>
      <c r="M255" s="22">
        <v>44958</v>
      </c>
      <c r="N255" s="23" t="s">
        <v>26</v>
      </c>
      <c r="O255" s="24"/>
      <c r="P255" s="28" t="s">
        <v>376</v>
      </c>
    </row>
    <row r="256" spans="1:16">
      <c r="A256" s="14">
        <v>252</v>
      </c>
      <c r="B256" s="29" t="s">
        <v>377</v>
      </c>
      <c r="C256" s="16">
        <f>'Медикаменты Январь_2'!L256</f>
        <v>161</v>
      </c>
      <c r="D256" s="17"/>
      <c r="E256" s="14"/>
      <c r="F256" s="18"/>
      <c r="G256" s="19"/>
      <c r="H256" s="20"/>
      <c r="I256" s="21"/>
      <c r="J256" s="14"/>
      <c r="K256" s="14">
        <f t="shared" si="6"/>
        <v>0</v>
      </c>
      <c r="L256" s="16">
        <f t="shared" si="7"/>
        <v>161</v>
      </c>
      <c r="M256" s="22">
        <v>45170</v>
      </c>
      <c r="N256" s="23" t="s">
        <v>16</v>
      </c>
      <c r="O256" s="24" t="s">
        <v>17</v>
      </c>
      <c r="P256" s="23" t="s">
        <v>378</v>
      </c>
    </row>
    <row r="257" spans="1:16">
      <c r="A257" s="14">
        <v>253</v>
      </c>
      <c r="B257" s="29" t="s">
        <v>377</v>
      </c>
      <c r="C257" s="16">
        <f>'Медикаменты Январь_2'!L257</f>
        <v>114</v>
      </c>
      <c r="D257" s="17"/>
      <c r="E257" s="14"/>
      <c r="F257" s="18"/>
      <c r="G257" s="19"/>
      <c r="H257" s="20"/>
      <c r="I257" s="21">
        <f>114</f>
        <v>114</v>
      </c>
      <c r="J257" s="14"/>
      <c r="K257" s="14">
        <f t="shared" si="6"/>
        <v>114</v>
      </c>
      <c r="L257" s="16">
        <f t="shared" si="7"/>
        <v>0</v>
      </c>
      <c r="M257" s="22">
        <v>45170</v>
      </c>
      <c r="N257" s="23" t="s">
        <v>26</v>
      </c>
      <c r="O257" s="24" t="s">
        <v>17</v>
      </c>
      <c r="P257" s="23" t="s">
        <v>378</v>
      </c>
    </row>
    <row r="258" spans="1:16">
      <c r="A258" s="14">
        <v>254</v>
      </c>
      <c r="B258" s="29" t="s">
        <v>379</v>
      </c>
      <c r="C258" s="16">
        <f>'Медикаменты Январь_2'!L258</f>
        <v>0</v>
      </c>
      <c r="D258" s="17"/>
      <c r="E258" s="14"/>
      <c r="F258" s="18"/>
      <c r="G258" s="19"/>
      <c r="H258" s="20"/>
      <c r="I258" s="21"/>
      <c r="J258" s="14"/>
      <c r="K258" s="14">
        <f t="shared" si="6"/>
        <v>0</v>
      </c>
      <c r="L258" s="16">
        <f t="shared" si="7"/>
        <v>0</v>
      </c>
      <c r="M258" s="22"/>
      <c r="N258" s="23" t="s">
        <v>16</v>
      </c>
      <c r="O258" s="24"/>
      <c r="P258" s="25"/>
    </row>
    <row r="259" spans="1:16">
      <c r="A259" s="14">
        <v>255</v>
      </c>
      <c r="B259" s="29" t="s">
        <v>380</v>
      </c>
      <c r="C259" s="16">
        <f>'Медикаменты Январь_2'!L259</f>
        <v>2</v>
      </c>
      <c r="D259" s="17"/>
      <c r="E259" s="14"/>
      <c r="F259" s="18">
        <f>2</f>
        <v>2</v>
      </c>
      <c r="G259" s="19"/>
      <c r="H259" s="20"/>
      <c r="I259" s="21"/>
      <c r="J259" s="14"/>
      <c r="K259" s="14">
        <f t="shared" si="6"/>
        <v>2</v>
      </c>
      <c r="L259" s="16">
        <f t="shared" si="7"/>
        <v>0</v>
      </c>
      <c r="M259" s="22">
        <v>44682</v>
      </c>
      <c r="N259" s="23" t="s">
        <v>16</v>
      </c>
      <c r="O259" s="24" t="s">
        <v>45</v>
      </c>
      <c r="P259" s="23" t="s">
        <v>381</v>
      </c>
    </row>
    <row r="260" spans="1:16">
      <c r="A260" s="14">
        <v>256</v>
      </c>
      <c r="B260" s="29" t="s">
        <v>382</v>
      </c>
      <c r="C260" s="16">
        <f>'Медикаменты Январь_2'!L260</f>
        <v>0</v>
      </c>
      <c r="D260" s="17"/>
      <c r="E260" s="14"/>
      <c r="F260" s="18"/>
      <c r="G260" s="19"/>
      <c r="H260" s="20"/>
      <c r="I260" s="21"/>
      <c r="J260" s="14"/>
      <c r="K260" s="14">
        <f t="shared" si="6"/>
        <v>0</v>
      </c>
      <c r="L260" s="16">
        <f t="shared" si="7"/>
        <v>0</v>
      </c>
      <c r="M260" s="22">
        <v>44743</v>
      </c>
      <c r="N260" s="23" t="s">
        <v>16</v>
      </c>
      <c r="O260" s="24"/>
      <c r="P260" s="23" t="s">
        <v>383</v>
      </c>
    </row>
    <row r="261" spans="1:16">
      <c r="A261" s="14">
        <v>257</v>
      </c>
      <c r="B261" s="29" t="s">
        <v>384</v>
      </c>
      <c r="C261" s="16">
        <f>'Медикаменты Январь_2'!L261</f>
        <v>0</v>
      </c>
      <c r="D261" s="17"/>
      <c r="E261" s="14"/>
      <c r="F261" s="18"/>
      <c r="G261" s="19"/>
      <c r="H261" s="20"/>
      <c r="I261" s="21"/>
      <c r="J261" s="14"/>
      <c r="K261" s="14">
        <f t="shared" ref="K261:K324" si="8">SUM(F261:J261)</f>
        <v>0</v>
      </c>
      <c r="L261" s="16">
        <f t="shared" ref="L261:L324" si="9">(C261+E261)-K261</f>
        <v>0</v>
      </c>
      <c r="M261" s="22"/>
      <c r="N261" s="23" t="s">
        <v>16</v>
      </c>
      <c r="O261" s="24"/>
      <c r="P261" s="25"/>
    </row>
    <row r="262" spans="1:16">
      <c r="A262" s="14">
        <v>258</v>
      </c>
      <c r="B262" s="29" t="s">
        <v>385</v>
      </c>
      <c r="C262" s="16">
        <f>'Медикаменты Январь_2'!L262</f>
        <v>0</v>
      </c>
      <c r="D262" s="17"/>
      <c r="E262" s="14"/>
      <c r="F262" s="18"/>
      <c r="G262" s="19"/>
      <c r="H262" s="20"/>
      <c r="I262" s="21"/>
      <c r="J262" s="14"/>
      <c r="K262" s="14">
        <f t="shared" si="8"/>
        <v>0</v>
      </c>
      <c r="L262" s="16">
        <f t="shared" si="9"/>
        <v>0</v>
      </c>
      <c r="M262" s="22"/>
      <c r="N262" s="23" t="s">
        <v>16</v>
      </c>
      <c r="O262" s="24"/>
      <c r="P262" s="25"/>
    </row>
    <row r="263" spans="1:16">
      <c r="A263" s="14">
        <v>259</v>
      </c>
      <c r="B263" s="29" t="s">
        <v>386</v>
      </c>
      <c r="C263" s="16">
        <f>'Медикаменты Январь_2'!L263</f>
        <v>0</v>
      </c>
      <c r="D263" s="17"/>
      <c r="E263" s="14"/>
      <c r="F263" s="18"/>
      <c r="G263" s="19"/>
      <c r="H263" s="20"/>
      <c r="I263" s="21"/>
      <c r="J263" s="14"/>
      <c r="K263" s="14">
        <f t="shared" si="8"/>
        <v>0</v>
      </c>
      <c r="L263" s="16">
        <f t="shared" si="9"/>
        <v>0</v>
      </c>
      <c r="M263" s="22"/>
      <c r="N263" s="23" t="s">
        <v>16</v>
      </c>
      <c r="O263" s="24"/>
      <c r="P263" s="25"/>
    </row>
    <row r="264" spans="1:16">
      <c r="A264" s="14">
        <v>260</v>
      </c>
      <c r="B264" s="29" t="s">
        <v>387</v>
      </c>
      <c r="C264" s="16">
        <f>'Медикаменты Январь_2'!L264</f>
        <v>0</v>
      </c>
      <c r="D264" s="17"/>
      <c r="E264" s="14"/>
      <c r="F264" s="18"/>
      <c r="G264" s="19"/>
      <c r="H264" s="20"/>
      <c r="I264" s="21"/>
      <c r="J264" s="14"/>
      <c r="K264" s="14">
        <f t="shared" si="8"/>
        <v>0</v>
      </c>
      <c r="L264" s="16">
        <f t="shared" si="9"/>
        <v>0</v>
      </c>
      <c r="M264" s="22"/>
      <c r="N264" s="23" t="s">
        <v>16</v>
      </c>
      <c r="O264" s="24"/>
      <c r="P264" s="25"/>
    </row>
    <row r="265" spans="1:16">
      <c r="A265" s="14">
        <v>261</v>
      </c>
      <c r="B265" s="29" t="s">
        <v>388</v>
      </c>
      <c r="C265" s="16">
        <f>'Медикаменты Январь_2'!L265</f>
        <v>0</v>
      </c>
      <c r="D265" s="17"/>
      <c r="E265" s="14"/>
      <c r="F265" s="18"/>
      <c r="G265" s="19"/>
      <c r="H265" s="20"/>
      <c r="I265" s="21"/>
      <c r="J265" s="14"/>
      <c r="K265" s="14">
        <f t="shared" si="8"/>
        <v>0</v>
      </c>
      <c r="L265" s="16">
        <f t="shared" si="9"/>
        <v>0</v>
      </c>
      <c r="M265" s="22">
        <v>45139</v>
      </c>
      <c r="N265" s="23" t="s">
        <v>16</v>
      </c>
      <c r="O265" s="24"/>
      <c r="P265" s="23" t="s">
        <v>389</v>
      </c>
    </row>
    <row r="266" spans="1:16">
      <c r="A266" s="14">
        <v>262</v>
      </c>
      <c r="B266" s="29" t="s">
        <v>390</v>
      </c>
      <c r="C266" s="16">
        <f>'Медикаменты Январь_2'!L266</f>
        <v>0</v>
      </c>
      <c r="D266" s="26"/>
      <c r="E266" s="14"/>
      <c r="F266" s="18"/>
      <c r="G266" s="19"/>
      <c r="H266" s="20"/>
      <c r="I266" s="21"/>
      <c r="J266" s="14"/>
      <c r="K266" s="14">
        <f t="shared" si="8"/>
        <v>0</v>
      </c>
      <c r="L266" s="16">
        <f t="shared" si="9"/>
        <v>0</v>
      </c>
      <c r="M266" s="22"/>
      <c r="N266" s="23" t="s">
        <v>16</v>
      </c>
      <c r="O266" s="24"/>
      <c r="P266" s="23" t="s">
        <v>391</v>
      </c>
    </row>
    <row r="267" spans="1:16">
      <c r="A267" s="14">
        <v>263</v>
      </c>
      <c r="B267" s="29" t="s">
        <v>392</v>
      </c>
      <c r="C267" s="16">
        <f>'Медикаменты Январь_2'!L267</f>
        <v>0</v>
      </c>
      <c r="D267" s="17"/>
      <c r="E267" s="14"/>
      <c r="F267" s="18"/>
      <c r="G267" s="19"/>
      <c r="H267" s="20"/>
      <c r="I267" s="21"/>
      <c r="J267" s="14"/>
      <c r="K267" s="14">
        <f t="shared" si="8"/>
        <v>0</v>
      </c>
      <c r="L267" s="16">
        <f t="shared" si="9"/>
        <v>0</v>
      </c>
      <c r="M267" s="22"/>
      <c r="N267" s="23" t="s">
        <v>16</v>
      </c>
      <c r="O267" s="24"/>
      <c r="P267" s="25"/>
    </row>
    <row r="268" spans="1:16">
      <c r="A268" s="14">
        <v>264</v>
      </c>
      <c r="B268" s="29" t="s">
        <v>393</v>
      </c>
      <c r="C268" s="16">
        <f>'Медикаменты Январь_2'!L268</f>
        <v>69</v>
      </c>
      <c r="D268" s="17"/>
      <c r="E268" s="14"/>
      <c r="F268" s="18"/>
      <c r="G268" s="19"/>
      <c r="H268" s="20"/>
      <c r="I268" s="21"/>
      <c r="J268" s="14"/>
      <c r="K268" s="14">
        <f t="shared" si="8"/>
        <v>0</v>
      </c>
      <c r="L268" s="16">
        <f t="shared" si="9"/>
        <v>69</v>
      </c>
      <c r="M268" s="22">
        <v>44652</v>
      </c>
      <c r="N268" s="23" t="s">
        <v>16</v>
      </c>
      <c r="O268" s="24" t="s">
        <v>17</v>
      </c>
      <c r="P268" s="23" t="s">
        <v>394</v>
      </c>
    </row>
    <row r="269" spans="1:16">
      <c r="A269" s="14">
        <v>265</v>
      </c>
      <c r="B269" s="29" t="s">
        <v>395</v>
      </c>
      <c r="C269" s="16">
        <f>'Медикаменты Январь_2'!L269</f>
        <v>0</v>
      </c>
      <c r="D269" s="17"/>
      <c r="E269" s="14"/>
      <c r="F269" s="18"/>
      <c r="G269" s="19"/>
      <c r="H269" s="20"/>
      <c r="I269" s="21"/>
      <c r="J269" s="14"/>
      <c r="K269" s="14">
        <f t="shared" si="8"/>
        <v>0</v>
      </c>
      <c r="L269" s="16">
        <f t="shared" si="9"/>
        <v>0</v>
      </c>
      <c r="M269" s="22">
        <v>44378</v>
      </c>
      <c r="N269" s="23" t="s">
        <v>16</v>
      </c>
      <c r="O269" s="24"/>
      <c r="P269" s="23" t="s">
        <v>396</v>
      </c>
    </row>
    <row r="270" spans="1:16">
      <c r="A270" s="14">
        <v>266</v>
      </c>
      <c r="B270" s="29" t="s">
        <v>397</v>
      </c>
      <c r="C270" s="16">
        <f>'Медикаменты Январь_2'!L270</f>
        <v>0</v>
      </c>
      <c r="D270" s="17"/>
      <c r="E270" s="14"/>
      <c r="F270" s="18"/>
      <c r="G270" s="19"/>
      <c r="H270" s="20"/>
      <c r="I270" s="21"/>
      <c r="J270" s="14"/>
      <c r="K270" s="14">
        <f t="shared" si="8"/>
        <v>0</v>
      </c>
      <c r="L270" s="16">
        <f t="shared" si="9"/>
        <v>0</v>
      </c>
      <c r="M270" s="22"/>
      <c r="N270" s="23" t="s">
        <v>16</v>
      </c>
      <c r="O270" s="24"/>
      <c r="P270" s="25"/>
    </row>
    <row r="271" spans="1:16">
      <c r="A271" s="14">
        <v>267</v>
      </c>
      <c r="B271" s="29" t="s">
        <v>398</v>
      </c>
      <c r="C271" s="16">
        <f>'Медикаменты Январь_2'!L271</f>
        <v>0</v>
      </c>
      <c r="D271" s="17"/>
      <c r="E271" s="14"/>
      <c r="F271" s="18"/>
      <c r="G271" s="19"/>
      <c r="H271" s="20"/>
      <c r="I271" s="21"/>
      <c r="J271" s="14"/>
      <c r="K271" s="14">
        <f t="shared" si="8"/>
        <v>0</v>
      </c>
      <c r="L271" s="16">
        <f t="shared" si="9"/>
        <v>0</v>
      </c>
      <c r="M271" s="22">
        <v>44256</v>
      </c>
      <c r="N271" s="23" t="s">
        <v>16</v>
      </c>
      <c r="O271" s="24"/>
      <c r="P271" s="28" t="s">
        <v>399</v>
      </c>
    </row>
    <row r="272" spans="1:16">
      <c r="A272" s="14">
        <v>268</v>
      </c>
      <c r="B272" s="29" t="s">
        <v>400</v>
      </c>
      <c r="C272" s="16">
        <f>'Медикаменты Январь_2'!L272</f>
        <v>4</v>
      </c>
      <c r="D272" s="17"/>
      <c r="E272" s="14"/>
      <c r="F272" s="18">
        <f>4</f>
        <v>4</v>
      </c>
      <c r="G272" s="19"/>
      <c r="H272" s="20"/>
      <c r="I272" s="21"/>
      <c r="J272" s="14"/>
      <c r="K272" s="14">
        <f t="shared" si="8"/>
        <v>4</v>
      </c>
      <c r="L272" s="16">
        <f t="shared" si="9"/>
        <v>0</v>
      </c>
      <c r="M272" s="22">
        <v>44531</v>
      </c>
      <c r="N272" s="23" t="s">
        <v>16</v>
      </c>
      <c r="O272" s="24" t="s">
        <v>45</v>
      </c>
      <c r="P272" s="28" t="s">
        <v>401</v>
      </c>
    </row>
    <row r="273" spans="1:16">
      <c r="A273" s="14">
        <v>269</v>
      </c>
      <c r="B273" s="29" t="s">
        <v>402</v>
      </c>
      <c r="C273" s="16">
        <f>'Медикаменты Январь_2'!L273</f>
        <v>36</v>
      </c>
      <c r="D273" s="17"/>
      <c r="E273" s="14"/>
      <c r="F273" s="18"/>
      <c r="G273" s="19"/>
      <c r="H273" s="20"/>
      <c r="I273" s="21">
        <f>36</f>
        <v>36</v>
      </c>
      <c r="J273" s="14"/>
      <c r="K273" s="14">
        <f t="shared" si="8"/>
        <v>36</v>
      </c>
      <c r="L273" s="16">
        <f t="shared" si="9"/>
        <v>0</v>
      </c>
      <c r="M273" s="22">
        <v>45108</v>
      </c>
      <c r="N273" s="23" t="s">
        <v>26</v>
      </c>
      <c r="O273" s="24" t="s">
        <v>45</v>
      </c>
      <c r="P273" s="23" t="s">
        <v>403</v>
      </c>
    </row>
    <row r="274" spans="1:16">
      <c r="A274" s="14">
        <v>270</v>
      </c>
      <c r="B274" s="29" t="s">
        <v>404</v>
      </c>
      <c r="C274" s="16">
        <f>'Медикаменты Январь_2'!L274</f>
        <v>0</v>
      </c>
      <c r="D274" s="17"/>
      <c r="E274" s="14"/>
      <c r="F274" s="18"/>
      <c r="G274" s="19"/>
      <c r="H274" s="20"/>
      <c r="I274" s="21"/>
      <c r="J274" s="14"/>
      <c r="K274" s="14">
        <f t="shared" si="8"/>
        <v>0</v>
      </c>
      <c r="L274" s="16">
        <f t="shared" si="9"/>
        <v>0</v>
      </c>
      <c r="M274" s="22"/>
      <c r="N274" s="23" t="s">
        <v>16</v>
      </c>
      <c r="O274" s="24"/>
      <c r="P274" s="25"/>
    </row>
    <row r="275" spans="1:16">
      <c r="A275" s="14">
        <v>271</v>
      </c>
      <c r="B275" s="29" t="s">
        <v>549</v>
      </c>
      <c r="C275" s="16">
        <f>'Медикаменты Январь_2'!L275</f>
        <v>15</v>
      </c>
      <c r="D275" s="17"/>
      <c r="E275" s="14"/>
      <c r="F275" s="18"/>
      <c r="G275" s="19"/>
      <c r="H275" s="20"/>
      <c r="I275" s="21"/>
      <c r="J275" s="14"/>
      <c r="K275" s="14">
        <f t="shared" si="8"/>
        <v>0</v>
      </c>
      <c r="L275" s="16">
        <f t="shared" si="9"/>
        <v>15</v>
      </c>
      <c r="M275" s="22">
        <v>44287</v>
      </c>
      <c r="N275" s="23" t="s">
        <v>16</v>
      </c>
      <c r="O275" s="24" t="s">
        <v>45</v>
      </c>
      <c r="P275" s="23" t="s">
        <v>406</v>
      </c>
    </row>
    <row r="276" spans="1:16">
      <c r="A276" s="14">
        <v>272</v>
      </c>
      <c r="B276" s="29" t="s">
        <v>407</v>
      </c>
      <c r="C276" s="16">
        <f>'Медикаменты Январь_2'!L276</f>
        <v>0</v>
      </c>
      <c r="D276" s="17"/>
      <c r="E276" s="14"/>
      <c r="F276" s="18"/>
      <c r="G276" s="19"/>
      <c r="H276" s="20"/>
      <c r="I276" s="21"/>
      <c r="J276" s="14"/>
      <c r="K276" s="14">
        <f t="shared" si="8"/>
        <v>0</v>
      </c>
      <c r="L276" s="16">
        <f t="shared" si="9"/>
        <v>0</v>
      </c>
      <c r="M276" s="22">
        <v>44562</v>
      </c>
      <c r="N276" s="23" t="s">
        <v>16</v>
      </c>
      <c r="O276" s="24" t="s">
        <v>17</v>
      </c>
      <c r="P276" s="28" t="s">
        <v>408</v>
      </c>
    </row>
    <row r="277" spans="1:16">
      <c r="A277" s="14">
        <v>273</v>
      </c>
      <c r="B277" s="29" t="s">
        <v>409</v>
      </c>
      <c r="C277" s="16">
        <f>'Медикаменты Январь_2'!L277</f>
        <v>295</v>
      </c>
      <c r="D277" s="17"/>
      <c r="E277" s="14"/>
      <c r="F277" s="18"/>
      <c r="G277" s="19"/>
      <c r="H277" s="20"/>
      <c r="I277" s="21"/>
      <c r="J277" s="14"/>
      <c r="K277" s="14">
        <f t="shared" si="8"/>
        <v>0</v>
      </c>
      <c r="L277" s="16">
        <f t="shared" si="9"/>
        <v>295</v>
      </c>
      <c r="M277" s="22">
        <v>45139</v>
      </c>
      <c r="N277" s="23" t="s">
        <v>16</v>
      </c>
      <c r="O277" s="24" t="s">
        <v>17</v>
      </c>
      <c r="P277" s="28" t="s">
        <v>410</v>
      </c>
    </row>
    <row r="278" spans="1:16">
      <c r="A278" s="14">
        <v>274</v>
      </c>
      <c r="B278" s="29" t="s">
        <v>411</v>
      </c>
      <c r="C278" s="16">
        <f>'Медикаменты Январь_2'!L278</f>
        <v>17</v>
      </c>
      <c r="D278" s="17"/>
      <c r="E278" s="14"/>
      <c r="F278" s="18"/>
      <c r="G278" s="19"/>
      <c r="H278" s="20"/>
      <c r="I278" s="21"/>
      <c r="J278" s="14"/>
      <c r="K278" s="14">
        <f t="shared" si="8"/>
        <v>0</v>
      </c>
      <c r="L278" s="16">
        <f t="shared" si="9"/>
        <v>17</v>
      </c>
      <c r="M278" s="22">
        <v>45413</v>
      </c>
      <c r="N278" s="23" t="s">
        <v>16</v>
      </c>
      <c r="O278" s="24" t="s">
        <v>45</v>
      </c>
      <c r="P278" s="23" t="s">
        <v>412</v>
      </c>
    </row>
    <row r="279" spans="1:16">
      <c r="A279" s="14">
        <v>275</v>
      </c>
      <c r="B279" s="29" t="s">
        <v>413</v>
      </c>
      <c r="C279" s="16">
        <f>'Медикаменты Январь_2'!L279</f>
        <v>0</v>
      </c>
      <c r="D279" s="17"/>
      <c r="E279" s="14"/>
      <c r="F279" s="18"/>
      <c r="G279" s="19"/>
      <c r="H279" s="20"/>
      <c r="I279" s="21"/>
      <c r="J279" s="14"/>
      <c r="K279" s="14">
        <f t="shared" si="8"/>
        <v>0</v>
      </c>
      <c r="L279" s="16">
        <f t="shared" si="9"/>
        <v>0</v>
      </c>
      <c r="M279" s="22">
        <v>45474</v>
      </c>
      <c r="N279" s="23" t="s">
        <v>16</v>
      </c>
      <c r="O279" s="24"/>
      <c r="P279" s="23"/>
    </row>
    <row r="280" spans="1:16">
      <c r="A280" s="14">
        <v>276</v>
      </c>
      <c r="B280" s="29" t="s">
        <v>414</v>
      </c>
      <c r="C280" s="16">
        <f>'Медикаменты Январь_2'!L280</f>
        <v>0</v>
      </c>
      <c r="D280" s="17"/>
      <c r="E280" s="14"/>
      <c r="F280" s="18"/>
      <c r="G280" s="19"/>
      <c r="H280" s="20"/>
      <c r="I280" s="21"/>
      <c r="J280" s="14"/>
      <c r="K280" s="14">
        <f t="shared" si="8"/>
        <v>0</v>
      </c>
      <c r="L280" s="16">
        <f t="shared" si="9"/>
        <v>0</v>
      </c>
      <c r="M280" s="22"/>
      <c r="N280" s="23" t="s">
        <v>16</v>
      </c>
      <c r="O280" s="24"/>
      <c r="P280" s="23"/>
    </row>
    <row r="281" spans="1:16">
      <c r="A281" s="14">
        <v>277</v>
      </c>
      <c r="B281" s="29" t="s">
        <v>415</v>
      </c>
      <c r="C281" s="16">
        <f>'Медикаменты Январь_2'!L281</f>
        <v>14</v>
      </c>
      <c r="D281" s="17"/>
      <c r="E281" s="14"/>
      <c r="F281" s="18">
        <f>5</f>
        <v>5</v>
      </c>
      <c r="G281" s="19"/>
      <c r="H281" s="20"/>
      <c r="I281" s="21"/>
      <c r="J281" s="14"/>
      <c r="K281" s="14">
        <f t="shared" si="8"/>
        <v>5</v>
      </c>
      <c r="L281" s="16">
        <f t="shared" si="9"/>
        <v>9</v>
      </c>
      <c r="M281" s="22">
        <v>44986</v>
      </c>
      <c r="N281" s="23" t="s">
        <v>16</v>
      </c>
      <c r="O281" s="24" t="s">
        <v>17</v>
      </c>
      <c r="P281" s="23" t="s">
        <v>416</v>
      </c>
    </row>
    <row r="282" spans="1:16">
      <c r="A282" s="14">
        <v>278</v>
      </c>
      <c r="B282" s="29" t="s">
        <v>415</v>
      </c>
      <c r="C282" s="16">
        <f>'Медикаменты Январь_2'!L282</f>
        <v>0</v>
      </c>
      <c r="D282" s="17"/>
      <c r="E282" s="14"/>
      <c r="F282" s="18"/>
      <c r="G282" s="19"/>
      <c r="H282" s="20"/>
      <c r="I282" s="21"/>
      <c r="J282" s="14"/>
      <c r="K282" s="14">
        <f t="shared" si="8"/>
        <v>0</v>
      </c>
      <c r="L282" s="16">
        <f t="shared" si="9"/>
        <v>0</v>
      </c>
      <c r="M282" s="22">
        <v>44986</v>
      </c>
      <c r="N282" s="23" t="s">
        <v>26</v>
      </c>
      <c r="O282" s="24"/>
      <c r="P282" s="23" t="s">
        <v>416</v>
      </c>
    </row>
    <row r="283" spans="1:16">
      <c r="A283" s="14">
        <v>279</v>
      </c>
      <c r="B283" s="31" t="s">
        <v>417</v>
      </c>
      <c r="C283" s="16">
        <f>'Медикаменты Январь_2'!L283</f>
        <v>0</v>
      </c>
      <c r="D283" s="17"/>
      <c r="E283" s="14"/>
      <c r="F283" s="18"/>
      <c r="G283" s="19"/>
      <c r="H283" s="20"/>
      <c r="I283" s="21"/>
      <c r="J283" s="14"/>
      <c r="K283" s="14">
        <f t="shared" si="8"/>
        <v>0</v>
      </c>
      <c r="L283" s="16">
        <f t="shared" si="9"/>
        <v>0</v>
      </c>
      <c r="M283" s="22">
        <v>44136</v>
      </c>
      <c r="N283" s="23" t="s">
        <v>16</v>
      </c>
      <c r="O283" s="24"/>
      <c r="P283" s="23" t="s">
        <v>418</v>
      </c>
    </row>
    <row r="284" spans="1:16">
      <c r="A284" s="14">
        <v>280</v>
      </c>
      <c r="B284" s="29" t="s">
        <v>419</v>
      </c>
      <c r="C284" s="16">
        <f>'Медикаменты Январь_2'!L284</f>
        <v>0</v>
      </c>
      <c r="D284" s="17"/>
      <c r="E284" s="14"/>
      <c r="F284" s="18"/>
      <c r="G284" s="19"/>
      <c r="H284" s="20"/>
      <c r="I284" s="21"/>
      <c r="J284" s="14"/>
      <c r="K284" s="14">
        <f t="shared" si="8"/>
        <v>0</v>
      </c>
      <c r="L284" s="16">
        <f t="shared" si="9"/>
        <v>0</v>
      </c>
      <c r="M284" s="22"/>
      <c r="N284" s="23" t="s">
        <v>16</v>
      </c>
      <c r="O284" s="24"/>
      <c r="P284" s="25"/>
    </row>
    <row r="285" spans="1:16">
      <c r="A285" s="14">
        <v>281</v>
      </c>
      <c r="B285" s="29" t="s">
        <v>420</v>
      </c>
      <c r="C285" s="16">
        <f>'Медикаменты Январь_2'!L285</f>
        <v>24</v>
      </c>
      <c r="D285" s="17"/>
      <c r="E285" s="14"/>
      <c r="F285" s="18">
        <f>3+5</f>
        <v>8</v>
      </c>
      <c r="G285" s="19"/>
      <c r="H285" s="20"/>
      <c r="I285" s="21"/>
      <c r="J285" s="14"/>
      <c r="K285" s="14">
        <f t="shared" si="8"/>
        <v>8</v>
      </c>
      <c r="L285" s="16">
        <f t="shared" si="9"/>
        <v>16</v>
      </c>
      <c r="M285" s="22">
        <v>45047</v>
      </c>
      <c r="N285" s="23" t="s">
        <v>16</v>
      </c>
      <c r="O285" s="24" t="s">
        <v>17</v>
      </c>
      <c r="P285" s="23" t="s">
        <v>421</v>
      </c>
    </row>
    <row r="286" spans="1:16">
      <c r="A286" s="14">
        <v>282</v>
      </c>
      <c r="B286" s="29" t="s">
        <v>420</v>
      </c>
      <c r="C286" s="16">
        <f>'Медикаменты Январь_2'!L286</f>
        <v>0</v>
      </c>
      <c r="D286" s="17"/>
      <c r="E286" s="14"/>
      <c r="F286" s="18"/>
      <c r="G286" s="19"/>
      <c r="H286" s="20"/>
      <c r="I286" s="21"/>
      <c r="J286" s="14"/>
      <c r="K286" s="14">
        <f t="shared" si="8"/>
        <v>0</v>
      </c>
      <c r="L286" s="16">
        <f t="shared" si="9"/>
        <v>0</v>
      </c>
      <c r="M286" s="22">
        <v>45047</v>
      </c>
      <c r="N286" s="23" t="s">
        <v>26</v>
      </c>
      <c r="O286" s="24"/>
      <c r="P286" s="23" t="s">
        <v>421</v>
      </c>
    </row>
    <row r="287" spans="1:16">
      <c r="A287" s="14">
        <v>283</v>
      </c>
      <c r="B287" s="29" t="s">
        <v>422</v>
      </c>
      <c r="C287" s="16">
        <f>'Медикаменты Январь_2'!L287</f>
        <v>0</v>
      </c>
      <c r="D287" s="17"/>
      <c r="E287" s="14"/>
      <c r="F287" s="18"/>
      <c r="G287" s="19"/>
      <c r="H287" s="20"/>
      <c r="I287" s="21"/>
      <c r="J287" s="14"/>
      <c r="K287" s="14">
        <f t="shared" si="8"/>
        <v>0</v>
      </c>
      <c r="L287" s="16">
        <f t="shared" si="9"/>
        <v>0</v>
      </c>
      <c r="M287" s="22"/>
      <c r="N287" s="23" t="s">
        <v>26</v>
      </c>
      <c r="O287" s="24"/>
      <c r="P287" s="25"/>
    </row>
    <row r="288" spans="1:16">
      <c r="A288" s="14">
        <v>284</v>
      </c>
      <c r="B288" s="29" t="s">
        <v>422</v>
      </c>
      <c r="C288" s="16">
        <f>'Медикаменты Январь_2'!L288</f>
        <v>187</v>
      </c>
      <c r="D288" s="17"/>
      <c r="E288" s="14"/>
      <c r="F288" s="18">
        <f>15+10</f>
        <v>25</v>
      </c>
      <c r="G288" s="19"/>
      <c r="H288" s="20">
        <f>30</f>
        <v>30</v>
      </c>
      <c r="I288" s="21"/>
      <c r="J288" s="14"/>
      <c r="K288" s="14">
        <f t="shared" si="8"/>
        <v>55</v>
      </c>
      <c r="L288" s="16">
        <f t="shared" si="9"/>
        <v>132</v>
      </c>
      <c r="M288" s="22">
        <v>44531</v>
      </c>
      <c r="N288" s="23" t="s">
        <v>16</v>
      </c>
      <c r="O288" s="24" t="s">
        <v>17</v>
      </c>
      <c r="P288" s="28" t="s">
        <v>423</v>
      </c>
    </row>
    <row r="289" spans="1:16">
      <c r="A289" s="14">
        <v>285</v>
      </c>
      <c r="B289" s="29" t="s">
        <v>424</v>
      </c>
      <c r="C289" s="16">
        <f>'Медикаменты Январь_2'!L289</f>
        <v>25</v>
      </c>
      <c r="D289" s="17"/>
      <c r="E289" s="14"/>
      <c r="F289" s="18"/>
      <c r="G289" s="19"/>
      <c r="H289" s="20"/>
      <c r="I289" s="21"/>
      <c r="J289" s="14"/>
      <c r="K289" s="14">
        <f t="shared" si="8"/>
        <v>0</v>
      </c>
      <c r="L289" s="16">
        <f t="shared" si="9"/>
        <v>25</v>
      </c>
      <c r="M289" s="22">
        <v>44986</v>
      </c>
      <c r="N289" s="23" t="s">
        <v>16</v>
      </c>
      <c r="O289" s="24" t="s">
        <v>17</v>
      </c>
      <c r="P289" s="28" t="s">
        <v>425</v>
      </c>
    </row>
    <row r="290" spans="1:16">
      <c r="A290" s="14">
        <v>286</v>
      </c>
      <c r="B290" s="29" t="s">
        <v>426</v>
      </c>
      <c r="C290" s="16">
        <f>'Медикаменты Январь_2'!L290</f>
        <v>0</v>
      </c>
      <c r="D290" s="17"/>
      <c r="E290" s="14"/>
      <c r="F290" s="18"/>
      <c r="G290" s="19"/>
      <c r="H290" s="20"/>
      <c r="I290" s="21"/>
      <c r="J290" s="14"/>
      <c r="K290" s="14">
        <f t="shared" si="8"/>
        <v>0</v>
      </c>
      <c r="L290" s="16">
        <f t="shared" si="9"/>
        <v>0</v>
      </c>
      <c r="M290" s="22"/>
      <c r="N290" s="23" t="s">
        <v>16</v>
      </c>
      <c r="O290" s="24"/>
      <c r="P290" s="25"/>
    </row>
    <row r="291" spans="1:16">
      <c r="A291" s="14">
        <v>287</v>
      </c>
      <c r="B291" s="29" t="s">
        <v>427</v>
      </c>
      <c r="C291" s="16">
        <f>'Медикаменты Январь_2'!L291</f>
        <v>0</v>
      </c>
      <c r="D291" s="17"/>
      <c r="E291" s="14"/>
      <c r="F291" s="18"/>
      <c r="G291" s="19"/>
      <c r="H291" s="20"/>
      <c r="I291" s="21"/>
      <c r="J291" s="14"/>
      <c r="K291" s="14">
        <f t="shared" si="8"/>
        <v>0</v>
      </c>
      <c r="L291" s="16">
        <f t="shared" si="9"/>
        <v>0</v>
      </c>
      <c r="M291" s="22"/>
      <c r="N291" s="23" t="s">
        <v>16</v>
      </c>
      <c r="O291" s="24"/>
      <c r="P291" s="25"/>
    </row>
    <row r="292" spans="1:16">
      <c r="A292" s="14">
        <v>288</v>
      </c>
      <c r="B292" s="29" t="s">
        <v>428</v>
      </c>
      <c r="C292" s="16">
        <f>'Медикаменты Январь_2'!L292</f>
        <v>47</v>
      </c>
      <c r="D292" s="17"/>
      <c r="E292" s="14"/>
      <c r="F292" s="18"/>
      <c r="G292" s="19"/>
      <c r="H292" s="20"/>
      <c r="I292" s="21"/>
      <c r="J292" s="14"/>
      <c r="K292" s="14">
        <f t="shared" si="8"/>
        <v>0</v>
      </c>
      <c r="L292" s="16">
        <f t="shared" si="9"/>
        <v>47</v>
      </c>
      <c r="M292" s="22">
        <v>44501</v>
      </c>
      <c r="N292" s="23" t="s">
        <v>16</v>
      </c>
      <c r="O292" s="24" t="s">
        <v>17</v>
      </c>
      <c r="P292" s="28" t="s">
        <v>429</v>
      </c>
    </row>
    <row r="293" spans="1:16">
      <c r="A293" s="14">
        <v>289</v>
      </c>
      <c r="B293" s="29" t="s">
        <v>430</v>
      </c>
      <c r="C293" s="16">
        <f>'Медикаменты Январь_2'!L293</f>
        <v>23</v>
      </c>
      <c r="D293" s="26"/>
      <c r="E293" s="14"/>
      <c r="F293" s="18"/>
      <c r="G293" s="19"/>
      <c r="H293" s="20"/>
      <c r="I293" s="21"/>
      <c r="J293" s="14"/>
      <c r="K293" s="14">
        <f t="shared" si="8"/>
        <v>0</v>
      </c>
      <c r="L293" s="16">
        <f t="shared" si="9"/>
        <v>23</v>
      </c>
      <c r="M293" s="22">
        <v>44835</v>
      </c>
      <c r="N293" s="23" t="s">
        <v>16</v>
      </c>
      <c r="O293" s="24" t="s">
        <v>17</v>
      </c>
      <c r="P293" s="28" t="s">
        <v>431</v>
      </c>
    </row>
    <row r="294" spans="1:16">
      <c r="A294" s="14">
        <v>290</v>
      </c>
      <c r="B294" s="29" t="s">
        <v>430</v>
      </c>
      <c r="C294" s="16">
        <f>'Медикаменты Январь_2'!L294</f>
        <v>1</v>
      </c>
      <c r="D294" s="26"/>
      <c r="E294" s="14"/>
      <c r="F294" s="18"/>
      <c r="G294" s="19"/>
      <c r="H294" s="20"/>
      <c r="I294" s="21">
        <f>1</f>
        <v>1</v>
      </c>
      <c r="J294" s="14"/>
      <c r="K294" s="14">
        <f t="shared" si="8"/>
        <v>1</v>
      </c>
      <c r="L294" s="16">
        <f t="shared" si="9"/>
        <v>0</v>
      </c>
      <c r="M294" s="22">
        <v>44835</v>
      </c>
      <c r="N294" s="23" t="s">
        <v>26</v>
      </c>
      <c r="O294" s="24" t="s">
        <v>17</v>
      </c>
      <c r="P294" s="28" t="s">
        <v>431</v>
      </c>
    </row>
    <row r="295" spans="1:16">
      <c r="A295" s="14">
        <v>291</v>
      </c>
      <c r="B295" s="29" t="s">
        <v>432</v>
      </c>
      <c r="C295" s="16">
        <f>'Медикаменты Январь_2'!L295</f>
        <v>0</v>
      </c>
      <c r="D295" s="17"/>
      <c r="E295" s="14"/>
      <c r="F295" s="18"/>
      <c r="G295" s="19"/>
      <c r="H295" s="20"/>
      <c r="I295" s="21"/>
      <c r="J295" s="14"/>
      <c r="K295" s="14">
        <f t="shared" si="8"/>
        <v>0</v>
      </c>
      <c r="L295" s="16">
        <f t="shared" si="9"/>
        <v>0</v>
      </c>
      <c r="M295" s="22"/>
      <c r="N295" s="23" t="s">
        <v>16</v>
      </c>
      <c r="O295" s="24"/>
      <c r="P295" s="25"/>
    </row>
    <row r="296" spans="1:16">
      <c r="A296" s="14">
        <v>292</v>
      </c>
      <c r="B296" s="29" t="s">
        <v>433</v>
      </c>
      <c r="C296" s="16">
        <f>'Медикаменты Январь_2'!L296</f>
        <v>0</v>
      </c>
      <c r="D296" s="17"/>
      <c r="E296" s="14"/>
      <c r="F296" s="18"/>
      <c r="G296" s="19"/>
      <c r="H296" s="20"/>
      <c r="I296" s="21"/>
      <c r="J296" s="14"/>
      <c r="K296" s="14">
        <f t="shared" si="8"/>
        <v>0</v>
      </c>
      <c r="L296" s="16">
        <f t="shared" si="9"/>
        <v>0</v>
      </c>
      <c r="M296" s="22"/>
      <c r="N296" s="23" t="s">
        <v>16</v>
      </c>
      <c r="O296" s="24"/>
      <c r="P296" s="25"/>
    </row>
    <row r="297" spans="1:16">
      <c r="A297" s="14">
        <v>293</v>
      </c>
      <c r="B297" s="29" t="s">
        <v>434</v>
      </c>
      <c r="C297" s="16">
        <f>'Медикаменты Январь_2'!L297</f>
        <v>0</v>
      </c>
      <c r="D297" s="17"/>
      <c r="E297" s="14"/>
      <c r="F297" s="18"/>
      <c r="G297" s="19"/>
      <c r="H297" s="20"/>
      <c r="I297" s="21"/>
      <c r="J297" s="14"/>
      <c r="K297" s="14">
        <f t="shared" si="8"/>
        <v>0</v>
      </c>
      <c r="L297" s="16">
        <f t="shared" si="9"/>
        <v>0</v>
      </c>
      <c r="M297" s="22"/>
      <c r="N297" s="23" t="s">
        <v>16</v>
      </c>
      <c r="O297" s="24"/>
      <c r="P297" s="25"/>
    </row>
    <row r="298" spans="1:16">
      <c r="A298" s="14">
        <v>294</v>
      </c>
      <c r="B298" s="29" t="s">
        <v>435</v>
      </c>
      <c r="C298" s="16">
        <f>'Медикаменты Январь_2'!L298</f>
        <v>0</v>
      </c>
      <c r="D298" s="17"/>
      <c r="E298" s="14"/>
      <c r="F298" s="18"/>
      <c r="G298" s="19"/>
      <c r="H298" s="20"/>
      <c r="I298" s="21"/>
      <c r="J298" s="14"/>
      <c r="K298" s="14">
        <f t="shared" si="8"/>
        <v>0</v>
      </c>
      <c r="L298" s="16">
        <f t="shared" si="9"/>
        <v>0</v>
      </c>
      <c r="M298" s="22"/>
      <c r="N298" s="23" t="s">
        <v>16</v>
      </c>
      <c r="O298" s="24"/>
      <c r="P298" s="25"/>
    </row>
    <row r="299" spans="1:16">
      <c r="A299" s="14">
        <v>295</v>
      </c>
      <c r="B299" s="29" t="s">
        <v>436</v>
      </c>
      <c r="C299" s="16">
        <f>'Медикаменты Январь_2'!L299</f>
        <v>0</v>
      </c>
      <c r="D299" s="17"/>
      <c r="E299" s="14"/>
      <c r="F299" s="18"/>
      <c r="G299" s="19"/>
      <c r="H299" s="20"/>
      <c r="I299" s="21"/>
      <c r="J299" s="14"/>
      <c r="K299" s="14">
        <f t="shared" si="8"/>
        <v>0</v>
      </c>
      <c r="L299" s="16">
        <f t="shared" si="9"/>
        <v>0</v>
      </c>
      <c r="M299" s="22"/>
      <c r="N299" s="23" t="s">
        <v>16</v>
      </c>
      <c r="O299" s="24"/>
      <c r="P299" s="25"/>
    </row>
    <row r="300" spans="1:16">
      <c r="A300" s="14">
        <v>296</v>
      </c>
      <c r="B300" s="29" t="s">
        <v>437</v>
      </c>
      <c r="C300" s="16">
        <f>'Медикаменты Январь_2'!L300</f>
        <v>0</v>
      </c>
      <c r="D300" s="17"/>
      <c r="E300" s="14"/>
      <c r="F300" s="18"/>
      <c r="G300" s="19"/>
      <c r="H300" s="20"/>
      <c r="I300" s="21"/>
      <c r="J300" s="14"/>
      <c r="K300" s="14">
        <f t="shared" si="8"/>
        <v>0</v>
      </c>
      <c r="L300" s="16">
        <f t="shared" si="9"/>
        <v>0</v>
      </c>
      <c r="M300" s="22">
        <v>44440</v>
      </c>
      <c r="N300" s="23" t="s">
        <v>16</v>
      </c>
      <c r="O300" s="24"/>
      <c r="P300" s="23" t="s">
        <v>438</v>
      </c>
    </row>
    <row r="301" spans="1:16" ht="25.5">
      <c r="A301" s="14">
        <v>297</v>
      </c>
      <c r="B301" s="29" t="s">
        <v>439</v>
      </c>
      <c r="C301" s="16">
        <f>'Медикаменты Январь_2'!L301</f>
        <v>131</v>
      </c>
      <c r="D301" s="17"/>
      <c r="E301" s="14"/>
      <c r="F301" s="18">
        <f>12+5+5+25</f>
        <v>47</v>
      </c>
      <c r="G301" s="19"/>
      <c r="H301" s="20"/>
      <c r="I301" s="21"/>
      <c r="J301" s="14"/>
      <c r="K301" s="14">
        <f t="shared" si="8"/>
        <v>47</v>
      </c>
      <c r="L301" s="16">
        <f t="shared" si="9"/>
        <v>84</v>
      </c>
      <c r="M301" s="22">
        <v>45047</v>
      </c>
      <c r="N301" s="23" t="s">
        <v>16</v>
      </c>
      <c r="O301" s="24" t="s">
        <v>45</v>
      </c>
      <c r="P301" s="23" t="s">
        <v>438</v>
      </c>
    </row>
    <row r="302" spans="1:16">
      <c r="A302" s="14">
        <v>298</v>
      </c>
      <c r="B302" s="29" t="s">
        <v>437</v>
      </c>
      <c r="C302" s="16">
        <f>'Медикаменты Январь_2'!L302</f>
        <v>0</v>
      </c>
      <c r="D302" s="17"/>
      <c r="E302" s="14"/>
      <c r="F302" s="18"/>
      <c r="G302" s="19"/>
      <c r="H302" s="20"/>
      <c r="I302" s="21"/>
      <c r="J302" s="14"/>
      <c r="K302" s="14">
        <f t="shared" si="8"/>
        <v>0</v>
      </c>
      <c r="L302" s="16">
        <f t="shared" si="9"/>
        <v>0</v>
      </c>
      <c r="M302" s="22">
        <v>45047</v>
      </c>
      <c r="N302" s="23" t="s">
        <v>26</v>
      </c>
      <c r="O302" s="24"/>
      <c r="P302" s="23" t="s">
        <v>438</v>
      </c>
    </row>
    <row r="303" spans="1:16">
      <c r="A303" s="14">
        <v>299</v>
      </c>
      <c r="B303" s="29" t="s">
        <v>440</v>
      </c>
      <c r="C303" s="16">
        <f>'Медикаменты Январь_2'!L303</f>
        <v>0</v>
      </c>
      <c r="D303" s="17"/>
      <c r="E303" s="14"/>
      <c r="F303" s="18"/>
      <c r="G303" s="19"/>
      <c r="H303" s="20"/>
      <c r="I303" s="21"/>
      <c r="J303" s="14"/>
      <c r="K303" s="14">
        <f t="shared" si="8"/>
        <v>0</v>
      </c>
      <c r="L303" s="16">
        <f t="shared" si="9"/>
        <v>0</v>
      </c>
      <c r="M303" s="22"/>
      <c r="N303" s="23" t="s">
        <v>16</v>
      </c>
      <c r="O303" s="24"/>
      <c r="P303" s="25"/>
    </row>
    <row r="304" spans="1:16">
      <c r="A304" s="14">
        <v>300</v>
      </c>
      <c r="B304" s="29" t="s">
        <v>441</v>
      </c>
      <c r="C304" s="16">
        <f>'Медикаменты Январь_2'!L304</f>
        <v>0</v>
      </c>
      <c r="D304" s="17"/>
      <c r="E304" s="14"/>
      <c r="F304" s="18"/>
      <c r="G304" s="19"/>
      <c r="H304" s="20"/>
      <c r="I304" s="21"/>
      <c r="J304" s="14"/>
      <c r="K304" s="14">
        <f t="shared" si="8"/>
        <v>0</v>
      </c>
      <c r="L304" s="16">
        <f t="shared" si="9"/>
        <v>0</v>
      </c>
      <c r="M304" s="22"/>
      <c r="N304" s="23" t="s">
        <v>16</v>
      </c>
      <c r="O304" s="24"/>
      <c r="P304" s="25"/>
    </row>
    <row r="305" spans="1:16">
      <c r="A305" s="14">
        <v>301</v>
      </c>
      <c r="B305" s="29" t="s">
        <v>442</v>
      </c>
      <c r="C305" s="16">
        <f>'Медикаменты Январь_2'!L305</f>
        <v>0</v>
      </c>
      <c r="D305" s="17"/>
      <c r="E305" s="14"/>
      <c r="F305" s="18"/>
      <c r="G305" s="19"/>
      <c r="H305" s="20"/>
      <c r="I305" s="21"/>
      <c r="J305" s="14"/>
      <c r="K305" s="14">
        <f t="shared" si="8"/>
        <v>0</v>
      </c>
      <c r="L305" s="16">
        <f t="shared" si="9"/>
        <v>0</v>
      </c>
      <c r="M305" s="22"/>
      <c r="N305" s="23" t="s">
        <v>16</v>
      </c>
      <c r="O305" s="24"/>
      <c r="P305" s="25"/>
    </row>
    <row r="306" spans="1:16">
      <c r="A306" s="14">
        <v>302</v>
      </c>
      <c r="B306" s="29" t="s">
        <v>443</v>
      </c>
      <c r="C306" s="16">
        <f>'Медикаменты Январь_2'!L306</f>
        <v>0</v>
      </c>
      <c r="D306" s="17"/>
      <c r="E306" s="14"/>
      <c r="F306" s="18"/>
      <c r="G306" s="19"/>
      <c r="H306" s="20"/>
      <c r="I306" s="21"/>
      <c r="J306" s="14"/>
      <c r="K306" s="14">
        <f t="shared" si="8"/>
        <v>0</v>
      </c>
      <c r="L306" s="16">
        <f t="shared" si="9"/>
        <v>0</v>
      </c>
      <c r="M306" s="22"/>
      <c r="N306" s="23" t="s">
        <v>16</v>
      </c>
      <c r="O306" s="24"/>
      <c r="P306" s="25"/>
    </row>
    <row r="307" spans="1:16">
      <c r="A307" s="14">
        <v>303</v>
      </c>
      <c r="B307" s="29" t="s">
        <v>444</v>
      </c>
      <c r="C307" s="16">
        <f>'Медикаменты Январь_2'!L307</f>
        <v>53</v>
      </c>
      <c r="D307" s="17"/>
      <c r="E307" s="14"/>
      <c r="F307" s="18">
        <f>5</f>
        <v>5</v>
      </c>
      <c r="G307" s="19"/>
      <c r="H307" s="20"/>
      <c r="I307" s="21"/>
      <c r="J307" s="14"/>
      <c r="K307" s="14">
        <f t="shared" si="8"/>
        <v>5</v>
      </c>
      <c r="L307" s="16">
        <f t="shared" si="9"/>
        <v>48</v>
      </c>
      <c r="M307" s="22">
        <v>44501</v>
      </c>
      <c r="N307" s="23" t="s">
        <v>16</v>
      </c>
      <c r="O307" s="24" t="s">
        <v>17</v>
      </c>
      <c r="P307" s="23" t="s">
        <v>445</v>
      </c>
    </row>
    <row r="308" spans="1:16">
      <c r="A308" s="14">
        <v>304</v>
      </c>
      <c r="B308" s="29" t="s">
        <v>446</v>
      </c>
      <c r="C308" s="16">
        <f>'Медикаменты Январь_2'!L308</f>
        <v>0</v>
      </c>
      <c r="D308" s="17"/>
      <c r="E308" s="14"/>
      <c r="F308" s="18"/>
      <c r="G308" s="19"/>
      <c r="H308" s="20"/>
      <c r="I308" s="21"/>
      <c r="J308" s="14"/>
      <c r="K308" s="14">
        <f t="shared" si="8"/>
        <v>0</v>
      </c>
      <c r="L308" s="16">
        <f t="shared" si="9"/>
        <v>0</v>
      </c>
      <c r="M308" s="22"/>
      <c r="N308" s="23" t="s">
        <v>16</v>
      </c>
      <c r="O308" s="24"/>
      <c r="P308" s="25"/>
    </row>
    <row r="309" spans="1:16">
      <c r="A309" s="14">
        <v>305</v>
      </c>
      <c r="B309" s="29" t="s">
        <v>447</v>
      </c>
      <c r="C309" s="16">
        <f>'Медикаменты Январь_2'!L309</f>
        <v>0</v>
      </c>
      <c r="D309" s="17"/>
      <c r="E309" s="14"/>
      <c r="F309" s="18"/>
      <c r="G309" s="19"/>
      <c r="H309" s="20"/>
      <c r="I309" s="21"/>
      <c r="J309" s="14"/>
      <c r="K309" s="14">
        <f t="shared" si="8"/>
        <v>0</v>
      </c>
      <c r="L309" s="16">
        <f t="shared" si="9"/>
        <v>0</v>
      </c>
      <c r="M309" s="22">
        <v>44593</v>
      </c>
      <c r="N309" s="23" t="s">
        <v>16</v>
      </c>
      <c r="O309" s="24"/>
      <c r="P309" s="23" t="s">
        <v>448</v>
      </c>
    </row>
    <row r="310" spans="1:16">
      <c r="A310" s="14">
        <v>306</v>
      </c>
      <c r="B310" s="29" t="s">
        <v>449</v>
      </c>
      <c r="C310" s="16">
        <f>'Медикаменты Январь_2'!L310</f>
        <v>0</v>
      </c>
      <c r="D310" s="17"/>
      <c r="E310" s="14"/>
      <c r="F310" s="18"/>
      <c r="G310" s="19"/>
      <c r="H310" s="20"/>
      <c r="I310" s="21"/>
      <c r="J310" s="14"/>
      <c r="K310" s="14">
        <f t="shared" si="8"/>
        <v>0</v>
      </c>
      <c r="L310" s="16">
        <f t="shared" si="9"/>
        <v>0</v>
      </c>
      <c r="M310" s="22">
        <v>44228</v>
      </c>
      <c r="N310" s="23" t="s">
        <v>16</v>
      </c>
      <c r="O310" s="24" t="s">
        <v>17</v>
      </c>
      <c r="P310" s="23" t="s">
        <v>450</v>
      </c>
    </row>
    <row r="311" spans="1:16">
      <c r="A311" s="14">
        <v>307</v>
      </c>
      <c r="B311" s="29" t="s">
        <v>451</v>
      </c>
      <c r="C311" s="16">
        <f>'Медикаменты Январь_2'!L311</f>
        <v>3</v>
      </c>
      <c r="D311" s="17"/>
      <c r="E311" s="14"/>
      <c r="F311" s="18"/>
      <c r="G311" s="19"/>
      <c r="H311" s="20"/>
      <c r="I311" s="21"/>
      <c r="J311" s="14"/>
      <c r="K311" s="14">
        <f t="shared" si="8"/>
        <v>0</v>
      </c>
      <c r="L311" s="16">
        <f t="shared" si="9"/>
        <v>3</v>
      </c>
      <c r="M311" s="22">
        <v>44317</v>
      </c>
      <c r="N311" s="23" t="s">
        <v>16</v>
      </c>
      <c r="O311" s="24" t="s">
        <v>17</v>
      </c>
      <c r="P311" s="23" t="s">
        <v>452</v>
      </c>
    </row>
    <row r="312" spans="1:16" ht="25.5">
      <c r="A312" s="14">
        <v>308</v>
      </c>
      <c r="B312" s="29" t="s">
        <v>453</v>
      </c>
      <c r="C312" s="16">
        <f>'Медикаменты Январь_2'!L312</f>
        <v>19</v>
      </c>
      <c r="D312" s="17"/>
      <c r="E312" s="14"/>
      <c r="F312" s="18"/>
      <c r="G312" s="19"/>
      <c r="H312" s="20"/>
      <c r="I312" s="21"/>
      <c r="J312" s="14"/>
      <c r="K312" s="14">
        <f t="shared" si="8"/>
        <v>0</v>
      </c>
      <c r="L312" s="16">
        <f t="shared" si="9"/>
        <v>19</v>
      </c>
      <c r="M312" s="22">
        <v>44470</v>
      </c>
      <c r="N312" s="23" t="s">
        <v>16</v>
      </c>
      <c r="O312" s="24" t="s">
        <v>17</v>
      </c>
      <c r="P312" s="28" t="s">
        <v>454</v>
      </c>
    </row>
    <row r="313" spans="1:16">
      <c r="A313" s="14">
        <v>309</v>
      </c>
      <c r="B313" s="29" t="s">
        <v>455</v>
      </c>
      <c r="C313" s="16">
        <f>'Медикаменты Январь_2'!L313</f>
        <v>0</v>
      </c>
      <c r="D313" s="17"/>
      <c r="E313" s="14"/>
      <c r="F313" s="18"/>
      <c r="G313" s="19"/>
      <c r="H313" s="20"/>
      <c r="I313" s="21"/>
      <c r="J313" s="14"/>
      <c r="K313" s="14">
        <f t="shared" si="8"/>
        <v>0</v>
      </c>
      <c r="L313" s="16">
        <f t="shared" si="9"/>
        <v>0</v>
      </c>
      <c r="M313" s="22"/>
      <c r="N313" s="23" t="s">
        <v>16</v>
      </c>
      <c r="O313" s="24"/>
      <c r="P313" s="25"/>
    </row>
    <row r="314" spans="1:16">
      <c r="A314" s="14">
        <v>310</v>
      </c>
      <c r="B314" s="29" t="s">
        <v>456</v>
      </c>
      <c r="C314" s="16">
        <f>'Медикаменты Январь_2'!L314</f>
        <v>0</v>
      </c>
      <c r="D314" s="17"/>
      <c r="E314" s="14"/>
      <c r="F314" s="18"/>
      <c r="G314" s="19"/>
      <c r="H314" s="20"/>
      <c r="I314" s="21"/>
      <c r="J314" s="14"/>
      <c r="K314" s="14">
        <f t="shared" si="8"/>
        <v>0</v>
      </c>
      <c r="L314" s="16">
        <f t="shared" si="9"/>
        <v>0</v>
      </c>
      <c r="M314" s="22">
        <v>44287</v>
      </c>
      <c r="N314" s="23" t="s">
        <v>16</v>
      </c>
      <c r="O314" s="24"/>
      <c r="P314" s="23" t="s">
        <v>457</v>
      </c>
    </row>
    <row r="315" spans="1:16">
      <c r="A315" s="14">
        <v>311</v>
      </c>
      <c r="B315" s="29" t="s">
        <v>458</v>
      </c>
      <c r="C315" s="16">
        <f>'Медикаменты Январь_2'!L315</f>
        <v>5</v>
      </c>
      <c r="D315" s="17"/>
      <c r="E315" s="14"/>
      <c r="F315" s="18"/>
      <c r="G315" s="19"/>
      <c r="H315" s="20"/>
      <c r="I315" s="21"/>
      <c r="J315" s="14"/>
      <c r="K315" s="14">
        <f t="shared" si="8"/>
        <v>0</v>
      </c>
      <c r="L315" s="16">
        <f t="shared" si="9"/>
        <v>5</v>
      </c>
      <c r="M315" s="22">
        <v>44287</v>
      </c>
      <c r="N315" s="23" t="s">
        <v>16</v>
      </c>
      <c r="O315" s="24" t="s">
        <v>45</v>
      </c>
      <c r="P315" s="28" t="s">
        <v>459</v>
      </c>
    </row>
    <row r="316" spans="1:16">
      <c r="A316" s="14">
        <v>312</v>
      </c>
      <c r="B316" s="29" t="s">
        <v>460</v>
      </c>
      <c r="C316" s="16">
        <f>'Медикаменты Январь_2'!L316</f>
        <v>0</v>
      </c>
      <c r="D316" s="17"/>
      <c r="E316" s="14"/>
      <c r="F316" s="18"/>
      <c r="G316" s="19"/>
      <c r="H316" s="20"/>
      <c r="I316" s="21"/>
      <c r="J316" s="14"/>
      <c r="K316" s="14">
        <f t="shared" si="8"/>
        <v>0</v>
      </c>
      <c r="L316" s="16">
        <f t="shared" si="9"/>
        <v>0</v>
      </c>
      <c r="M316" s="22">
        <v>45597</v>
      </c>
      <c r="N316" s="23" t="s">
        <v>16</v>
      </c>
      <c r="O316" s="24" t="s">
        <v>45</v>
      </c>
      <c r="P316" s="23" t="s">
        <v>461</v>
      </c>
    </row>
    <row r="317" spans="1:16">
      <c r="A317" s="14">
        <v>313</v>
      </c>
      <c r="B317" s="29" t="s">
        <v>462</v>
      </c>
      <c r="C317" s="16">
        <f>'Медикаменты Январь_2'!L317</f>
        <v>0</v>
      </c>
      <c r="D317" s="17"/>
      <c r="E317" s="14"/>
      <c r="F317" s="18"/>
      <c r="G317" s="19"/>
      <c r="H317" s="20"/>
      <c r="I317" s="21"/>
      <c r="J317" s="14"/>
      <c r="K317" s="14">
        <f t="shared" si="8"/>
        <v>0</v>
      </c>
      <c r="L317" s="16">
        <f t="shared" si="9"/>
        <v>0</v>
      </c>
      <c r="M317" s="22">
        <v>43952</v>
      </c>
      <c r="N317" s="23" t="s">
        <v>16</v>
      </c>
      <c r="O317" s="24"/>
      <c r="P317" s="25"/>
    </row>
    <row r="318" spans="1:16">
      <c r="A318" s="14">
        <v>314</v>
      </c>
      <c r="B318" s="29" t="s">
        <v>463</v>
      </c>
      <c r="C318" s="16">
        <f>'Медикаменты Январь_2'!L318</f>
        <v>0</v>
      </c>
      <c r="D318" s="17"/>
      <c r="E318" s="14"/>
      <c r="F318" s="18"/>
      <c r="G318" s="19"/>
      <c r="H318" s="20"/>
      <c r="I318" s="21"/>
      <c r="J318" s="14"/>
      <c r="K318" s="14">
        <f t="shared" si="8"/>
        <v>0</v>
      </c>
      <c r="L318" s="16">
        <f t="shared" si="9"/>
        <v>0</v>
      </c>
      <c r="M318" s="22"/>
      <c r="N318" s="23" t="s">
        <v>16</v>
      </c>
      <c r="O318" s="24"/>
      <c r="P318" s="25"/>
    </row>
    <row r="319" spans="1:16">
      <c r="A319" s="14">
        <v>315</v>
      </c>
      <c r="B319" s="29" t="s">
        <v>464</v>
      </c>
      <c r="C319" s="16">
        <f>'Медикаменты Январь_2'!L319</f>
        <v>0</v>
      </c>
      <c r="D319" s="17"/>
      <c r="E319" s="14"/>
      <c r="F319" s="18"/>
      <c r="G319" s="19"/>
      <c r="H319" s="20"/>
      <c r="I319" s="21"/>
      <c r="J319" s="14"/>
      <c r="K319" s="14">
        <f t="shared" si="8"/>
        <v>0</v>
      </c>
      <c r="L319" s="16">
        <f t="shared" si="9"/>
        <v>0</v>
      </c>
      <c r="M319" s="22"/>
      <c r="N319" s="23" t="s">
        <v>16</v>
      </c>
      <c r="O319" s="24"/>
      <c r="P319" s="25"/>
    </row>
    <row r="320" spans="1:16">
      <c r="A320" s="14">
        <v>316</v>
      </c>
      <c r="B320" s="29" t="s">
        <v>465</v>
      </c>
      <c r="C320" s="16">
        <f>'Медикаменты Январь_2'!L320</f>
        <v>0</v>
      </c>
      <c r="D320" s="17"/>
      <c r="E320" s="14"/>
      <c r="F320" s="18"/>
      <c r="G320" s="19"/>
      <c r="H320" s="20"/>
      <c r="I320" s="21"/>
      <c r="J320" s="14"/>
      <c r="K320" s="14">
        <f t="shared" si="8"/>
        <v>0</v>
      </c>
      <c r="L320" s="16">
        <f t="shared" si="9"/>
        <v>0</v>
      </c>
      <c r="M320" s="22"/>
      <c r="N320" s="23" t="s">
        <v>16</v>
      </c>
      <c r="O320" s="24"/>
      <c r="P320" s="25"/>
    </row>
    <row r="321" spans="1:16">
      <c r="A321" s="14">
        <v>317</v>
      </c>
      <c r="B321" s="29" t="s">
        <v>466</v>
      </c>
      <c r="C321" s="16">
        <f>'Медикаменты Январь_2'!L321</f>
        <v>0</v>
      </c>
      <c r="D321" s="17"/>
      <c r="E321" s="14"/>
      <c r="F321" s="18"/>
      <c r="G321" s="19"/>
      <c r="H321" s="20"/>
      <c r="I321" s="21"/>
      <c r="J321" s="14"/>
      <c r="K321" s="14">
        <f t="shared" si="8"/>
        <v>0</v>
      </c>
      <c r="L321" s="16">
        <f t="shared" si="9"/>
        <v>0</v>
      </c>
      <c r="M321" s="22">
        <v>44835</v>
      </c>
      <c r="N321" s="23" t="s">
        <v>16</v>
      </c>
      <c r="O321" s="24"/>
      <c r="P321" s="25"/>
    </row>
    <row r="322" spans="1:16">
      <c r="A322" s="14">
        <v>318</v>
      </c>
      <c r="B322" s="29" t="s">
        <v>467</v>
      </c>
      <c r="C322" s="16">
        <f>'Медикаменты Январь_2'!L322</f>
        <v>0</v>
      </c>
      <c r="D322" s="26"/>
      <c r="E322" s="14"/>
      <c r="F322" s="18"/>
      <c r="G322" s="19"/>
      <c r="H322" s="20"/>
      <c r="I322" s="21"/>
      <c r="J322" s="14"/>
      <c r="K322" s="14">
        <f t="shared" si="8"/>
        <v>0</v>
      </c>
      <c r="L322" s="16">
        <f t="shared" si="9"/>
        <v>0</v>
      </c>
      <c r="M322" s="22"/>
      <c r="N322" s="23" t="s">
        <v>16</v>
      </c>
      <c r="O322" s="24"/>
      <c r="P322" s="25"/>
    </row>
    <row r="323" spans="1:16">
      <c r="A323" s="14">
        <v>319</v>
      </c>
      <c r="B323" s="29" t="s">
        <v>468</v>
      </c>
      <c r="C323" s="16">
        <f>'Медикаменты Январь_2'!L323</f>
        <v>0</v>
      </c>
      <c r="D323" s="17"/>
      <c r="E323" s="14"/>
      <c r="F323" s="18"/>
      <c r="G323" s="19"/>
      <c r="H323" s="20"/>
      <c r="I323" s="21"/>
      <c r="J323" s="14"/>
      <c r="K323" s="14">
        <f t="shared" si="8"/>
        <v>0</v>
      </c>
      <c r="L323" s="16">
        <f t="shared" si="9"/>
        <v>0</v>
      </c>
      <c r="M323" s="22"/>
      <c r="N323" s="23" t="s">
        <v>16</v>
      </c>
      <c r="O323" s="24"/>
      <c r="P323" s="25"/>
    </row>
    <row r="324" spans="1:16">
      <c r="A324" s="14">
        <v>320</v>
      </c>
      <c r="B324" s="29" t="s">
        <v>469</v>
      </c>
      <c r="C324" s="16">
        <f>'Медикаменты Январь_2'!L324</f>
        <v>42</v>
      </c>
      <c r="D324" s="17"/>
      <c r="E324" s="14"/>
      <c r="F324" s="18"/>
      <c r="G324" s="19"/>
      <c r="H324" s="20">
        <f>10</f>
        <v>10</v>
      </c>
      <c r="I324" s="21"/>
      <c r="J324" s="14"/>
      <c r="K324" s="14">
        <f t="shared" si="8"/>
        <v>10</v>
      </c>
      <c r="L324" s="16">
        <f t="shared" si="9"/>
        <v>32</v>
      </c>
      <c r="M324" s="22">
        <v>44652</v>
      </c>
      <c r="N324" s="23" t="s">
        <v>16</v>
      </c>
      <c r="O324" s="24" t="s">
        <v>17</v>
      </c>
      <c r="P324" s="28" t="s">
        <v>470</v>
      </c>
    </row>
    <row r="325" spans="1:16">
      <c r="A325" s="14">
        <v>321</v>
      </c>
      <c r="B325" s="29" t="s">
        <v>471</v>
      </c>
      <c r="C325" s="16">
        <f>'Медикаменты Январь_2'!L325</f>
        <v>0</v>
      </c>
      <c r="D325" s="17"/>
      <c r="E325" s="14"/>
      <c r="F325" s="18"/>
      <c r="G325" s="19"/>
      <c r="H325" s="20"/>
      <c r="I325" s="21"/>
      <c r="J325" s="14"/>
      <c r="K325" s="14">
        <f t="shared" ref="K325:K388" si="10">SUM(F325:J325)</f>
        <v>0</v>
      </c>
      <c r="L325" s="16">
        <f t="shared" ref="L325:L388" si="11">(C325+E325)-K325</f>
        <v>0</v>
      </c>
      <c r="M325" s="22"/>
      <c r="N325" s="23" t="s">
        <v>16</v>
      </c>
      <c r="O325" s="24"/>
      <c r="P325" s="25"/>
    </row>
    <row r="326" spans="1:16">
      <c r="A326" s="14">
        <v>322</v>
      </c>
      <c r="B326" s="29" t="s">
        <v>472</v>
      </c>
      <c r="C326" s="16">
        <f>'Медикаменты Январь_2'!L326</f>
        <v>0</v>
      </c>
      <c r="D326" s="17"/>
      <c r="E326" s="14"/>
      <c r="F326" s="18"/>
      <c r="G326" s="19"/>
      <c r="H326" s="20"/>
      <c r="I326" s="21"/>
      <c r="J326" s="14"/>
      <c r="K326" s="14">
        <f t="shared" si="10"/>
        <v>0</v>
      </c>
      <c r="L326" s="16">
        <f t="shared" si="11"/>
        <v>0</v>
      </c>
      <c r="M326" s="22">
        <v>44562</v>
      </c>
      <c r="N326" s="23" t="s">
        <v>16</v>
      </c>
      <c r="O326" s="24"/>
      <c r="P326" s="23" t="s">
        <v>473</v>
      </c>
    </row>
    <row r="327" spans="1:16">
      <c r="A327" s="14">
        <v>323</v>
      </c>
      <c r="B327" s="29" t="s">
        <v>474</v>
      </c>
      <c r="C327" s="16">
        <f>'Медикаменты Январь_2'!L327</f>
        <v>0</v>
      </c>
      <c r="D327" s="17"/>
      <c r="E327" s="14"/>
      <c r="F327" s="18"/>
      <c r="G327" s="19"/>
      <c r="H327" s="20"/>
      <c r="I327" s="21"/>
      <c r="J327" s="14"/>
      <c r="K327" s="14">
        <f t="shared" si="10"/>
        <v>0</v>
      </c>
      <c r="L327" s="16">
        <f t="shared" si="11"/>
        <v>0</v>
      </c>
      <c r="M327" s="22">
        <v>44743</v>
      </c>
      <c r="N327" s="23" t="s">
        <v>16</v>
      </c>
      <c r="O327" s="24"/>
      <c r="P327" s="23" t="s">
        <v>475</v>
      </c>
    </row>
    <row r="328" spans="1:16">
      <c r="A328" s="14">
        <v>324</v>
      </c>
      <c r="B328" s="29" t="s">
        <v>476</v>
      </c>
      <c r="C328" s="16">
        <f>'Медикаменты Январь_2'!L328</f>
        <v>0</v>
      </c>
      <c r="D328" s="17"/>
      <c r="E328" s="14"/>
      <c r="F328" s="18"/>
      <c r="G328" s="19"/>
      <c r="H328" s="20"/>
      <c r="I328" s="21"/>
      <c r="J328" s="14"/>
      <c r="K328" s="14">
        <f t="shared" si="10"/>
        <v>0</v>
      </c>
      <c r="L328" s="16">
        <f t="shared" si="11"/>
        <v>0</v>
      </c>
      <c r="M328" s="22">
        <v>44531</v>
      </c>
      <c r="N328" s="23" t="s">
        <v>16</v>
      </c>
      <c r="O328" s="24" t="s">
        <v>45</v>
      </c>
      <c r="P328" s="23" t="s">
        <v>477</v>
      </c>
    </row>
    <row r="329" spans="1:16">
      <c r="A329" s="14">
        <v>325</v>
      </c>
      <c r="B329" s="29" t="s">
        <v>478</v>
      </c>
      <c r="C329" s="16">
        <f>'Медикаменты Январь_2'!L329</f>
        <v>0</v>
      </c>
      <c r="D329" s="17"/>
      <c r="E329" s="14"/>
      <c r="F329" s="18"/>
      <c r="G329" s="19"/>
      <c r="H329" s="20"/>
      <c r="I329" s="21"/>
      <c r="J329" s="14"/>
      <c r="K329" s="14">
        <f t="shared" si="10"/>
        <v>0</v>
      </c>
      <c r="L329" s="16">
        <f t="shared" si="11"/>
        <v>0</v>
      </c>
      <c r="M329" s="22"/>
      <c r="N329" s="23" t="s">
        <v>16</v>
      </c>
      <c r="O329" s="24"/>
      <c r="P329" s="25"/>
    </row>
    <row r="330" spans="1:16">
      <c r="A330" s="14">
        <v>326</v>
      </c>
      <c r="B330" s="29" t="s">
        <v>479</v>
      </c>
      <c r="C330" s="16">
        <f>'Медикаменты Январь_2'!L330</f>
        <v>0</v>
      </c>
      <c r="D330" s="17"/>
      <c r="E330" s="14"/>
      <c r="F330" s="18"/>
      <c r="G330" s="19"/>
      <c r="H330" s="20"/>
      <c r="I330" s="21"/>
      <c r="J330" s="14"/>
      <c r="K330" s="14">
        <f t="shared" si="10"/>
        <v>0</v>
      </c>
      <c r="L330" s="16">
        <f t="shared" si="11"/>
        <v>0</v>
      </c>
      <c r="M330" s="22">
        <v>44743</v>
      </c>
      <c r="N330" s="23" t="s">
        <v>16</v>
      </c>
      <c r="O330" s="24"/>
      <c r="P330" s="28" t="s">
        <v>480</v>
      </c>
    </row>
    <row r="331" spans="1:16">
      <c r="A331" s="14">
        <v>327</v>
      </c>
      <c r="B331" s="29" t="s">
        <v>481</v>
      </c>
      <c r="C331" s="16">
        <f>'Медикаменты Январь_2'!L331</f>
        <v>5</v>
      </c>
      <c r="D331" s="17"/>
      <c r="E331" s="14"/>
      <c r="F331" s="18">
        <f>5</f>
        <v>5</v>
      </c>
      <c r="G331" s="19"/>
      <c r="H331" s="20"/>
      <c r="I331" s="21"/>
      <c r="J331" s="14"/>
      <c r="K331" s="14">
        <f t="shared" si="10"/>
        <v>5</v>
      </c>
      <c r="L331" s="16">
        <f t="shared" si="11"/>
        <v>0</v>
      </c>
      <c r="M331" s="22">
        <v>44713</v>
      </c>
      <c r="N331" s="23" t="s">
        <v>16</v>
      </c>
      <c r="O331" s="24" t="s">
        <v>17</v>
      </c>
      <c r="P331" s="28" t="s">
        <v>482</v>
      </c>
    </row>
    <row r="332" spans="1:16">
      <c r="A332" s="14">
        <v>328</v>
      </c>
      <c r="B332" s="29" t="s">
        <v>483</v>
      </c>
      <c r="C332" s="16">
        <f>'Медикаменты Январь_2'!L332</f>
        <v>0</v>
      </c>
      <c r="D332" s="17"/>
      <c r="E332" s="14"/>
      <c r="F332" s="18"/>
      <c r="G332" s="19"/>
      <c r="H332" s="20"/>
      <c r="I332" s="21"/>
      <c r="J332" s="14"/>
      <c r="K332" s="14">
        <f t="shared" si="10"/>
        <v>0</v>
      </c>
      <c r="L332" s="16">
        <f t="shared" si="11"/>
        <v>0</v>
      </c>
      <c r="M332" s="22">
        <v>45536</v>
      </c>
      <c r="N332" s="23" t="s">
        <v>16</v>
      </c>
      <c r="O332" s="24"/>
      <c r="P332" s="28" t="s">
        <v>484</v>
      </c>
    </row>
    <row r="333" spans="1:16">
      <c r="A333" s="14">
        <v>329</v>
      </c>
      <c r="B333" s="29" t="s">
        <v>485</v>
      </c>
      <c r="C333" s="16">
        <f>'Медикаменты Январь_2'!L333</f>
        <v>0</v>
      </c>
      <c r="D333" s="17"/>
      <c r="E333" s="14"/>
      <c r="F333" s="18"/>
      <c r="G333" s="19"/>
      <c r="H333" s="20"/>
      <c r="I333" s="21"/>
      <c r="J333" s="14"/>
      <c r="K333" s="14">
        <f t="shared" si="10"/>
        <v>0</v>
      </c>
      <c r="L333" s="16">
        <f t="shared" si="11"/>
        <v>0</v>
      </c>
      <c r="M333" s="22">
        <v>45597</v>
      </c>
      <c r="N333" s="23" t="s">
        <v>16</v>
      </c>
      <c r="O333" s="24"/>
      <c r="P333" s="28" t="s">
        <v>486</v>
      </c>
    </row>
    <row r="334" spans="1:16">
      <c r="A334" s="14">
        <v>330</v>
      </c>
      <c r="B334" s="29" t="s">
        <v>487</v>
      </c>
      <c r="C334" s="16">
        <f>'Медикаменты Январь_2'!L334</f>
        <v>0</v>
      </c>
      <c r="D334" s="17"/>
      <c r="E334" s="14"/>
      <c r="F334" s="18"/>
      <c r="G334" s="19"/>
      <c r="H334" s="20"/>
      <c r="I334" s="21"/>
      <c r="J334" s="14"/>
      <c r="K334" s="14">
        <f t="shared" si="10"/>
        <v>0</v>
      </c>
      <c r="L334" s="16">
        <f t="shared" si="11"/>
        <v>0</v>
      </c>
      <c r="M334" s="22"/>
      <c r="N334" s="23" t="s">
        <v>16</v>
      </c>
      <c r="O334" s="24"/>
      <c r="P334" s="25"/>
    </row>
    <row r="335" spans="1:16">
      <c r="A335" s="14">
        <v>331</v>
      </c>
      <c r="B335" s="29" t="s">
        <v>488</v>
      </c>
      <c r="C335" s="16">
        <f>'Медикаменты Январь_2'!L335</f>
        <v>0</v>
      </c>
      <c r="D335" s="17"/>
      <c r="E335" s="14"/>
      <c r="F335" s="18"/>
      <c r="G335" s="19"/>
      <c r="H335" s="20"/>
      <c r="I335" s="21"/>
      <c r="J335" s="14"/>
      <c r="K335" s="14">
        <f t="shared" si="10"/>
        <v>0</v>
      </c>
      <c r="L335" s="16">
        <f t="shared" si="11"/>
        <v>0</v>
      </c>
      <c r="M335" s="22">
        <v>44805</v>
      </c>
      <c r="N335" s="23" t="s">
        <v>16</v>
      </c>
      <c r="O335" s="24"/>
      <c r="P335" s="23" t="s">
        <v>489</v>
      </c>
    </row>
    <row r="336" spans="1:16">
      <c r="A336" s="14">
        <v>332</v>
      </c>
      <c r="B336" s="29" t="s">
        <v>490</v>
      </c>
      <c r="C336" s="16">
        <f>'Медикаменты Январь_2'!L336</f>
        <v>0</v>
      </c>
      <c r="D336" s="17"/>
      <c r="E336" s="14"/>
      <c r="F336" s="18"/>
      <c r="G336" s="19"/>
      <c r="H336" s="20"/>
      <c r="I336" s="21"/>
      <c r="J336" s="14"/>
      <c r="K336" s="14">
        <f t="shared" si="10"/>
        <v>0</v>
      </c>
      <c r="L336" s="16">
        <f t="shared" si="11"/>
        <v>0</v>
      </c>
      <c r="M336" s="22"/>
      <c r="N336" s="23" t="s">
        <v>16</v>
      </c>
      <c r="O336" s="24"/>
      <c r="P336" s="25"/>
    </row>
    <row r="337" spans="1:16" ht="25.5">
      <c r="A337" s="14">
        <v>333</v>
      </c>
      <c r="B337" s="29" t="s">
        <v>491</v>
      </c>
      <c r="C337" s="16">
        <f>'Медикаменты Январь_2'!L337</f>
        <v>50</v>
      </c>
      <c r="D337" s="17"/>
      <c r="E337" s="14"/>
      <c r="F337" s="18"/>
      <c r="G337" s="19"/>
      <c r="H337" s="20"/>
      <c r="I337" s="21"/>
      <c r="J337" s="14"/>
      <c r="K337" s="14">
        <f t="shared" si="10"/>
        <v>0</v>
      </c>
      <c r="L337" s="16">
        <f t="shared" si="11"/>
        <v>50</v>
      </c>
      <c r="M337" s="22">
        <v>45231</v>
      </c>
      <c r="N337" s="23" t="s">
        <v>16</v>
      </c>
      <c r="O337" s="24" t="s">
        <v>17</v>
      </c>
      <c r="P337" s="23" t="s">
        <v>492</v>
      </c>
    </row>
    <row r="338" spans="1:16" ht="25.5">
      <c r="A338" s="14">
        <v>334</v>
      </c>
      <c r="B338" s="29" t="s">
        <v>491</v>
      </c>
      <c r="C338" s="16">
        <f>'Медикаменты Январь_2'!L338</f>
        <v>350</v>
      </c>
      <c r="D338" s="17"/>
      <c r="E338" s="14"/>
      <c r="F338" s="18"/>
      <c r="G338" s="19"/>
      <c r="H338" s="20"/>
      <c r="I338" s="21"/>
      <c r="J338" s="14"/>
      <c r="K338" s="14">
        <f t="shared" si="10"/>
        <v>0</v>
      </c>
      <c r="L338" s="16">
        <f t="shared" si="11"/>
        <v>350</v>
      </c>
      <c r="M338" s="22">
        <v>44896</v>
      </c>
      <c r="N338" s="23" t="s">
        <v>16</v>
      </c>
      <c r="O338" s="24" t="s">
        <v>17</v>
      </c>
      <c r="P338" s="23" t="s">
        <v>492</v>
      </c>
    </row>
    <row r="339" spans="1:16">
      <c r="A339" s="14">
        <v>335</v>
      </c>
      <c r="B339" s="29" t="s">
        <v>493</v>
      </c>
      <c r="C339" s="16">
        <f>'Медикаменты Январь_2'!L339</f>
        <v>100</v>
      </c>
      <c r="D339" s="17"/>
      <c r="E339" s="14"/>
      <c r="F339" s="18"/>
      <c r="G339" s="19"/>
      <c r="H339" s="20"/>
      <c r="I339" s="21"/>
      <c r="J339" s="14"/>
      <c r="K339" s="14">
        <f t="shared" si="10"/>
        <v>0</v>
      </c>
      <c r="L339" s="16">
        <f t="shared" si="11"/>
        <v>100</v>
      </c>
      <c r="M339" s="22">
        <v>44774</v>
      </c>
      <c r="N339" s="23" t="s">
        <v>16</v>
      </c>
      <c r="O339" s="24" t="s">
        <v>17</v>
      </c>
      <c r="P339" s="23" t="s">
        <v>494</v>
      </c>
    </row>
    <row r="340" spans="1:16">
      <c r="A340" s="14">
        <v>336</v>
      </c>
      <c r="B340" s="29" t="s">
        <v>495</v>
      </c>
      <c r="C340" s="16">
        <f>'Медикаменты Январь_2'!L340</f>
        <v>0</v>
      </c>
      <c r="D340" s="17"/>
      <c r="E340" s="14"/>
      <c r="F340" s="18"/>
      <c r="G340" s="19"/>
      <c r="H340" s="20"/>
      <c r="I340" s="21"/>
      <c r="J340" s="14"/>
      <c r="K340" s="14">
        <f t="shared" si="10"/>
        <v>0</v>
      </c>
      <c r="L340" s="16">
        <f t="shared" si="11"/>
        <v>0</v>
      </c>
      <c r="M340" s="22"/>
      <c r="N340" s="23" t="s">
        <v>16</v>
      </c>
      <c r="O340" s="24"/>
      <c r="P340" s="25"/>
    </row>
    <row r="341" spans="1:16">
      <c r="A341" s="14">
        <v>337</v>
      </c>
      <c r="B341" s="29" t="s">
        <v>496</v>
      </c>
      <c r="C341" s="16">
        <f>'Медикаменты Январь_2'!L341</f>
        <v>0</v>
      </c>
      <c r="D341" s="17"/>
      <c r="E341" s="14"/>
      <c r="F341" s="18"/>
      <c r="G341" s="19"/>
      <c r="H341" s="20"/>
      <c r="I341" s="21"/>
      <c r="J341" s="14"/>
      <c r="K341" s="14">
        <f t="shared" si="10"/>
        <v>0</v>
      </c>
      <c r="L341" s="16">
        <f t="shared" si="11"/>
        <v>0</v>
      </c>
      <c r="M341" s="22">
        <v>44256</v>
      </c>
      <c r="N341" s="23" t="s">
        <v>16</v>
      </c>
      <c r="O341" s="24"/>
      <c r="P341" s="28" t="s">
        <v>497</v>
      </c>
    </row>
    <row r="342" spans="1:16">
      <c r="A342" s="14">
        <v>338</v>
      </c>
      <c r="B342" s="29" t="s">
        <v>498</v>
      </c>
      <c r="C342" s="16">
        <f>'Медикаменты Январь_2'!L342</f>
        <v>100</v>
      </c>
      <c r="D342" s="17"/>
      <c r="E342" s="14"/>
      <c r="F342" s="18"/>
      <c r="G342" s="19"/>
      <c r="H342" s="20"/>
      <c r="I342" s="21"/>
      <c r="J342" s="14"/>
      <c r="K342" s="14">
        <f t="shared" si="10"/>
        <v>0</v>
      </c>
      <c r="L342" s="16">
        <f t="shared" si="11"/>
        <v>100</v>
      </c>
      <c r="M342" s="22">
        <v>44805</v>
      </c>
      <c r="N342" s="23" t="s">
        <v>16</v>
      </c>
      <c r="O342" s="24" t="s">
        <v>17</v>
      </c>
      <c r="P342" s="23" t="s">
        <v>499</v>
      </c>
    </row>
    <row r="343" spans="1:16">
      <c r="A343" s="14">
        <v>339</v>
      </c>
      <c r="B343" s="29" t="s">
        <v>500</v>
      </c>
      <c r="C343" s="16">
        <f>'Медикаменты Январь_2'!L343</f>
        <v>0</v>
      </c>
      <c r="D343" s="17"/>
      <c r="E343" s="14"/>
      <c r="F343" s="18"/>
      <c r="G343" s="19"/>
      <c r="H343" s="20"/>
      <c r="I343" s="21"/>
      <c r="J343" s="14"/>
      <c r="K343" s="14">
        <f t="shared" si="10"/>
        <v>0</v>
      </c>
      <c r="L343" s="16">
        <f t="shared" si="11"/>
        <v>0</v>
      </c>
      <c r="M343" s="22"/>
      <c r="N343" s="23" t="s">
        <v>16</v>
      </c>
      <c r="O343" s="24"/>
      <c r="P343" s="25"/>
    </row>
    <row r="344" spans="1:16">
      <c r="A344" s="14">
        <v>340</v>
      </c>
      <c r="B344" s="29" t="s">
        <v>501</v>
      </c>
      <c r="C344" s="16">
        <f>'Медикаменты Январь_2'!L344</f>
        <v>0</v>
      </c>
      <c r="D344" s="17"/>
      <c r="E344" s="14"/>
      <c r="F344" s="18"/>
      <c r="G344" s="19"/>
      <c r="H344" s="20"/>
      <c r="I344" s="21"/>
      <c r="J344" s="14"/>
      <c r="K344" s="14">
        <f t="shared" si="10"/>
        <v>0</v>
      </c>
      <c r="L344" s="16">
        <f t="shared" si="11"/>
        <v>0</v>
      </c>
      <c r="M344" s="22"/>
      <c r="N344" s="23" t="s">
        <v>16</v>
      </c>
      <c r="O344" s="24"/>
      <c r="P344" s="25"/>
    </row>
    <row r="345" spans="1:16">
      <c r="A345" s="14">
        <v>341</v>
      </c>
      <c r="B345" s="29" t="s">
        <v>502</v>
      </c>
      <c r="C345" s="16">
        <f>'Медикаменты Январь_2'!L345</f>
        <v>0</v>
      </c>
      <c r="D345" s="17"/>
      <c r="E345" s="14"/>
      <c r="F345" s="18"/>
      <c r="G345" s="19"/>
      <c r="H345" s="20"/>
      <c r="I345" s="21"/>
      <c r="J345" s="14"/>
      <c r="K345" s="14">
        <f t="shared" si="10"/>
        <v>0</v>
      </c>
      <c r="L345" s="16">
        <f t="shared" si="11"/>
        <v>0</v>
      </c>
      <c r="M345" s="22">
        <v>44866</v>
      </c>
      <c r="N345" s="23" t="s">
        <v>26</v>
      </c>
      <c r="O345" s="24"/>
      <c r="P345" s="25"/>
    </row>
    <row r="346" spans="1:16">
      <c r="A346" s="14">
        <v>342</v>
      </c>
      <c r="B346" s="29" t="s">
        <v>503</v>
      </c>
      <c r="C346" s="16">
        <f>'Медикаменты Январь_2'!L346</f>
        <v>155</v>
      </c>
      <c r="D346" s="26"/>
      <c r="E346" s="14"/>
      <c r="F346" s="18">
        <f>10</f>
        <v>10</v>
      </c>
      <c r="G346" s="19"/>
      <c r="H346" s="20"/>
      <c r="I346" s="21"/>
      <c r="J346" s="14"/>
      <c r="K346" s="14">
        <f t="shared" si="10"/>
        <v>10</v>
      </c>
      <c r="L346" s="16">
        <f t="shared" si="11"/>
        <v>145</v>
      </c>
      <c r="M346" s="22">
        <v>44713</v>
      </c>
      <c r="N346" s="23" t="s">
        <v>16</v>
      </c>
      <c r="O346" s="24" t="s">
        <v>17</v>
      </c>
      <c r="P346" s="28" t="s">
        <v>504</v>
      </c>
    </row>
    <row r="347" spans="1:16">
      <c r="A347" s="14">
        <v>343</v>
      </c>
      <c r="B347" s="29" t="s">
        <v>505</v>
      </c>
      <c r="C347" s="16">
        <f>'Медикаменты Январь_2'!L347</f>
        <v>0</v>
      </c>
      <c r="D347" s="17"/>
      <c r="E347" s="14"/>
      <c r="F347" s="18"/>
      <c r="G347" s="19"/>
      <c r="H347" s="20"/>
      <c r="I347" s="21"/>
      <c r="J347" s="14"/>
      <c r="K347" s="14">
        <f t="shared" si="10"/>
        <v>0</v>
      </c>
      <c r="L347" s="16">
        <f t="shared" si="11"/>
        <v>0</v>
      </c>
      <c r="M347" s="22"/>
      <c r="N347" s="23" t="s">
        <v>16</v>
      </c>
      <c r="O347" s="24"/>
      <c r="P347" s="25"/>
    </row>
    <row r="348" spans="1:16">
      <c r="A348" s="14">
        <v>344</v>
      </c>
      <c r="B348" s="29" t="s">
        <v>506</v>
      </c>
      <c r="C348" s="16">
        <f>'Медикаменты Январь_2'!L348</f>
        <v>67</v>
      </c>
      <c r="D348" s="26"/>
      <c r="E348" s="14"/>
      <c r="F348" s="18">
        <f>5</f>
        <v>5</v>
      </c>
      <c r="G348" s="19"/>
      <c r="H348" s="20"/>
      <c r="I348" s="21"/>
      <c r="J348" s="14"/>
      <c r="K348" s="14">
        <f t="shared" si="10"/>
        <v>5</v>
      </c>
      <c r="L348" s="16">
        <f t="shared" si="11"/>
        <v>62</v>
      </c>
      <c r="M348" s="22">
        <v>44531</v>
      </c>
      <c r="N348" s="23" t="s">
        <v>16</v>
      </c>
      <c r="O348" s="24" t="s">
        <v>17</v>
      </c>
      <c r="P348" s="28" t="s">
        <v>507</v>
      </c>
    </row>
    <row r="349" spans="1:16" ht="25.5">
      <c r="A349" s="14">
        <v>345</v>
      </c>
      <c r="B349" s="29" t="s">
        <v>508</v>
      </c>
      <c r="C349" s="16">
        <f>'Медикаменты Январь_2'!L349</f>
        <v>412</v>
      </c>
      <c r="D349" s="17"/>
      <c r="E349" s="14"/>
      <c r="F349" s="18"/>
      <c r="G349" s="19"/>
      <c r="H349" s="20"/>
      <c r="I349" s="21"/>
      <c r="J349" s="14"/>
      <c r="K349" s="14">
        <f t="shared" si="10"/>
        <v>0</v>
      </c>
      <c r="L349" s="16">
        <f t="shared" si="11"/>
        <v>412</v>
      </c>
      <c r="M349" s="22">
        <v>45108</v>
      </c>
      <c r="N349" s="23" t="s">
        <v>16</v>
      </c>
      <c r="O349" s="24" t="s">
        <v>17</v>
      </c>
      <c r="P349" s="28" t="s">
        <v>509</v>
      </c>
    </row>
    <row r="350" spans="1:16">
      <c r="A350" s="14">
        <v>346</v>
      </c>
      <c r="B350" s="29" t="s">
        <v>510</v>
      </c>
      <c r="C350" s="16">
        <f>'Медикаменты Январь_2'!L350</f>
        <v>0</v>
      </c>
      <c r="D350" s="17"/>
      <c r="E350" s="14"/>
      <c r="F350" s="18"/>
      <c r="G350" s="19"/>
      <c r="H350" s="20"/>
      <c r="I350" s="21"/>
      <c r="J350" s="14"/>
      <c r="K350" s="14">
        <f t="shared" si="10"/>
        <v>0</v>
      </c>
      <c r="L350" s="16">
        <f t="shared" si="11"/>
        <v>0</v>
      </c>
      <c r="M350" s="22"/>
      <c r="N350" s="23" t="s">
        <v>16</v>
      </c>
      <c r="O350" s="24"/>
      <c r="P350" s="25"/>
    </row>
    <row r="351" spans="1:16">
      <c r="A351" s="14">
        <v>347</v>
      </c>
      <c r="B351" s="29" t="s">
        <v>511</v>
      </c>
      <c r="C351" s="16">
        <f>'Медикаменты Январь_2'!L351</f>
        <v>0</v>
      </c>
      <c r="D351" s="17"/>
      <c r="E351" s="14"/>
      <c r="F351" s="18"/>
      <c r="G351" s="19"/>
      <c r="H351" s="20"/>
      <c r="I351" s="21"/>
      <c r="J351" s="14"/>
      <c r="K351" s="14">
        <f t="shared" si="10"/>
        <v>0</v>
      </c>
      <c r="L351" s="16">
        <f t="shared" si="11"/>
        <v>0</v>
      </c>
      <c r="M351" s="22"/>
      <c r="N351" s="23" t="s">
        <v>16</v>
      </c>
      <c r="O351" s="24"/>
      <c r="P351" s="25"/>
    </row>
    <row r="352" spans="1:16">
      <c r="A352" s="14">
        <v>348</v>
      </c>
      <c r="B352" s="29" t="s">
        <v>512</v>
      </c>
      <c r="C352" s="16">
        <f>'Медикаменты Январь_2'!L352</f>
        <v>92</v>
      </c>
      <c r="D352" s="17"/>
      <c r="E352" s="14"/>
      <c r="F352" s="18">
        <f>8+3+7</f>
        <v>18</v>
      </c>
      <c r="G352" s="19"/>
      <c r="H352" s="20">
        <f>10</f>
        <v>10</v>
      </c>
      <c r="I352" s="21"/>
      <c r="J352" s="14"/>
      <c r="K352" s="14">
        <f t="shared" si="10"/>
        <v>28</v>
      </c>
      <c r="L352" s="16">
        <f t="shared" si="11"/>
        <v>64</v>
      </c>
      <c r="M352" s="22">
        <v>44682</v>
      </c>
      <c r="N352" s="23" t="s">
        <v>16</v>
      </c>
      <c r="O352" s="24" t="s">
        <v>17</v>
      </c>
      <c r="P352" s="23" t="s">
        <v>513</v>
      </c>
    </row>
    <row r="353" spans="1:16">
      <c r="A353" s="14">
        <v>349</v>
      </c>
      <c r="B353" s="29" t="s">
        <v>514</v>
      </c>
      <c r="C353" s="16">
        <f>'Медикаменты Январь_2'!L353</f>
        <v>129</v>
      </c>
      <c r="D353" s="17"/>
      <c r="E353" s="14"/>
      <c r="F353" s="18">
        <f>3+4</f>
        <v>7</v>
      </c>
      <c r="G353" s="19"/>
      <c r="H353" s="20">
        <f>20</f>
        <v>20</v>
      </c>
      <c r="I353" s="21"/>
      <c r="J353" s="14"/>
      <c r="K353" s="14">
        <f t="shared" si="10"/>
        <v>27</v>
      </c>
      <c r="L353" s="16">
        <f t="shared" si="11"/>
        <v>102</v>
      </c>
      <c r="M353" s="22">
        <v>44652</v>
      </c>
      <c r="N353" s="23" t="s">
        <v>16</v>
      </c>
      <c r="O353" s="24" t="s">
        <v>17</v>
      </c>
      <c r="P353" s="23" t="s">
        <v>515</v>
      </c>
    </row>
    <row r="354" spans="1:16">
      <c r="A354" s="14">
        <v>350</v>
      </c>
      <c r="B354" s="29" t="s">
        <v>516</v>
      </c>
      <c r="C354" s="16">
        <f>'Медикаменты Январь_2'!L354</f>
        <v>0</v>
      </c>
      <c r="D354" s="17"/>
      <c r="E354" s="14"/>
      <c r="F354" s="18"/>
      <c r="G354" s="19"/>
      <c r="H354" s="20"/>
      <c r="I354" s="21"/>
      <c r="J354" s="14"/>
      <c r="K354" s="14">
        <f t="shared" si="10"/>
        <v>0</v>
      </c>
      <c r="L354" s="16">
        <f t="shared" si="11"/>
        <v>0</v>
      </c>
      <c r="M354" s="22"/>
      <c r="N354" s="23" t="s">
        <v>16</v>
      </c>
      <c r="O354" s="24"/>
      <c r="P354" s="25"/>
    </row>
    <row r="355" spans="1:16">
      <c r="A355" s="14">
        <v>351</v>
      </c>
      <c r="B355" s="29" t="s">
        <v>517</v>
      </c>
      <c r="C355" s="16">
        <f>'Медикаменты Январь_2'!L355</f>
        <v>0</v>
      </c>
      <c r="D355" s="17"/>
      <c r="E355" s="14"/>
      <c r="F355" s="18"/>
      <c r="G355" s="19"/>
      <c r="H355" s="20"/>
      <c r="I355" s="21"/>
      <c r="J355" s="14"/>
      <c r="K355" s="14">
        <f t="shared" si="10"/>
        <v>0</v>
      </c>
      <c r="L355" s="16">
        <f t="shared" si="11"/>
        <v>0</v>
      </c>
      <c r="M355" s="22">
        <v>44682</v>
      </c>
      <c r="N355" s="23" t="s">
        <v>26</v>
      </c>
      <c r="O355" s="24" t="s">
        <v>17</v>
      </c>
      <c r="P355" s="23" t="s">
        <v>518</v>
      </c>
    </row>
    <row r="356" spans="1:16">
      <c r="A356" s="14">
        <v>352</v>
      </c>
      <c r="B356" s="29" t="s">
        <v>519</v>
      </c>
      <c r="C356" s="16">
        <f>'Медикаменты Январь_2'!L356</f>
        <v>0</v>
      </c>
      <c r="D356" s="17"/>
      <c r="E356" s="14"/>
      <c r="F356" s="18"/>
      <c r="G356" s="19"/>
      <c r="H356" s="20"/>
      <c r="I356" s="21"/>
      <c r="J356" s="14"/>
      <c r="K356" s="14">
        <f t="shared" si="10"/>
        <v>0</v>
      </c>
      <c r="L356" s="16">
        <f t="shared" si="11"/>
        <v>0</v>
      </c>
      <c r="M356" s="22">
        <v>44409</v>
      </c>
      <c r="N356" s="23" t="s">
        <v>16</v>
      </c>
      <c r="O356" s="24"/>
      <c r="P356" s="25"/>
    </row>
    <row r="357" spans="1:16">
      <c r="A357" s="14">
        <v>353</v>
      </c>
      <c r="B357" s="29" t="s">
        <v>520</v>
      </c>
      <c r="C357" s="16">
        <f>'Медикаменты Январь_2'!L357</f>
        <v>62</v>
      </c>
      <c r="D357" s="17"/>
      <c r="E357" s="14"/>
      <c r="F357" s="18">
        <f>5+5+10+15</f>
        <v>35</v>
      </c>
      <c r="G357" s="19"/>
      <c r="H357" s="20">
        <f>10</f>
        <v>10</v>
      </c>
      <c r="I357" s="21"/>
      <c r="J357" s="14"/>
      <c r="K357" s="14">
        <f t="shared" si="10"/>
        <v>45</v>
      </c>
      <c r="L357" s="16">
        <f t="shared" si="11"/>
        <v>17</v>
      </c>
      <c r="M357" s="22">
        <v>44805</v>
      </c>
      <c r="N357" s="23" t="s">
        <v>26</v>
      </c>
      <c r="O357" s="24" t="s">
        <v>17</v>
      </c>
      <c r="P357" s="23" t="s">
        <v>521</v>
      </c>
    </row>
    <row r="358" spans="1:16">
      <c r="A358" s="14">
        <v>354</v>
      </c>
      <c r="B358" s="29" t="s">
        <v>522</v>
      </c>
      <c r="C358" s="16">
        <f>'Медикаменты Январь_2'!L358</f>
        <v>0</v>
      </c>
      <c r="D358" s="17"/>
      <c r="E358" s="14"/>
      <c r="F358" s="18"/>
      <c r="G358" s="19"/>
      <c r="H358" s="20"/>
      <c r="I358" s="21"/>
      <c r="J358" s="14"/>
      <c r="K358" s="14">
        <f t="shared" si="10"/>
        <v>0</v>
      </c>
      <c r="L358" s="16">
        <f t="shared" si="11"/>
        <v>0</v>
      </c>
      <c r="M358" s="22"/>
      <c r="N358" s="23" t="s">
        <v>16</v>
      </c>
      <c r="O358" s="24"/>
      <c r="P358" s="25"/>
    </row>
    <row r="359" spans="1:16">
      <c r="A359" s="14">
        <v>355</v>
      </c>
      <c r="B359" s="29" t="s">
        <v>523</v>
      </c>
      <c r="C359" s="16">
        <f>'Медикаменты Январь_2'!L359</f>
        <v>0</v>
      </c>
      <c r="D359" s="17"/>
      <c r="E359" s="14"/>
      <c r="F359" s="18"/>
      <c r="G359" s="19"/>
      <c r="H359" s="20"/>
      <c r="I359" s="21"/>
      <c r="J359" s="14"/>
      <c r="K359" s="14">
        <f t="shared" si="10"/>
        <v>0</v>
      </c>
      <c r="L359" s="16">
        <f t="shared" si="11"/>
        <v>0</v>
      </c>
      <c r="M359" s="22">
        <v>44228</v>
      </c>
      <c r="N359" s="23" t="s">
        <v>16</v>
      </c>
      <c r="O359" s="24"/>
      <c r="P359" s="23" t="s">
        <v>524</v>
      </c>
    </row>
    <row r="360" spans="1:16">
      <c r="A360" s="14">
        <v>356</v>
      </c>
      <c r="B360" s="29" t="s">
        <v>525</v>
      </c>
      <c r="C360" s="16">
        <f>'Медикаменты Январь_2'!L360</f>
        <v>86</v>
      </c>
      <c r="D360" s="17"/>
      <c r="E360" s="14"/>
      <c r="F360" s="18"/>
      <c r="G360" s="19"/>
      <c r="H360" s="20"/>
      <c r="I360" s="21"/>
      <c r="J360" s="14"/>
      <c r="K360" s="14">
        <f t="shared" si="10"/>
        <v>0</v>
      </c>
      <c r="L360" s="16">
        <f t="shared" si="11"/>
        <v>86</v>
      </c>
      <c r="M360" s="22">
        <v>44958</v>
      </c>
      <c r="N360" s="23" t="s">
        <v>16</v>
      </c>
      <c r="O360" s="24" t="s">
        <v>17</v>
      </c>
      <c r="P360" s="23" t="s">
        <v>526</v>
      </c>
    </row>
    <row r="361" spans="1:16">
      <c r="A361" s="14">
        <v>357</v>
      </c>
      <c r="B361" s="29" t="s">
        <v>527</v>
      </c>
      <c r="C361" s="16">
        <f>'Медикаменты Январь_2'!L361</f>
        <v>6</v>
      </c>
      <c r="D361" s="17"/>
      <c r="E361" s="14"/>
      <c r="F361" s="18"/>
      <c r="G361" s="19"/>
      <c r="H361" s="20"/>
      <c r="I361" s="21"/>
      <c r="J361" s="14"/>
      <c r="K361" s="14">
        <f t="shared" si="10"/>
        <v>0</v>
      </c>
      <c r="L361" s="16">
        <f t="shared" si="11"/>
        <v>6</v>
      </c>
      <c r="M361" s="22">
        <v>44652</v>
      </c>
      <c r="N361" s="23" t="s">
        <v>16</v>
      </c>
      <c r="O361" s="24" t="s">
        <v>17</v>
      </c>
      <c r="P361" s="28" t="s">
        <v>528</v>
      </c>
    </row>
    <row r="362" spans="1:16">
      <c r="A362" s="14">
        <v>358</v>
      </c>
      <c r="B362" s="29" t="s">
        <v>527</v>
      </c>
      <c r="C362" s="16">
        <f>'Медикаменты Январь_2'!L362</f>
        <v>25</v>
      </c>
      <c r="D362" s="17"/>
      <c r="E362" s="14"/>
      <c r="F362" s="18"/>
      <c r="G362" s="19"/>
      <c r="H362" s="20"/>
      <c r="I362" s="21"/>
      <c r="J362" s="14"/>
      <c r="K362" s="14">
        <f t="shared" si="10"/>
        <v>0</v>
      </c>
      <c r="L362" s="16">
        <f t="shared" si="11"/>
        <v>25</v>
      </c>
      <c r="M362" s="22">
        <v>44896</v>
      </c>
      <c r="N362" s="23" t="s">
        <v>16</v>
      </c>
      <c r="O362" s="24" t="s">
        <v>17</v>
      </c>
      <c r="P362" s="28" t="s">
        <v>528</v>
      </c>
    </row>
  </sheetData>
  <autoFilter ref="A2:P362"/>
  <mergeCells count="17">
    <mergeCell ref="P2:P4"/>
    <mergeCell ref="A1:P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2:M4"/>
    <mergeCell ref="N2:N4"/>
    <mergeCell ref="O2:O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158466"/>
  </sheetPr>
  <dimension ref="A1:O21"/>
  <sheetViews>
    <sheetView zoomScaleNormal="100" workbookViewId="0">
      <pane ySplit="4" topLeftCell="A5" activePane="bottomLeft" state="frozen"/>
      <selection pane="bottomLeft" activeCell="C13" sqref="C13"/>
    </sheetView>
  </sheetViews>
  <sheetFormatPr defaultRowHeight="15"/>
  <cols>
    <col min="1" max="1" width="12.5703125" customWidth="1"/>
    <col min="2" max="2" width="45.85546875" customWidth="1"/>
    <col min="3" max="13" width="13.28515625" customWidth="1"/>
    <col min="14" max="14" width="13.7109375" customWidth="1"/>
    <col min="15" max="1022" width="9.140625" customWidth="1"/>
    <col min="1023" max="1025" width="11.5703125" customWidth="1"/>
  </cols>
  <sheetData>
    <row r="1" spans="1:15" ht="51.75" customHeight="1">
      <c r="A1" s="3" t="s">
        <v>529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s="33" customFormat="1" ht="13.9" customHeight="1">
      <c r="A2" s="11" t="s">
        <v>1</v>
      </c>
      <c r="B2" s="10" t="s">
        <v>2</v>
      </c>
      <c r="C2" s="9">
        <v>44228</v>
      </c>
      <c r="D2" s="11" t="s">
        <v>3</v>
      </c>
      <c r="E2" s="11" t="s">
        <v>4</v>
      </c>
      <c r="F2" s="8" t="s">
        <v>5</v>
      </c>
      <c r="G2" s="2" t="s">
        <v>6</v>
      </c>
      <c r="H2" s="6" t="s">
        <v>7</v>
      </c>
      <c r="I2" s="5" t="s">
        <v>8</v>
      </c>
      <c r="J2" s="11" t="s">
        <v>9</v>
      </c>
      <c r="K2" s="11" t="s">
        <v>10</v>
      </c>
      <c r="L2" s="9">
        <v>44255</v>
      </c>
      <c r="M2" s="1" t="s">
        <v>11</v>
      </c>
      <c r="N2" s="1" t="s">
        <v>12</v>
      </c>
      <c r="O2" s="32"/>
    </row>
    <row r="3" spans="1:15" s="33" customFormat="1" ht="14.25">
      <c r="A3" s="11"/>
      <c r="B3" s="10"/>
      <c r="C3" s="9"/>
      <c r="D3" s="9"/>
      <c r="E3" s="9"/>
      <c r="F3" s="8"/>
      <c r="G3" s="2"/>
      <c r="H3" s="6"/>
      <c r="I3" s="5"/>
      <c r="J3" s="11"/>
      <c r="K3" s="11"/>
      <c r="L3" s="11"/>
      <c r="M3" s="1"/>
      <c r="N3" s="1"/>
      <c r="O3" s="32"/>
    </row>
    <row r="4" spans="1:15" s="33" customFormat="1" ht="24.75" customHeight="1">
      <c r="A4" s="11"/>
      <c r="B4" s="10"/>
      <c r="C4" s="9"/>
      <c r="D4" s="9"/>
      <c r="E4" s="9"/>
      <c r="F4" s="8"/>
      <c r="G4" s="2"/>
      <c r="H4" s="6"/>
      <c r="I4" s="5"/>
      <c r="J4" s="11"/>
      <c r="K4" s="11"/>
      <c r="L4" s="11"/>
      <c r="M4" s="1"/>
      <c r="N4" s="1"/>
      <c r="O4" s="32"/>
    </row>
    <row r="5" spans="1:15">
      <c r="A5" s="34">
        <v>1</v>
      </c>
      <c r="B5" s="35" t="s">
        <v>530</v>
      </c>
      <c r="C5" s="14">
        <f>'Перевязочные Январь_2'!L5</f>
        <v>620</v>
      </c>
      <c r="D5" s="36"/>
      <c r="E5" s="36"/>
      <c r="F5" s="37">
        <f>40</f>
        <v>40</v>
      </c>
      <c r="G5" s="38"/>
      <c r="H5" s="39"/>
      <c r="I5" s="40"/>
      <c r="J5" s="36"/>
      <c r="K5" s="14">
        <f t="shared" ref="K5:K21" si="0">SUM(F5:J5)</f>
        <v>40</v>
      </c>
      <c r="L5" s="16">
        <f t="shared" ref="L5:L21" si="1">(C5+E5)-K5</f>
        <v>580</v>
      </c>
      <c r="M5" s="41">
        <v>44652</v>
      </c>
      <c r="N5" s="42" t="s">
        <v>16</v>
      </c>
      <c r="O5" s="43"/>
    </row>
    <row r="6" spans="1:15">
      <c r="A6" s="34">
        <v>2</v>
      </c>
      <c r="B6" s="35" t="s">
        <v>531</v>
      </c>
      <c r="C6" s="14">
        <f>'Перевязочные Январь_2'!L6</f>
        <v>85</v>
      </c>
      <c r="D6" s="36"/>
      <c r="E6" s="36"/>
      <c r="F6" s="37"/>
      <c r="G6" s="38"/>
      <c r="H6" s="39"/>
      <c r="I6" s="40"/>
      <c r="J6" s="36"/>
      <c r="K6" s="14">
        <f t="shared" si="0"/>
        <v>0</v>
      </c>
      <c r="L6" s="16">
        <f t="shared" si="1"/>
        <v>85</v>
      </c>
      <c r="M6" s="41">
        <v>45200</v>
      </c>
      <c r="N6" s="42" t="s">
        <v>16</v>
      </c>
      <c r="O6" s="43"/>
    </row>
    <row r="7" spans="1:15">
      <c r="A7" s="34">
        <v>3</v>
      </c>
      <c r="B7" s="35" t="s">
        <v>532</v>
      </c>
      <c r="C7" s="14">
        <f>'Перевязочные Январь_2'!L7</f>
        <v>10</v>
      </c>
      <c r="D7" s="36"/>
      <c r="E7" s="36"/>
      <c r="F7" s="37"/>
      <c r="G7" s="38"/>
      <c r="H7" s="39"/>
      <c r="I7" s="40"/>
      <c r="J7" s="36"/>
      <c r="K7" s="14">
        <f t="shared" si="0"/>
        <v>0</v>
      </c>
      <c r="L7" s="16">
        <f t="shared" si="1"/>
        <v>10</v>
      </c>
      <c r="M7" s="41">
        <v>44958</v>
      </c>
      <c r="N7" s="42" t="s">
        <v>16</v>
      </c>
      <c r="O7" s="43"/>
    </row>
    <row r="8" spans="1:15">
      <c r="A8" s="34">
        <v>4</v>
      </c>
      <c r="B8" s="35" t="s">
        <v>533</v>
      </c>
      <c r="C8" s="14">
        <f>'Перевязочные Январь_2'!L8</f>
        <v>0</v>
      </c>
      <c r="D8" s="36"/>
      <c r="E8" s="36"/>
      <c r="F8" s="37"/>
      <c r="G8" s="38"/>
      <c r="H8" s="39"/>
      <c r="I8" s="40"/>
      <c r="J8" s="36"/>
      <c r="K8" s="14">
        <f t="shared" si="0"/>
        <v>0</v>
      </c>
      <c r="L8" s="16">
        <f t="shared" si="1"/>
        <v>0</v>
      </c>
      <c r="M8" s="41"/>
      <c r="N8" s="42" t="s">
        <v>16</v>
      </c>
      <c r="O8" s="43"/>
    </row>
    <row r="9" spans="1:15">
      <c r="A9" s="34">
        <v>5</v>
      </c>
      <c r="B9" s="35" t="s">
        <v>534</v>
      </c>
      <c r="C9" s="14">
        <f>'Перевязочные Январь_2'!L9</f>
        <v>0</v>
      </c>
      <c r="D9" s="36"/>
      <c r="E9" s="36"/>
      <c r="F9" s="37"/>
      <c r="G9" s="38"/>
      <c r="H9" s="39"/>
      <c r="I9" s="40"/>
      <c r="J9" s="36"/>
      <c r="K9" s="14">
        <f t="shared" si="0"/>
        <v>0</v>
      </c>
      <c r="L9" s="16">
        <f t="shared" si="1"/>
        <v>0</v>
      </c>
      <c r="M9" s="41"/>
      <c r="N9" s="42" t="s">
        <v>16</v>
      </c>
      <c r="O9" s="43"/>
    </row>
    <row r="10" spans="1:15">
      <c r="A10" s="34">
        <v>6</v>
      </c>
      <c r="B10" s="35" t="s">
        <v>535</v>
      </c>
      <c r="C10" s="14">
        <f>'Перевязочные Январь_2'!L10</f>
        <v>10</v>
      </c>
      <c r="D10" s="36"/>
      <c r="E10" s="36"/>
      <c r="F10" s="37"/>
      <c r="G10" s="38"/>
      <c r="H10" s="39"/>
      <c r="I10" s="40"/>
      <c r="J10" s="36"/>
      <c r="K10" s="14">
        <f t="shared" si="0"/>
        <v>0</v>
      </c>
      <c r="L10" s="16">
        <f t="shared" si="1"/>
        <v>10</v>
      </c>
      <c r="M10" s="41">
        <v>45231</v>
      </c>
      <c r="N10" s="42" t="s">
        <v>16</v>
      </c>
      <c r="O10" s="43"/>
    </row>
    <row r="11" spans="1:15">
      <c r="A11" s="34">
        <v>7</v>
      </c>
      <c r="B11" s="35" t="s">
        <v>536</v>
      </c>
      <c r="C11" s="14">
        <f>'Перевязочные Январь_2'!L11</f>
        <v>0</v>
      </c>
      <c r="D11" s="36"/>
      <c r="E11" s="36"/>
      <c r="F11" s="37"/>
      <c r="G11" s="38"/>
      <c r="H11" s="39"/>
      <c r="I11" s="40"/>
      <c r="J11" s="36"/>
      <c r="K11" s="14">
        <f t="shared" si="0"/>
        <v>0</v>
      </c>
      <c r="L11" s="16">
        <f t="shared" si="1"/>
        <v>0</v>
      </c>
      <c r="M11" s="41"/>
      <c r="N11" s="42" t="s">
        <v>16</v>
      </c>
      <c r="O11" s="43"/>
    </row>
    <row r="12" spans="1:15">
      <c r="A12" s="34">
        <v>8</v>
      </c>
      <c r="B12" s="35" t="s">
        <v>537</v>
      </c>
      <c r="C12" s="14">
        <f>'Перевязочные Январь_2'!L12</f>
        <v>23</v>
      </c>
      <c r="D12" s="36"/>
      <c r="E12" s="36"/>
      <c r="F12" s="37">
        <f>2</f>
        <v>2</v>
      </c>
      <c r="G12" s="38"/>
      <c r="H12" s="39"/>
      <c r="I12" s="40"/>
      <c r="J12" s="36"/>
      <c r="K12" s="14">
        <f t="shared" si="0"/>
        <v>2</v>
      </c>
      <c r="L12" s="16">
        <f t="shared" si="1"/>
        <v>21</v>
      </c>
      <c r="M12" s="41">
        <v>45658</v>
      </c>
      <c r="N12" s="42" t="s">
        <v>16</v>
      </c>
      <c r="O12" s="43"/>
    </row>
    <row r="13" spans="1:15">
      <c r="A13" s="34">
        <v>9</v>
      </c>
      <c r="B13" s="35" t="s">
        <v>538</v>
      </c>
      <c r="C13" s="14">
        <f>'Перевязочные Январь_2'!L13</f>
        <v>1000</v>
      </c>
      <c r="D13" s="36"/>
      <c r="E13" s="36"/>
      <c r="F13" s="37"/>
      <c r="G13" s="38"/>
      <c r="H13" s="39"/>
      <c r="I13" s="40"/>
      <c r="J13" s="36"/>
      <c r="K13" s="14">
        <f t="shared" si="0"/>
        <v>0</v>
      </c>
      <c r="L13" s="16">
        <f t="shared" si="1"/>
        <v>1000</v>
      </c>
      <c r="M13" s="41">
        <v>44682</v>
      </c>
      <c r="N13" s="42" t="s">
        <v>16</v>
      </c>
      <c r="O13" s="43"/>
    </row>
    <row r="14" spans="1:15">
      <c r="A14" s="34">
        <v>10</v>
      </c>
      <c r="B14" s="35" t="s">
        <v>539</v>
      </c>
      <c r="C14" s="14">
        <f>'Перевязочные Январь_2'!L14</f>
        <v>458</v>
      </c>
      <c r="D14" s="36"/>
      <c r="E14" s="36"/>
      <c r="F14" s="37"/>
      <c r="G14" s="38"/>
      <c r="H14" s="39"/>
      <c r="I14" s="40"/>
      <c r="J14" s="36"/>
      <c r="K14" s="14">
        <f t="shared" si="0"/>
        <v>0</v>
      </c>
      <c r="L14" s="16">
        <f t="shared" si="1"/>
        <v>458</v>
      </c>
      <c r="M14" s="41">
        <v>45261</v>
      </c>
      <c r="N14" s="42" t="s">
        <v>16</v>
      </c>
      <c r="O14" s="43"/>
    </row>
    <row r="15" spans="1:15">
      <c r="A15" s="34">
        <v>11</v>
      </c>
      <c r="B15" s="35" t="s">
        <v>540</v>
      </c>
      <c r="C15" s="14">
        <f>'Перевязочные Январь_2'!L15</f>
        <v>141</v>
      </c>
      <c r="D15" s="36"/>
      <c r="E15" s="36"/>
      <c r="F15" s="37"/>
      <c r="G15" s="38"/>
      <c r="H15" s="39"/>
      <c r="I15" s="40"/>
      <c r="J15" s="36"/>
      <c r="K15" s="14">
        <f t="shared" si="0"/>
        <v>0</v>
      </c>
      <c r="L15" s="16">
        <f t="shared" si="1"/>
        <v>141</v>
      </c>
      <c r="M15" s="41">
        <v>44835</v>
      </c>
      <c r="N15" s="42" t="s">
        <v>16</v>
      </c>
      <c r="O15" s="43"/>
    </row>
    <row r="16" spans="1:15" ht="30">
      <c r="A16" s="34">
        <v>12</v>
      </c>
      <c r="B16" s="35" t="s">
        <v>541</v>
      </c>
      <c r="C16" s="14">
        <f>'Перевязочные Январь_2'!L16</f>
        <v>285</v>
      </c>
      <c r="D16" s="36"/>
      <c r="E16" s="36"/>
      <c r="F16" s="37"/>
      <c r="G16" s="38"/>
      <c r="H16" s="39"/>
      <c r="I16" s="40"/>
      <c r="J16" s="36"/>
      <c r="K16" s="14">
        <f t="shared" si="0"/>
        <v>0</v>
      </c>
      <c r="L16" s="16">
        <f t="shared" si="1"/>
        <v>285</v>
      </c>
      <c r="M16" s="41">
        <v>45616</v>
      </c>
      <c r="N16" s="42" t="s">
        <v>16</v>
      </c>
      <c r="O16" s="43"/>
    </row>
    <row r="17" spans="1:15" ht="45">
      <c r="A17" s="34">
        <v>13</v>
      </c>
      <c r="B17" s="35" t="s">
        <v>542</v>
      </c>
      <c r="C17" s="14">
        <f>'Перевязочные Январь_2'!L17</f>
        <v>480</v>
      </c>
      <c r="D17" s="36"/>
      <c r="E17" s="36"/>
      <c r="F17" s="37"/>
      <c r="G17" s="38"/>
      <c r="H17" s="39"/>
      <c r="I17" s="40"/>
      <c r="J17" s="36"/>
      <c r="K17" s="14">
        <f t="shared" si="0"/>
        <v>0</v>
      </c>
      <c r="L17" s="16">
        <f t="shared" si="1"/>
        <v>480</v>
      </c>
      <c r="M17" s="41">
        <v>44682</v>
      </c>
      <c r="N17" s="42" t="s">
        <v>16</v>
      </c>
      <c r="O17" s="43"/>
    </row>
    <row r="18" spans="1:15" ht="30">
      <c r="A18" s="34">
        <v>14</v>
      </c>
      <c r="B18" s="35" t="s">
        <v>543</v>
      </c>
      <c r="C18" s="14">
        <f>'Перевязочные Январь_2'!L18</f>
        <v>36</v>
      </c>
      <c r="D18" s="36"/>
      <c r="E18" s="36"/>
      <c r="F18" s="37">
        <f>7+1</f>
        <v>8</v>
      </c>
      <c r="G18" s="38"/>
      <c r="H18" s="39"/>
      <c r="I18" s="40"/>
      <c r="J18" s="36"/>
      <c r="K18" s="14">
        <f t="shared" si="0"/>
        <v>8</v>
      </c>
      <c r="L18" s="16">
        <f t="shared" si="1"/>
        <v>28</v>
      </c>
      <c r="M18" s="41">
        <v>45778</v>
      </c>
      <c r="N18" s="42" t="s">
        <v>16</v>
      </c>
      <c r="O18" s="43"/>
    </row>
    <row r="19" spans="1:15" ht="30">
      <c r="A19" s="34">
        <v>15</v>
      </c>
      <c r="B19" s="35" t="s">
        <v>544</v>
      </c>
      <c r="C19" s="14">
        <f>'Перевязочные Январь_2'!L19</f>
        <v>40</v>
      </c>
      <c r="D19" s="36"/>
      <c r="E19" s="36"/>
      <c r="F19" s="37">
        <f>2</f>
        <v>2</v>
      </c>
      <c r="G19" s="38"/>
      <c r="H19" s="39"/>
      <c r="I19" s="40"/>
      <c r="J19" s="36"/>
      <c r="K19" s="14">
        <f t="shared" si="0"/>
        <v>2</v>
      </c>
      <c r="L19" s="16">
        <f t="shared" si="1"/>
        <v>38</v>
      </c>
      <c r="M19" s="41"/>
      <c r="N19" s="42" t="s">
        <v>16</v>
      </c>
      <c r="O19" s="43"/>
    </row>
    <row r="20" spans="1:15">
      <c r="A20" s="34">
        <v>16</v>
      </c>
      <c r="B20" s="35" t="s">
        <v>545</v>
      </c>
      <c r="C20" s="14">
        <f>'Перевязочные Январь_2'!L20</f>
        <v>19</v>
      </c>
      <c r="D20" s="36"/>
      <c r="E20" s="36"/>
      <c r="F20" s="37"/>
      <c r="G20" s="38"/>
      <c r="H20" s="39"/>
      <c r="I20" s="40"/>
      <c r="J20" s="36"/>
      <c r="K20" s="14">
        <f t="shared" si="0"/>
        <v>0</v>
      </c>
      <c r="L20" s="16">
        <f t="shared" si="1"/>
        <v>19</v>
      </c>
      <c r="M20" s="41">
        <v>45292</v>
      </c>
      <c r="N20" s="42" t="s">
        <v>16</v>
      </c>
      <c r="O20" s="43"/>
    </row>
    <row r="21" spans="1:15" ht="30">
      <c r="A21" s="34">
        <v>17</v>
      </c>
      <c r="B21" s="35" t="s">
        <v>546</v>
      </c>
      <c r="C21" s="14">
        <f>'Перевязочные Январь_2'!L21</f>
        <v>14</v>
      </c>
      <c r="D21" s="36"/>
      <c r="E21" s="36"/>
      <c r="F21" s="37"/>
      <c r="G21" s="38"/>
      <c r="H21" s="39"/>
      <c r="I21" s="40"/>
      <c r="J21" s="36"/>
      <c r="K21" s="14">
        <f t="shared" si="0"/>
        <v>0</v>
      </c>
      <c r="L21" s="16">
        <f t="shared" si="1"/>
        <v>14</v>
      </c>
      <c r="M21" s="41">
        <v>44682</v>
      </c>
      <c r="N21" s="42" t="s">
        <v>16</v>
      </c>
      <c r="O21" s="43"/>
    </row>
  </sheetData>
  <autoFilter ref="A2:N4"/>
  <mergeCells count="15">
    <mergeCell ref="A1:N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2:M4"/>
    <mergeCell ref="N2:N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2A6099"/>
  </sheetPr>
  <dimension ref="A1:Q366"/>
  <sheetViews>
    <sheetView zoomScaleNormal="100" workbookViewId="0">
      <pane ySplit="4" topLeftCell="A65" activePane="bottomLeft" state="frozen"/>
      <selection pane="bottomLeft" activeCell="F83" sqref="F83"/>
    </sheetView>
  </sheetViews>
  <sheetFormatPr defaultRowHeight="15"/>
  <cols>
    <col min="1" max="1" width="9.140625" customWidth="1"/>
    <col min="2" max="2" width="40.85546875" customWidth="1"/>
    <col min="3" max="13" width="13.28515625" customWidth="1"/>
    <col min="14" max="14" width="13.28515625" style="13" customWidth="1"/>
    <col min="15" max="15" width="13.28515625" customWidth="1"/>
    <col min="16" max="16" width="13.28515625" style="13" customWidth="1"/>
    <col min="17" max="17" width="43.5703125" customWidth="1"/>
    <col min="18" max="1025" width="9.140625" customWidth="1"/>
  </cols>
  <sheetData>
    <row r="1" spans="1:17" ht="52.5" customHeight="1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ht="13.9" customHeight="1">
      <c r="A2" s="11" t="s">
        <v>1</v>
      </c>
      <c r="B2" s="10" t="s">
        <v>2</v>
      </c>
      <c r="C2" s="9">
        <v>44256</v>
      </c>
      <c r="D2" s="11" t="s">
        <v>3</v>
      </c>
      <c r="E2" s="11" t="s">
        <v>4</v>
      </c>
      <c r="F2" s="8" t="s">
        <v>5</v>
      </c>
      <c r="G2" s="7" t="s">
        <v>6</v>
      </c>
      <c r="H2" s="6" t="s">
        <v>7</v>
      </c>
      <c r="I2" s="5" t="s">
        <v>8</v>
      </c>
      <c r="J2" s="11" t="s">
        <v>9</v>
      </c>
      <c r="K2" s="11" t="s">
        <v>10</v>
      </c>
      <c r="L2" s="9">
        <v>44286</v>
      </c>
      <c r="M2" s="4" t="s">
        <v>11</v>
      </c>
      <c r="N2" s="4" t="s">
        <v>550</v>
      </c>
      <c r="O2" s="4" t="s">
        <v>12</v>
      </c>
      <c r="P2" s="4" t="s">
        <v>13</v>
      </c>
      <c r="Q2" s="4" t="s">
        <v>14</v>
      </c>
    </row>
    <row r="3" spans="1:17">
      <c r="A3" s="11"/>
      <c r="B3" s="10"/>
      <c r="C3" s="9"/>
      <c r="D3" s="9"/>
      <c r="E3" s="9"/>
      <c r="F3" s="8"/>
      <c r="G3" s="7"/>
      <c r="H3" s="6"/>
      <c r="I3" s="5"/>
      <c r="J3" s="11"/>
      <c r="K3" s="11"/>
      <c r="L3" s="11"/>
      <c r="M3" s="4"/>
      <c r="N3" s="4"/>
      <c r="O3" s="4"/>
      <c r="P3" s="4"/>
      <c r="Q3" s="4"/>
    </row>
    <row r="4" spans="1:17" ht="34.5" customHeight="1">
      <c r="A4" s="11"/>
      <c r="B4" s="10"/>
      <c r="C4" s="9"/>
      <c r="D4" s="9"/>
      <c r="E4" s="9"/>
      <c r="F4" s="8"/>
      <c r="G4" s="7"/>
      <c r="H4" s="6"/>
      <c r="I4" s="5"/>
      <c r="J4" s="11"/>
      <c r="K4" s="11"/>
      <c r="L4" s="11"/>
      <c r="M4" s="4"/>
      <c r="N4" s="4"/>
      <c r="O4" s="4"/>
      <c r="P4" s="4"/>
      <c r="Q4" s="4"/>
    </row>
    <row r="5" spans="1:17">
      <c r="A5" s="14">
        <v>1</v>
      </c>
      <c r="B5" s="15" t="s">
        <v>15</v>
      </c>
      <c r="C5" s="16">
        <f>'Медикаменты Февраль'!L5</f>
        <v>18</v>
      </c>
      <c r="D5" s="17"/>
      <c r="E5" s="14"/>
      <c r="F5" s="18"/>
      <c r="G5" s="19"/>
      <c r="H5" s="20"/>
      <c r="I5" s="21"/>
      <c r="J5" s="14"/>
      <c r="K5" s="14">
        <f t="shared" ref="K5:K68" si="0">SUM(F5:J5)</f>
        <v>0</v>
      </c>
      <c r="L5" s="16">
        <f t="shared" ref="L5:L68" si="1">(C5+E5)-K5</f>
        <v>18</v>
      </c>
      <c r="M5" s="22">
        <v>44531</v>
      </c>
      <c r="N5" s="44" t="s">
        <v>45</v>
      </c>
      <c r="O5" s="23" t="s">
        <v>16</v>
      </c>
      <c r="P5" s="24" t="s">
        <v>17</v>
      </c>
      <c r="Q5" s="23" t="s">
        <v>18</v>
      </c>
    </row>
    <row r="6" spans="1:17">
      <c r="A6" s="14">
        <v>2</v>
      </c>
      <c r="B6" s="15" t="s">
        <v>19</v>
      </c>
      <c r="C6" s="16">
        <f>'Медикаменты Февраль'!L6</f>
        <v>11</v>
      </c>
      <c r="D6" s="17"/>
      <c r="E6" s="14"/>
      <c r="F6" s="18"/>
      <c r="G6" s="19"/>
      <c r="H6" s="20"/>
      <c r="I6" s="21"/>
      <c r="J6" s="14"/>
      <c r="K6" s="14">
        <f t="shared" si="0"/>
        <v>0</v>
      </c>
      <c r="L6" s="16">
        <f t="shared" si="1"/>
        <v>11</v>
      </c>
      <c r="M6" s="22">
        <v>44593</v>
      </c>
      <c r="N6" s="44" t="s">
        <v>45</v>
      </c>
      <c r="O6" s="23" t="s">
        <v>16</v>
      </c>
      <c r="P6" s="24" t="s">
        <v>17</v>
      </c>
      <c r="Q6" s="23" t="s">
        <v>20</v>
      </c>
    </row>
    <row r="7" spans="1:17">
      <c r="A7" s="14">
        <v>3</v>
      </c>
      <c r="B7" s="15" t="s">
        <v>21</v>
      </c>
      <c r="C7" s="16">
        <f>'Медикаменты Февраль'!L7</f>
        <v>287</v>
      </c>
      <c r="D7" s="17"/>
      <c r="E7" s="14"/>
      <c r="F7" s="18">
        <f>5+8+20</f>
        <v>33</v>
      </c>
      <c r="G7" s="19"/>
      <c r="H7" s="20"/>
      <c r="I7" s="21"/>
      <c r="J7" s="14"/>
      <c r="K7" s="14">
        <f t="shared" si="0"/>
        <v>33</v>
      </c>
      <c r="L7" s="16">
        <f t="shared" si="1"/>
        <v>254</v>
      </c>
      <c r="M7" s="22">
        <v>45566</v>
      </c>
      <c r="N7" s="44" t="s">
        <v>45</v>
      </c>
      <c r="O7" s="23" t="s">
        <v>16</v>
      </c>
      <c r="P7" s="24" t="s">
        <v>17</v>
      </c>
      <c r="Q7" s="23" t="s">
        <v>22</v>
      </c>
    </row>
    <row r="8" spans="1:17">
      <c r="A8" s="14">
        <v>4</v>
      </c>
      <c r="B8" s="15" t="s">
        <v>23</v>
      </c>
      <c r="C8" s="16">
        <f>'Медикаменты Февраль'!L8</f>
        <v>0</v>
      </c>
      <c r="D8" s="17"/>
      <c r="E8" s="14"/>
      <c r="F8" s="18"/>
      <c r="G8" s="19"/>
      <c r="H8" s="20"/>
      <c r="I8" s="21"/>
      <c r="J8" s="14"/>
      <c r="K8" s="14">
        <f t="shared" si="0"/>
        <v>0</v>
      </c>
      <c r="L8" s="16">
        <f t="shared" si="1"/>
        <v>0</v>
      </c>
      <c r="M8" s="22"/>
      <c r="N8" s="44"/>
      <c r="O8" s="23" t="s">
        <v>16</v>
      </c>
      <c r="P8" s="24"/>
      <c r="Q8" s="23"/>
    </row>
    <row r="9" spans="1:17">
      <c r="A9" s="14">
        <v>5</v>
      </c>
      <c r="B9" s="15" t="s">
        <v>24</v>
      </c>
      <c r="C9" s="16">
        <f>'Медикаменты Февраль'!L9</f>
        <v>0</v>
      </c>
      <c r="D9" s="17"/>
      <c r="E9" s="14"/>
      <c r="F9" s="18"/>
      <c r="G9" s="19"/>
      <c r="H9" s="20"/>
      <c r="I9" s="21"/>
      <c r="J9" s="14"/>
      <c r="K9" s="14">
        <f t="shared" si="0"/>
        <v>0</v>
      </c>
      <c r="L9" s="16">
        <f t="shared" si="1"/>
        <v>0</v>
      </c>
      <c r="M9" s="22">
        <v>44866</v>
      </c>
      <c r="N9" s="44"/>
      <c r="O9" s="23" t="s">
        <v>16</v>
      </c>
      <c r="P9" s="24" t="s">
        <v>17</v>
      </c>
      <c r="Q9" s="23" t="s">
        <v>25</v>
      </c>
    </row>
    <row r="10" spans="1:17">
      <c r="A10" s="14">
        <v>6</v>
      </c>
      <c r="B10" s="15" t="s">
        <v>24</v>
      </c>
      <c r="C10" s="16">
        <f>'Медикаменты Февраль'!L10</f>
        <v>0</v>
      </c>
      <c r="D10" s="17"/>
      <c r="E10" s="14"/>
      <c r="F10" s="18"/>
      <c r="G10" s="19"/>
      <c r="H10" s="20"/>
      <c r="I10" s="21"/>
      <c r="J10" s="14"/>
      <c r="K10" s="14">
        <f t="shared" si="0"/>
        <v>0</v>
      </c>
      <c r="L10" s="16">
        <f t="shared" si="1"/>
        <v>0</v>
      </c>
      <c r="M10" s="22"/>
      <c r="N10" s="44"/>
      <c r="O10" s="23" t="s">
        <v>26</v>
      </c>
      <c r="P10" s="24"/>
      <c r="Q10" s="25"/>
    </row>
    <row r="11" spans="1:17">
      <c r="A11" s="14">
        <v>7</v>
      </c>
      <c r="B11" s="15" t="s">
        <v>27</v>
      </c>
      <c r="C11" s="16">
        <f>'Медикаменты Февраль'!L11</f>
        <v>392</v>
      </c>
      <c r="D11" s="17"/>
      <c r="E11" s="14"/>
      <c r="F11" s="18">
        <f>85+42+30</f>
        <v>157</v>
      </c>
      <c r="G11" s="19"/>
      <c r="H11" s="20"/>
      <c r="I11" s="21"/>
      <c r="J11" s="14"/>
      <c r="K11" s="14">
        <f t="shared" si="0"/>
        <v>157</v>
      </c>
      <c r="L11" s="16">
        <f t="shared" si="1"/>
        <v>235</v>
      </c>
      <c r="M11" s="22">
        <v>44805</v>
      </c>
      <c r="N11" s="44" t="s">
        <v>45</v>
      </c>
      <c r="O11" s="23" t="s">
        <v>16</v>
      </c>
      <c r="P11" s="24" t="s">
        <v>17</v>
      </c>
      <c r="Q11" s="23" t="s">
        <v>28</v>
      </c>
    </row>
    <row r="12" spans="1:17">
      <c r="A12" s="14">
        <v>8</v>
      </c>
      <c r="B12" s="15" t="s">
        <v>27</v>
      </c>
      <c r="C12" s="16">
        <f>'Медикаменты Февраль'!L12</f>
        <v>0</v>
      </c>
      <c r="D12" s="17"/>
      <c r="E12" s="14"/>
      <c r="F12" s="18"/>
      <c r="G12" s="19"/>
      <c r="H12" s="20"/>
      <c r="I12" s="21"/>
      <c r="J12" s="14"/>
      <c r="K12" s="14">
        <f t="shared" si="0"/>
        <v>0</v>
      </c>
      <c r="L12" s="16">
        <f t="shared" si="1"/>
        <v>0</v>
      </c>
      <c r="M12" s="22"/>
      <c r="N12" s="44"/>
      <c r="O12" s="23" t="s">
        <v>26</v>
      </c>
      <c r="P12" s="24"/>
      <c r="Q12" s="25"/>
    </row>
    <row r="13" spans="1:17">
      <c r="A13" s="14">
        <v>9</v>
      </c>
      <c r="B13" s="15" t="s">
        <v>29</v>
      </c>
      <c r="C13" s="16">
        <f>'Медикаменты Февраль'!L13</f>
        <v>17</v>
      </c>
      <c r="D13" s="17"/>
      <c r="E13" s="14"/>
      <c r="F13" s="18"/>
      <c r="G13" s="19"/>
      <c r="H13" s="20"/>
      <c r="I13" s="21"/>
      <c r="J13" s="14"/>
      <c r="K13" s="14">
        <f t="shared" si="0"/>
        <v>0</v>
      </c>
      <c r="L13" s="16">
        <f t="shared" si="1"/>
        <v>17</v>
      </c>
      <c r="M13" s="22">
        <v>44835</v>
      </c>
      <c r="N13" s="44" t="s">
        <v>45</v>
      </c>
      <c r="O13" s="23" t="s">
        <v>16</v>
      </c>
      <c r="P13" s="24" t="s">
        <v>17</v>
      </c>
      <c r="Q13" s="23" t="s">
        <v>30</v>
      </c>
    </row>
    <row r="14" spans="1:17">
      <c r="A14" s="14">
        <v>10</v>
      </c>
      <c r="B14" s="15" t="s">
        <v>31</v>
      </c>
      <c r="C14" s="16">
        <f>'Медикаменты Февраль'!L14</f>
        <v>151</v>
      </c>
      <c r="D14" s="26"/>
      <c r="E14" s="14"/>
      <c r="F14" s="18">
        <f>5+5+10</f>
        <v>20</v>
      </c>
      <c r="G14" s="19"/>
      <c r="H14" s="20"/>
      <c r="I14" s="21"/>
      <c r="J14" s="14"/>
      <c r="K14" s="14">
        <f t="shared" si="0"/>
        <v>20</v>
      </c>
      <c r="L14" s="16">
        <f t="shared" si="1"/>
        <v>131</v>
      </c>
      <c r="M14" s="22">
        <v>44621</v>
      </c>
      <c r="N14" s="44" t="s">
        <v>45</v>
      </c>
      <c r="O14" s="23" t="s">
        <v>16</v>
      </c>
      <c r="P14" s="24" t="s">
        <v>17</v>
      </c>
      <c r="Q14" s="23" t="s">
        <v>32</v>
      </c>
    </row>
    <row r="15" spans="1:17">
      <c r="A15" s="14">
        <v>11</v>
      </c>
      <c r="B15" s="15" t="s">
        <v>31</v>
      </c>
      <c r="C15" s="16">
        <f>'Медикаменты Февраль'!L15</f>
        <v>0</v>
      </c>
      <c r="D15" s="17"/>
      <c r="E15" s="14"/>
      <c r="F15" s="18"/>
      <c r="G15" s="19"/>
      <c r="H15" s="20"/>
      <c r="I15" s="21"/>
      <c r="J15" s="14"/>
      <c r="K15" s="14">
        <f t="shared" si="0"/>
        <v>0</v>
      </c>
      <c r="L15" s="16">
        <f t="shared" si="1"/>
        <v>0</v>
      </c>
      <c r="M15" s="22"/>
      <c r="N15" s="44"/>
      <c r="O15" s="23" t="s">
        <v>26</v>
      </c>
      <c r="P15" s="24"/>
      <c r="Q15" s="25"/>
    </row>
    <row r="16" spans="1:17" ht="25.5">
      <c r="A16" s="14">
        <v>12</v>
      </c>
      <c r="B16" s="15" t="s">
        <v>33</v>
      </c>
      <c r="C16" s="16">
        <f>'Медикаменты Февраль'!L16</f>
        <v>3</v>
      </c>
      <c r="D16" s="17"/>
      <c r="E16" s="14"/>
      <c r="F16" s="18"/>
      <c r="G16" s="19"/>
      <c r="H16" s="20"/>
      <c r="I16" s="21"/>
      <c r="J16" s="14"/>
      <c r="K16" s="14">
        <f t="shared" si="0"/>
        <v>0</v>
      </c>
      <c r="L16" s="16">
        <f t="shared" si="1"/>
        <v>3</v>
      </c>
      <c r="M16" s="22">
        <v>44501</v>
      </c>
      <c r="N16" s="44" t="s">
        <v>45</v>
      </c>
      <c r="O16" s="23" t="s">
        <v>16</v>
      </c>
      <c r="P16" s="24" t="s">
        <v>17</v>
      </c>
      <c r="Q16" s="23" t="s">
        <v>34</v>
      </c>
    </row>
    <row r="17" spans="1:17">
      <c r="A17" s="14">
        <v>13</v>
      </c>
      <c r="B17" s="15" t="s">
        <v>35</v>
      </c>
      <c r="C17" s="16">
        <f>'Медикаменты Февраль'!L17</f>
        <v>50</v>
      </c>
      <c r="D17" s="17"/>
      <c r="E17" s="14"/>
      <c r="F17" s="18">
        <f>5</f>
        <v>5</v>
      </c>
      <c r="G17" s="19"/>
      <c r="H17" s="20"/>
      <c r="I17" s="21"/>
      <c r="J17" s="14"/>
      <c r="K17" s="14">
        <f t="shared" si="0"/>
        <v>5</v>
      </c>
      <c r="L17" s="16">
        <f t="shared" si="1"/>
        <v>45</v>
      </c>
      <c r="M17" s="22">
        <v>44621</v>
      </c>
      <c r="N17" s="44" t="s">
        <v>45</v>
      </c>
      <c r="O17" s="23" t="s">
        <v>16</v>
      </c>
      <c r="P17" s="24" t="s">
        <v>17</v>
      </c>
      <c r="Q17" s="23" t="s">
        <v>36</v>
      </c>
    </row>
    <row r="18" spans="1:17">
      <c r="A18" s="14">
        <v>14</v>
      </c>
      <c r="B18" s="15" t="s">
        <v>37</v>
      </c>
      <c r="C18" s="16">
        <f>'Медикаменты Февраль'!L18</f>
        <v>137</v>
      </c>
      <c r="D18" s="17"/>
      <c r="E18" s="14"/>
      <c r="F18" s="18">
        <f>3</f>
        <v>3</v>
      </c>
      <c r="G18" s="19"/>
      <c r="H18" s="20"/>
      <c r="I18" s="21"/>
      <c r="J18" s="14"/>
      <c r="K18" s="14">
        <f t="shared" si="0"/>
        <v>3</v>
      </c>
      <c r="L18" s="16">
        <f t="shared" si="1"/>
        <v>134</v>
      </c>
      <c r="M18" s="22">
        <v>44348</v>
      </c>
      <c r="N18" s="44" t="s">
        <v>45</v>
      </c>
      <c r="O18" s="23" t="s">
        <v>16</v>
      </c>
      <c r="P18" s="24" t="s">
        <v>17</v>
      </c>
      <c r="Q18" s="23" t="s">
        <v>38</v>
      </c>
    </row>
    <row r="19" spans="1:17">
      <c r="A19" s="14">
        <v>15</v>
      </c>
      <c r="B19" s="15" t="s">
        <v>39</v>
      </c>
      <c r="C19" s="16">
        <f>'Медикаменты Февраль'!L19</f>
        <v>6</v>
      </c>
      <c r="D19" s="17"/>
      <c r="E19" s="14"/>
      <c r="F19" s="18">
        <f>3</f>
        <v>3</v>
      </c>
      <c r="G19" s="19"/>
      <c r="H19" s="20"/>
      <c r="I19" s="21"/>
      <c r="J19" s="14"/>
      <c r="K19" s="14">
        <f t="shared" si="0"/>
        <v>3</v>
      </c>
      <c r="L19" s="16">
        <f t="shared" si="1"/>
        <v>3</v>
      </c>
      <c r="M19" s="22">
        <v>44409</v>
      </c>
      <c r="N19" s="44" t="s">
        <v>45</v>
      </c>
      <c r="O19" s="23" t="s">
        <v>16</v>
      </c>
      <c r="P19" s="24" t="s">
        <v>17</v>
      </c>
      <c r="Q19" s="23" t="s">
        <v>40</v>
      </c>
    </row>
    <row r="20" spans="1:17" ht="25.5">
      <c r="A20" s="14">
        <v>16</v>
      </c>
      <c r="B20" s="15" t="s">
        <v>41</v>
      </c>
      <c r="C20" s="16">
        <f>'Медикаменты Февраль'!L20</f>
        <v>16</v>
      </c>
      <c r="D20" s="17"/>
      <c r="E20" s="14"/>
      <c r="F20" s="18">
        <f>6</f>
        <v>6</v>
      </c>
      <c r="G20" s="19"/>
      <c r="H20" s="20"/>
      <c r="I20" s="21"/>
      <c r="J20" s="14"/>
      <c r="K20" s="14">
        <f t="shared" si="0"/>
        <v>6</v>
      </c>
      <c r="L20" s="16">
        <f t="shared" si="1"/>
        <v>10</v>
      </c>
      <c r="M20" s="22">
        <v>44743</v>
      </c>
      <c r="N20" s="44" t="s">
        <v>551</v>
      </c>
      <c r="O20" s="23" t="s">
        <v>16</v>
      </c>
      <c r="P20" s="24" t="s">
        <v>17</v>
      </c>
      <c r="Q20" s="23" t="s">
        <v>42</v>
      </c>
    </row>
    <row r="21" spans="1:17">
      <c r="A21" s="14">
        <v>17</v>
      </c>
      <c r="B21" s="15" t="s">
        <v>43</v>
      </c>
      <c r="C21" s="16">
        <f>'Медикаменты Февраль'!L21</f>
        <v>0</v>
      </c>
      <c r="D21" s="17"/>
      <c r="E21" s="14"/>
      <c r="F21" s="18"/>
      <c r="G21" s="19"/>
      <c r="H21" s="20"/>
      <c r="I21" s="21"/>
      <c r="J21" s="14"/>
      <c r="K21" s="14">
        <f t="shared" si="0"/>
        <v>0</v>
      </c>
      <c r="L21" s="16">
        <f t="shared" si="1"/>
        <v>0</v>
      </c>
      <c r="M21" s="22"/>
      <c r="N21" s="44"/>
      <c r="O21" s="23" t="s">
        <v>16</v>
      </c>
      <c r="P21" s="24"/>
      <c r="Q21" s="25"/>
    </row>
    <row r="22" spans="1:17">
      <c r="A22" s="14">
        <v>18</v>
      </c>
      <c r="B22" s="15" t="s">
        <v>44</v>
      </c>
      <c r="C22" s="16">
        <f>'Медикаменты Февраль'!L22</f>
        <v>4</v>
      </c>
      <c r="D22" s="17"/>
      <c r="E22" s="14"/>
      <c r="F22" s="18"/>
      <c r="G22" s="19"/>
      <c r="H22" s="20"/>
      <c r="I22" s="21"/>
      <c r="J22" s="14"/>
      <c r="K22" s="14">
        <f t="shared" si="0"/>
        <v>0</v>
      </c>
      <c r="L22" s="16">
        <f t="shared" si="1"/>
        <v>4</v>
      </c>
      <c r="M22" s="22">
        <v>44621</v>
      </c>
      <c r="N22" s="44" t="s">
        <v>45</v>
      </c>
      <c r="O22" s="23" t="s">
        <v>16</v>
      </c>
      <c r="P22" s="24" t="s">
        <v>45</v>
      </c>
      <c r="Q22" s="23" t="s">
        <v>46</v>
      </c>
    </row>
    <row r="23" spans="1:17">
      <c r="A23" s="14">
        <v>19</v>
      </c>
      <c r="B23" s="15" t="s">
        <v>44</v>
      </c>
      <c r="C23" s="16">
        <f>'Медикаменты Февраль'!L23</f>
        <v>0</v>
      </c>
      <c r="D23" s="17"/>
      <c r="E23" s="14"/>
      <c r="F23" s="18"/>
      <c r="G23" s="19"/>
      <c r="H23" s="20"/>
      <c r="I23" s="21"/>
      <c r="J23" s="14"/>
      <c r="K23" s="14">
        <f t="shared" si="0"/>
        <v>0</v>
      </c>
      <c r="L23" s="16">
        <f t="shared" si="1"/>
        <v>0</v>
      </c>
      <c r="M23" s="22">
        <v>44621</v>
      </c>
      <c r="N23" s="44"/>
      <c r="O23" s="23" t="s">
        <v>26</v>
      </c>
      <c r="P23" s="24"/>
      <c r="Q23" s="23" t="s">
        <v>46</v>
      </c>
    </row>
    <row r="24" spans="1:17">
      <c r="A24" s="14">
        <v>20</v>
      </c>
      <c r="B24" s="15" t="s">
        <v>47</v>
      </c>
      <c r="C24" s="16">
        <f>'Медикаменты Февраль'!L24</f>
        <v>179</v>
      </c>
      <c r="D24" s="17"/>
      <c r="E24" s="14"/>
      <c r="F24" s="18"/>
      <c r="G24" s="19"/>
      <c r="H24" s="20"/>
      <c r="I24" s="21"/>
      <c r="J24" s="14"/>
      <c r="K24" s="14">
        <f t="shared" si="0"/>
        <v>0</v>
      </c>
      <c r="L24" s="16">
        <f t="shared" si="1"/>
        <v>179</v>
      </c>
      <c r="M24" s="22">
        <v>44348</v>
      </c>
      <c r="N24" s="44" t="s">
        <v>45</v>
      </c>
      <c r="O24" s="23" t="s">
        <v>16</v>
      </c>
      <c r="P24" s="24" t="s">
        <v>45</v>
      </c>
      <c r="Q24" s="23" t="s">
        <v>48</v>
      </c>
    </row>
    <row r="25" spans="1:17">
      <c r="A25" s="14">
        <v>21</v>
      </c>
      <c r="B25" s="15" t="s">
        <v>49</v>
      </c>
      <c r="C25" s="16">
        <f>'Медикаменты Февраль'!L25</f>
        <v>0</v>
      </c>
      <c r="D25" s="17"/>
      <c r="E25" s="14"/>
      <c r="F25" s="18"/>
      <c r="G25" s="19"/>
      <c r="H25" s="20"/>
      <c r="I25" s="21"/>
      <c r="J25" s="14"/>
      <c r="K25" s="14">
        <f t="shared" si="0"/>
        <v>0</v>
      </c>
      <c r="L25" s="16">
        <f t="shared" si="1"/>
        <v>0</v>
      </c>
      <c r="M25" s="22">
        <v>44652</v>
      </c>
      <c r="N25" s="44"/>
      <c r="O25" s="23" t="s">
        <v>16</v>
      </c>
      <c r="P25" s="24"/>
      <c r="Q25" s="23" t="s">
        <v>50</v>
      </c>
    </row>
    <row r="26" spans="1:17">
      <c r="A26" s="14">
        <v>22</v>
      </c>
      <c r="B26" s="15" t="s">
        <v>51</v>
      </c>
      <c r="C26" s="16">
        <f>'Медикаменты Февраль'!L26</f>
        <v>17</v>
      </c>
      <c r="D26" s="17"/>
      <c r="E26" s="14"/>
      <c r="F26" s="18">
        <f>17</f>
        <v>17</v>
      </c>
      <c r="G26" s="19"/>
      <c r="H26" s="20"/>
      <c r="I26" s="21"/>
      <c r="J26" s="14"/>
      <c r="K26" s="14">
        <f t="shared" si="0"/>
        <v>17</v>
      </c>
      <c r="L26" s="16">
        <f t="shared" si="1"/>
        <v>0</v>
      </c>
      <c r="M26" s="22">
        <v>44317</v>
      </c>
      <c r="N26" s="44"/>
      <c r="O26" s="23" t="s">
        <v>16</v>
      </c>
      <c r="P26" s="24" t="s">
        <v>17</v>
      </c>
      <c r="Q26" s="23" t="s">
        <v>52</v>
      </c>
    </row>
    <row r="27" spans="1:17">
      <c r="A27" s="14">
        <v>23</v>
      </c>
      <c r="B27" s="15" t="s">
        <v>53</v>
      </c>
      <c r="C27" s="16">
        <f>'Медикаменты Февраль'!L27</f>
        <v>0</v>
      </c>
      <c r="D27" s="17"/>
      <c r="E27" s="14"/>
      <c r="F27" s="18"/>
      <c r="G27" s="19"/>
      <c r="H27" s="20"/>
      <c r="I27" s="21"/>
      <c r="J27" s="14"/>
      <c r="K27" s="14">
        <f t="shared" si="0"/>
        <v>0</v>
      </c>
      <c r="L27" s="16">
        <f t="shared" si="1"/>
        <v>0</v>
      </c>
      <c r="M27" s="22"/>
      <c r="N27" s="44"/>
      <c r="O27" s="23" t="s">
        <v>16</v>
      </c>
      <c r="P27" s="24"/>
      <c r="Q27" s="25"/>
    </row>
    <row r="28" spans="1:17">
      <c r="A28" s="14">
        <v>24</v>
      </c>
      <c r="B28" s="15" t="s">
        <v>54</v>
      </c>
      <c r="C28" s="16">
        <f>'Медикаменты Февраль'!L28</f>
        <v>0</v>
      </c>
      <c r="D28" s="17"/>
      <c r="E28" s="14"/>
      <c r="F28" s="18"/>
      <c r="G28" s="19"/>
      <c r="H28" s="20"/>
      <c r="I28" s="21"/>
      <c r="J28" s="14"/>
      <c r="K28" s="14">
        <f t="shared" si="0"/>
        <v>0</v>
      </c>
      <c r="L28" s="16">
        <f t="shared" si="1"/>
        <v>0</v>
      </c>
      <c r="M28" s="22"/>
      <c r="N28" s="44"/>
      <c r="O28" s="23" t="s">
        <v>16</v>
      </c>
      <c r="P28" s="24"/>
      <c r="Q28" s="25"/>
    </row>
    <row r="29" spans="1:17">
      <c r="A29" s="14">
        <v>25</v>
      </c>
      <c r="B29" s="15" t="s">
        <v>55</v>
      </c>
      <c r="C29" s="16">
        <f>'Медикаменты Февраль'!L29</f>
        <v>0</v>
      </c>
      <c r="D29" s="17"/>
      <c r="E29" s="14"/>
      <c r="F29" s="18"/>
      <c r="G29" s="19"/>
      <c r="H29" s="20"/>
      <c r="I29" s="21"/>
      <c r="J29" s="14"/>
      <c r="K29" s="14">
        <f t="shared" si="0"/>
        <v>0</v>
      </c>
      <c r="L29" s="16">
        <f t="shared" si="1"/>
        <v>0</v>
      </c>
      <c r="M29" s="22"/>
      <c r="N29" s="44"/>
      <c r="O29" s="23" t="s">
        <v>16</v>
      </c>
      <c r="P29" s="24"/>
      <c r="Q29" s="25"/>
    </row>
    <row r="30" spans="1:17">
      <c r="A30" s="14">
        <v>26</v>
      </c>
      <c r="B30" s="15" t="s">
        <v>56</v>
      </c>
      <c r="C30" s="16">
        <f>'Медикаменты Февраль'!L30</f>
        <v>0</v>
      </c>
      <c r="D30" s="17"/>
      <c r="E30" s="14"/>
      <c r="F30" s="18"/>
      <c r="G30" s="19"/>
      <c r="H30" s="20"/>
      <c r="I30" s="21"/>
      <c r="J30" s="14"/>
      <c r="K30" s="14">
        <f t="shared" si="0"/>
        <v>0</v>
      </c>
      <c r="L30" s="16">
        <f t="shared" si="1"/>
        <v>0</v>
      </c>
      <c r="M30" s="22">
        <v>44743</v>
      </c>
      <c r="N30" s="44"/>
      <c r="O30" s="23" t="s">
        <v>16</v>
      </c>
      <c r="P30" s="24"/>
      <c r="Q30" s="25"/>
    </row>
    <row r="31" spans="1:17">
      <c r="A31" s="14">
        <v>27</v>
      </c>
      <c r="B31" s="15" t="s">
        <v>57</v>
      </c>
      <c r="C31" s="16">
        <f>'Медикаменты Февраль'!L31</f>
        <v>0</v>
      </c>
      <c r="D31" s="17"/>
      <c r="E31" s="14"/>
      <c r="F31" s="18"/>
      <c r="G31" s="19"/>
      <c r="H31" s="20"/>
      <c r="I31" s="21"/>
      <c r="J31" s="14"/>
      <c r="K31" s="14">
        <f t="shared" si="0"/>
        <v>0</v>
      </c>
      <c r="L31" s="16">
        <f t="shared" si="1"/>
        <v>0</v>
      </c>
      <c r="M31" s="22">
        <v>44958</v>
      </c>
      <c r="N31" s="44"/>
      <c r="O31" s="23" t="s">
        <v>16</v>
      </c>
      <c r="P31" s="24"/>
      <c r="Q31" s="23" t="s">
        <v>58</v>
      </c>
    </row>
    <row r="32" spans="1:17" ht="25.5">
      <c r="A32" s="14">
        <v>28</v>
      </c>
      <c r="B32" s="15" t="s">
        <v>59</v>
      </c>
      <c r="C32" s="16">
        <f>'Медикаменты Февраль'!L32</f>
        <v>0</v>
      </c>
      <c r="D32" s="17"/>
      <c r="E32" s="14"/>
      <c r="F32" s="18"/>
      <c r="G32" s="19"/>
      <c r="H32" s="20"/>
      <c r="I32" s="21"/>
      <c r="J32" s="14"/>
      <c r="K32" s="14">
        <f t="shared" si="0"/>
        <v>0</v>
      </c>
      <c r="L32" s="16">
        <f t="shared" si="1"/>
        <v>0</v>
      </c>
      <c r="M32" s="22">
        <v>44044</v>
      </c>
      <c r="N32" s="44"/>
      <c r="O32" s="23" t="s">
        <v>16</v>
      </c>
      <c r="P32" s="24"/>
      <c r="Q32" s="23" t="s">
        <v>60</v>
      </c>
    </row>
    <row r="33" spans="1:17">
      <c r="A33" s="14">
        <v>29</v>
      </c>
      <c r="B33" s="15" t="s">
        <v>61</v>
      </c>
      <c r="C33" s="16">
        <f>'Медикаменты Февраль'!L33</f>
        <v>0</v>
      </c>
      <c r="D33" s="17"/>
      <c r="E33" s="14"/>
      <c r="F33" s="18"/>
      <c r="G33" s="19"/>
      <c r="H33" s="20"/>
      <c r="I33" s="21"/>
      <c r="J33" s="14"/>
      <c r="K33" s="14">
        <f t="shared" si="0"/>
        <v>0</v>
      </c>
      <c r="L33" s="16">
        <f t="shared" si="1"/>
        <v>0</v>
      </c>
      <c r="M33" s="22">
        <v>44713</v>
      </c>
      <c r="N33" s="44"/>
      <c r="O33" s="23" t="s">
        <v>16</v>
      </c>
      <c r="P33" s="24"/>
      <c r="Q33" s="23" t="s">
        <v>62</v>
      </c>
    </row>
    <row r="34" spans="1:17">
      <c r="A34" s="14">
        <v>30</v>
      </c>
      <c r="B34" s="15" t="s">
        <v>63</v>
      </c>
      <c r="C34" s="16">
        <f>'Медикаменты Февраль'!L34</f>
        <v>0</v>
      </c>
      <c r="D34" s="17"/>
      <c r="E34" s="14"/>
      <c r="F34" s="18"/>
      <c r="G34" s="19"/>
      <c r="H34" s="20"/>
      <c r="I34" s="21"/>
      <c r="J34" s="14"/>
      <c r="K34" s="14">
        <f t="shared" si="0"/>
        <v>0</v>
      </c>
      <c r="L34" s="16">
        <f t="shared" si="1"/>
        <v>0</v>
      </c>
      <c r="M34" s="22"/>
      <c r="N34" s="44"/>
      <c r="O34" s="23" t="s">
        <v>16</v>
      </c>
      <c r="P34" s="24"/>
      <c r="Q34" s="25"/>
    </row>
    <row r="35" spans="1:17">
      <c r="A35" s="14">
        <v>31</v>
      </c>
      <c r="B35" s="15" t="s">
        <v>64</v>
      </c>
      <c r="C35" s="16">
        <f>'Медикаменты Февраль'!L35</f>
        <v>0</v>
      </c>
      <c r="D35" s="17"/>
      <c r="E35" s="14"/>
      <c r="F35" s="18"/>
      <c r="G35" s="19"/>
      <c r="H35" s="20"/>
      <c r="I35" s="21"/>
      <c r="J35" s="14"/>
      <c r="K35" s="14">
        <f t="shared" si="0"/>
        <v>0</v>
      </c>
      <c r="L35" s="16">
        <f t="shared" si="1"/>
        <v>0</v>
      </c>
      <c r="M35" s="22"/>
      <c r="N35" s="44"/>
      <c r="O35" s="23" t="s">
        <v>16</v>
      </c>
      <c r="P35" s="24"/>
      <c r="Q35" s="25"/>
    </row>
    <row r="36" spans="1:17">
      <c r="A36" s="14">
        <v>32</v>
      </c>
      <c r="B36" s="15" t="s">
        <v>65</v>
      </c>
      <c r="C36" s="16">
        <f>'Медикаменты Февраль'!L36</f>
        <v>86</v>
      </c>
      <c r="D36" s="17"/>
      <c r="E36" s="14"/>
      <c r="F36" s="18"/>
      <c r="G36" s="19"/>
      <c r="H36" s="20"/>
      <c r="I36" s="21"/>
      <c r="J36" s="14"/>
      <c r="K36" s="14">
        <f t="shared" si="0"/>
        <v>0</v>
      </c>
      <c r="L36" s="16">
        <f t="shared" si="1"/>
        <v>86</v>
      </c>
      <c r="M36" s="22">
        <v>45261</v>
      </c>
      <c r="N36" s="44" t="s">
        <v>45</v>
      </c>
      <c r="O36" s="23" t="s">
        <v>16</v>
      </c>
      <c r="P36" s="24" t="s">
        <v>17</v>
      </c>
      <c r="Q36" s="23" t="s">
        <v>66</v>
      </c>
    </row>
    <row r="37" spans="1:17">
      <c r="A37" s="14">
        <v>33</v>
      </c>
      <c r="B37" s="15" t="s">
        <v>67</v>
      </c>
      <c r="C37" s="16">
        <f>'Медикаменты Февраль'!L37</f>
        <v>0</v>
      </c>
      <c r="D37" s="17"/>
      <c r="E37" s="14"/>
      <c r="F37" s="18"/>
      <c r="G37" s="19"/>
      <c r="H37" s="20"/>
      <c r="I37" s="21"/>
      <c r="J37" s="14"/>
      <c r="K37" s="14">
        <f t="shared" si="0"/>
        <v>0</v>
      </c>
      <c r="L37" s="16">
        <f t="shared" si="1"/>
        <v>0</v>
      </c>
      <c r="M37" s="22">
        <v>44013</v>
      </c>
      <c r="N37" s="44"/>
      <c r="O37" s="23" t="s">
        <v>16</v>
      </c>
      <c r="P37" s="24"/>
      <c r="Q37" s="27" t="s">
        <v>68</v>
      </c>
    </row>
    <row r="38" spans="1:17">
      <c r="A38" s="14">
        <v>34</v>
      </c>
      <c r="B38" s="15" t="s">
        <v>69</v>
      </c>
      <c r="C38" s="16">
        <f>'Медикаменты Февраль'!L38</f>
        <v>24</v>
      </c>
      <c r="D38" s="17"/>
      <c r="E38" s="14"/>
      <c r="F38" s="18"/>
      <c r="G38" s="19"/>
      <c r="H38" s="20"/>
      <c r="I38" s="21"/>
      <c r="J38" s="14"/>
      <c r="K38" s="14">
        <f t="shared" si="0"/>
        <v>0</v>
      </c>
      <c r="L38" s="16">
        <f t="shared" si="1"/>
        <v>24</v>
      </c>
      <c r="M38" s="22">
        <v>45383</v>
      </c>
      <c r="N38" s="44" t="s">
        <v>45</v>
      </c>
      <c r="O38" s="23" t="s">
        <v>16</v>
      </c>
      <c r="P38" s="24" t="s">
        <v>17</v>
      </c>
      <c r="Q38" s="23" t="s">
        <v>70</v>
      </c>
    </row>
    <row r="39" spans="1:17">
      <c r="A39" s="14">
        <v>35</v>
      </c>
      <c r="B39" s="15" t="s">
        <v>71</v>
      </c>
      <c r="C39" s="16">
        <f>'Медикаменты Февраль'!L39</f>
        <v>0</v>
      </c>
      <c r="D39" s="17"/>
      <c r="E39" s="14"/>
      <c r="F39" s="18"/>
      <c r="G39" s="19"/>
      <c r="H39" s="20"/>
      <c r="I39" s="21"/>
      <c r="J39" s="14"/>
      <c r="K39" s="14">
        <f t="shared" si="0"/>
        <v>0</v>
      </c>
      <c r="L39" s="16">
        <f t="shared" si="1"/>
        <v>0</v>
      </c>
      <c r="M39" s="22"/>
      <c r="N39" s="44"/>
      <c r="O39" s="23" t="s">
        <v>16</v>
      </c>
      <c r="P39" s="24"/>
      <c r="Q39" s="25"/>
    </row>
    <row r="40" spans="1:17">
      <c r="A40" s="14">
        <v>36</v>
      </c>
      <c r="B40" s="15" t="s">
        <v>72</v>
      </c>
      <c r="C40" s="16">
        <f>'Медикаменты Февраль'!L40</f>
        <v>15</v>
      </c>
      <c r="D40" s="17"/>
      <c r="E40" s="14"/>
      <c r="F40" s="18"/>
      <c r="G40" s="19"/>
      <c r="H40" s="20"/>
      <c r="I40" s="21"/>
      <c r="J40" s="14"/>
      <c r="K40" s="14">
        <f t="shared" si="0"/>
        <v>0</v>
      </c>
      <c r="L40" s="16">
        <f t="shared" si="1"/>
        <v>15</v>
      </c>
      <c r="M40" s="22">
        <v>44652</v>
      </c>
      <c r="N40" s="44" t="s">
        <v>45</v>
      </c>
      <c r="O40" s="23" t="s">
        <v>16</v>
      </c>
      <c r="P40" s="24" t="s">
        <v>17</v>
      </c>
      <c r="Q40" s="23" t="s">
        <v>73</v>
      </c>
    </row>
    <row r="41" spans="1:17">
      <c r="A41" s="14">
        <v>37</v>
      </c>
      <c r="B41" s="15" t="s">
        <v>74</v>
      </c>
      <c r="C41" s="16">
        <f>'Медикаменты Февраль'!L41</f>
        <v>7</v>
      </c>
      <c r="D41" s="17"/>
      <c r="E41" s="14"/>
      <c r="F41" s="18">
        <f>3</f>
        <v>3</v>
      </c>
      <c r="G41" s="19"/>
      <c r="H41" s="20"/>
      <c r="I41" s="21"/>
      <c r="J41" s="14"/>
      <c r="K41" s="14">
        <f t="shared" si="0"/>
        <v>3</v>
      </c>
      <c r="L41" s="16">
        <f t="shared" si="1"/>
        <v>4</v>
      </c>
      <c r="M41" s="22">
        <v>45108</v>
      </c>
      <c r="N41" s="44" t="s">
        <v>45</v>
      </c>
      <c r="O41" s="23" t="s">
        <v>16</v>
      </c>
      <c r="P41" s="24" t="s">
        <v>17</v>
      </c>
      <c r="Q41" s="23" t="s">
        <v>75</v>
      </c>
    </row>
    <row r="42" spans="1:17">
      <c r="A42" s="14">
        <v>38</v>
      </c>
      <c r="B42" s="15" t="s">
        <v>76</v>
      </c>
      <c r="C42" s="16">
        <f>'Медикаменты Февраль'!L42</f>
        <v>0</v>
      </c>
      <c r="D42" s="17"/>
      <c r="E42" s="14"/>
      <c r="F42" s="18"/>
      <c r="G42" s="19"/>
      <c r="H42" s="20"/>
      <c r="I42" s="21"/>
      <c r="J42" s="14"/>
      <c r="K42" s="14">
        <f t="shared" si="0"/>
        <v>0</v>
      </c>
      <c r="L42" s="16">
        <f t="shared" si="1"/>
        <v>0</v>
      </c>
      <c r="M42" s="22"/>
      <c r="N42" s="44"/>
      <c r="O42" s="23" t="s">
        <v>16</v>
      </c>
      <c r="P42" s="24"/>
      <c r="Q42" s="25"/>
    </row>
    <row r="43" spans="1:17">
      <c r="A43" s="14">
        <v>39</v>
      </c>
      <c r="B43" s="15" t="s">
        <v>77</v>
      </c>
      <c r="C43" s="16">
        <f>'Медикаменты Февраль'!L43</f>
        <v>0</v>
      </c>
      <c r="D43" s="17"/>
      <c r="E43" s="14"/>
      <c r="F43" s="18"/>
      <c r="G43" s="19"/>
      <c r="H43" s="20"/>
      <c r="I43" s="21"/>
      <c r="J43" s="14"/>
      <c r="K43" s="14">
        <f t="shared" si="0"/>
        <v>0</v>
      </c>
      <c r="L43" s="16">
        <f t="shared" si="1"/>
        <v>0</v>
      </c>
      <c r="M43" s="22"/>
      <c r="N43" s="44"/>
      <c r="O43" s="23" t="s">
        <v>16</v>
      </c>
      <c r="P43" s="24"/>
      <c r="Q43" s="25"/>
    </row>
    <row r="44" spans="1:17">
      <c r="A44" s="14">
        <v>40</v>
      </c>
      <c r="B44" s="15" t="s">
        <v>78</v>
      </c>
      <c r="C44" s="16">
        <f>'Медикаменты Февраль'!L44</f>
        <v>0</v>
      </c>
      <c r="D44" s="17"/>
      <c r="E44" s="14"/>
      <c r="F44" s="18"/>
      <c r="G44" s="19"/>
      <c r="H44" s="20"/>
      <c r="I44" s="21"/>
      <c r="J44" s="14"/>
      <c r="K44" s="14">
        <f t="shared" si="0"/>
        <v>0</v>
      </c>
      <c r="L44" s="16">
        <f t="shared" si="1"/>
        <v>0</v>
      </c>
      <c r="M44" s="22">
        <v>44136</v>
      </c>
      <c r="N44" s="44"/>
      <c r="O44" s="23" t="s">
        <v>16</v>
      </c>
      <c r="P44" s="24"/>
      <c r="Q44" s="23" t="s">
        <v>79</v>
      </c>
    </row>
    <row r="45" spans="1:17">
      <c r="A45" s="14">
        <v>41</v>
      </c>
      <c r="B45" s="15" t="s">
        <v>80</v>
      </c>
      <c r="C45" s="16">
        <f>'Медикаменты Февраль'!L45</f>
        <v>0</v>
      </c>
      <c r="D45" s="17"/>
      <c r="E45" s="14"/>
      <c r="F45" s="18"/>
      <c r="G45" s="19"/>
      <c r="H45" s="20"/>
      <c r="I45" s="21"/>
      <c r="J45" s="14"/>
      <c r="K45" s="14">
        <f t="shared" si="0"/>
        <v>0</v>
      </c>
      <c r="L45" s="16">
        <f t="shared" si="1"/>
        <v>0</v>
      </c>
      <c r="M45" s="22">
        <v>44317</v>
      </c>
      <c r="N45" s="44"/>
      <c r="O45" s="23" t="s">
        <v>16</v>
      </c>
      <c r="P45" s="24" t="s">
        <v>17</v>
      </c>
      <c r="Q45" s="23" t="s">
        <v>81</v>
      </c>
    </row>
    <row r="46" spans="1:17">
      <c r="A46" s="14">
        <v>42</v>
      </c>
      <c r="B46" s="15" t="s">
        <v>82</v>
      </c>
      <c r="C46" s="16">
        <f>'Медикаменты Февраль'!L46</f>
        <v>0</v>
      </c>
      <c r="D46" s="17"/>
      <c r="E46" s="14"/>
      <c r="F46" s="18"/>
      <c r="G46" s="19"/>
      <c r="H46" s="20"/>
      <c r="I46" s="21"/>
      <c r="J46" s="14"/>
      <c r="K46" s="14">
        <f t="shared" si="0"/>
        <v>0</v>
      </c>
      <c r="L46" s="16">
        <f t="shared" si="1"/>
        <v>0</v>
      </c>
      <c r="M46" s="22"/>
      <c r="N46" s="44"/>
      <c r="O46" s="23" t="s">
        <v>16</v>
      </c>
      <c r="P46" s="24"/>
      <c r="Q46" s="25"/>
    </row>
    <row r="47" spans="1:17">
      <c r="A47" s="14">
        <v>43</v>
      </c>
      <c r="B47" s="15" t="s">
        <v>83</v>
      </c>
      <c r="C47" s="16">
        <f>'Медикаменты Февраль'!L47</f>
        <v>46</v>
      </c>
      <c r="D47" s="17"/>
      <c r="E47" s="14"/>
      <c r="F47" s="18">
        <f>15</f>
        <v>15</v>
      </c>
      <c r="G47" s="19">
        <f>10</f>
        <v>10</v>
      </c>
      <c r="H47" s="20"/>
      <c r="I47" s="21"/>
      <c r="J47" s="14"/>
      <c r="K47" s="14">
        <f t="shared" si="0"/>
        <v>25</v>
      </c>
      <c r="L47" s="16">
        <f t="shared" si="1"/>
        <v>21</v>
      </c>
      <c r="M47" s="22">
        <v>44317</v>
      </c>
      <c r="N47" s="44" t="s">
        <v>45</v>
      </c>
      <c r="O47" s="23" t="s">
        <v>16</v>
      </c>
      <c r="P47" s="24" t="s">
        <v>17</v>
      </c>
      <c r="Q47" s="23" t="s">
        <v>84</v>
      </c>
    </row>
    <row r="48" spans="1:17">
      <c r="A48" s="14">
        <v>44</v>
      </c>
      <c r="B48" s="15" t="s">
        <v>85</v>
      </c>
      <c r="C48" s="16">
        <f>'Медикаменты Февраль'!L48</f>
        <v>89</v>
      </c>
      <c r="D48" s="17"/>
      <c r="E48" s="14"/>
      <c r="F48" s="18">
        <f>5</f>
        <v>5</v>
      </c>
      <c r="G48" s="19"/>
      <c r="H48" s="20"/>
      <c r="I48" s="21"/>
      <c r="J48" s="14"/>
      <c r="K48" s="14">
        <f t="shared" si="0"/>
        <v>5</v>
      </c>
      <c r="L48" s="16">
        <f t="shared" si="1"/>
        <v>84</v>
      </c>
      <c r="M48" s="22">
        <v>44409</v>
      </c>
      <c r="N48" s="44" t="s">
        <v>45</v>
      </c>
      <c r="O48" s="23" t="s">
        <v>16</v>
      </c>
      <c r="P48" s="24" t="s">
        <v>17</v>
      </c>
      <c r="Q48" s="23" t="s">
        <v>86</v>
      </c>
    </row>
    <row r="49" spans="1:17">
      <c r="A49" s="14">
        <v>45</v>
      </c>
      <c r="B49" s="15" t="s">
        <v>87</v>
      </c>
      <c r="C49" s="16">
        <f>'Медикаменты Февраль'!L49</f>
        <v>0</v>
      </c>
      <c r="D49" s="17"/>
      <c r="E49" s="14"/>
      <c r="F49" s="18"/>
      <c r="G49" s="19"/>
      <c r="H49" s="20"/>
      <c r="I49" s="21"/>
      <c r="J49" s="14"/>
      <c r="K49" s="14">
        <f t="shared" si="0"/>
        <v>0</v>
      </c>
      <c r="L49" s="16">
        <f t="shared" si="1"/>
        <v>0</v>
      </c>
      <c r="M49" s="22">
        <v>44136</v>
      </c>
      <c r="N49" s="44"/>
      <c r="O49" s="23" t="s">
        <v>16</v>
      </c>
      <c r="P49" s="24"/>
      <c r="Q49" s="23" t="s">
        <v>88</v>
      </c>
    </row>
    <row r="50" spans="1:17">
      <c r="A50" s="14">
        <v>46</v>
      </c>
      <c r="B50" s="15" t="s">
        <v>89</v>
      </c>
      <c r="C50" s="16">
        <f>'Медикаменты Февраль'!L50</f>
        <v>0</v>
      </c>
      <c r="D50" s="17"/>
      <c r="E50" s="14"/>
      <c r="F50" s="18"/>
      <c r="G50" s="19"/>
      <c r="H50" s="20"/>
      <c r="I50" s="21"/>
      <c r="J50" s="14"/>
      <c r="K50" s="14">
        <f t="shared" si="0"/>
        <v>0</v>
      </c>
      <c r="L50" s="16">
        <f t="shared" si="1"/>
        <v>0</v>
      </c>
      <c r="M50" s="22">
        <v>44256</v>
      </c>
      <c r="N50" s="44"/>
      <c r="O50" s="23" t="s">
        <v>16</v>
      </c>
      <c r="P50" s="24" t="s">
        <v>17</v>
      </c>
      <c r="Q50" s="23" t="s">
        <v>90</v>
      </c>
    </row>
    <row r="51" spans="1:17">
      <c r="A51" s="14">
        <v>47</v>
      </c>
      <c r="B51" s="15" t="s">
        <v>91</v>
      </c>
      <c r="C51" s="16">
        <f>'Медикаменты Февраль'!L51</f>
        <v>132</v>
      </c>
      <c r="D51" s="17"/>
      <c r="E51" s="14"/>
      <c r="F51" s="18">
        <f>30</f>
        <v>30</v>
      </c>
      <c r="G51" s="19"/>
      <c r="H51" s="20">
        <f>33</f>
        <v>33</v>
      </c>
      <c r="I51" s="21"/>
      <c r="J51" s="14"/>
      <c r="K51" s="14">
        <f t="shared" si="0"/>
        <v>63</v>
      </c>
      <c r="L51" s="16">
        <f t="shared" si="1"/>
        <v>69</v>
      </c>
      <c r="M51" s="22">
        <v>44317</v>
      </c>
      <c r="N51" s="44" t="s">
        <v>45</v>
      </c>
      <c r="O51" s="23" t="s">
        <v>16</v>
      </c>
      <c r="P51" s="24" t="s">
        <v>17</v>
      </c>
      <c r="Q51" s="23" t="s">
        <v>92</v>
      </c>
    </row>
    <row r="52" spans="1:17">
      <c r="A52" s="14">
        <v>48</v>
      </c>
      <c r="B52" s="15" t="s">
        <v>93</v>
      </c>
      <c r="C52" s="16">
        <f>'Медикаменты Февраль'!L52</f>
        <v>0</v>
      </c>
      <c r="D52" s="17"/>
      <c r="E52" s="14"/>
      <c r="F52" s="18"/>
      <c r="G52" s="19"/>
      <c r="H52" s="20"/>
      <c r="I52" s="21"/>
      <c r="J52" s="14"/>
      <c r="K52" s="14">
        <f t="shared" si="0"/>
        <v>0</v>
      </c>
      <c r="L52" s="16">
        <f t="shared" si="1"/>
        <v>0</v>
      </c>
      <c r="M52" s="22">
        <v>44013</v>
      </c>
      <c r="N52" s="44"/>
      <c r="O52" s="23" t="s">
        <v>16</v>
      </c>
      <c r="P52" s="24"/>
      <c r="Q52" s="23" t="s">
        <v>94</v>
      </c>
    </row>
    <row r="53" spans="1:17">
      <c r="A53" s="14">
        <v>49</v>
      </c>
      <c r="B53" s="15" t="s">
        <v>95</v>
      </c>
      <c r="C53" s="16">
        <f>'Медикаменты Февраль'!L53</f>
        <v>39</v>
      </c>
      <c r="D53" s="17"/>
      <c r="E53" s="14"/>
      <c r="F53" s="18">
        <f>5</f>
        <v>5</v>
      </c>
      <c r="G53" s="19"/>
      <c r="H53" s="20"/>
      <c r="I53" s="21"/>
      <c r="J53" s="14"/>
      <c r="K53" s="14">
        <f t="shared" si="0"/>
        <v>5</v>
      </c>
      <c r="L53" s="16">
        <f t="shared" si="1"/>
        <v>34</v>
      </c>
      <c r="M53" s="22">
        <v>44986</v>
      </c>
      <c r="N53" s="44" t="s">
        <v>45</v>
      </c>
      <c r="O53" s="23" t="s">
        <v>16</v>
      </c>
      <c r="P53" s="24" t="s">
        <v>45</v>
      </c>
      <c r="Q53" s="23" t="s">
        <v>96</v>
      </c>
    </row>
    <row r="54" spans="1:17">
      <c r="A54" s="14">
        <v>50</v>
      </c>
      <c r="B54" s="15" t="s">
        <v>97</v>
      </c>
      <c r="C54" s="16">
        <f>'Медикаменты Февраль'!L54</f>
        <v>0</v>
      </c>
      <c r="D54" s="17"/>
      <c r="E54" s="14"/>
      <c r="F54" s="18"/>
      <c r="G54" s="19"/>
      <c r="H54" s="20"/>
      <c r="I54" s="21"/>
      <c r="J54" s="14"/>
      <c r="K54" s="14">
        <f t="shared" si="0"/>
        <v>0</v>
      </c>
      <c r="L54" s="16">
        <f t="shared" si="1"/>
        <v>0</v>
      </c>
      <c r="M54" s="22">
        <v>44866</v>
      </c>
      <c r="N54" s="44"/>
      <c r="O54" s="23" t="s">
        <v>16</v>
      </c>
      <c r="P54" s="24"/>
      <c r="Q54" s="23" t="s">
        <v>98</v>
      </c>
    </row>
    <row r="55" spans="1:17">
      <c r="A55" s="14">
        <v>51</v>
      </c>
      <c r="B55" s="15" t="s">
        <v>99</v>
      </c>
      <c r="C55" s="16">
        <f>'Медикаменты Февраль'!L55</f>
        <v>0</v>
      </c>
      <c r="D55" s="17"/>
      <c r="E55" s="14"/>
      <c r="F55" s="18"/>
      <c r="G55" s="19"/>
      <c r="H55" s="20"/>
      <c r="I55" s="21"/>
      <c r="J55" s="14"/>
      <c r="K55" s="14">
        <f t="shared" si="0"/>
        <v>0</v>
      </c>
      <c r="L55" s="16">
        <f t="shared" si="1"/>
        <v>0</v>
      </c>
      <c r="M55" s="22"/>
      <c r="N55" s="44"/>
      <c r="O55" s="23" t="s">
        <v>16</v>
      </c>
      <c r="P55" s="24"/>
      <c r="Q55" s="25"/>
    </row>
    <row r="56" spans="1:17">
      <c r="A56" s="14">
        <v>52</v>
      </c>
      <c r="B56" s="15" t="s">
        <v>100</v>
      </c>
      <c r="C56" s="16">
        <f>'Медикаменты Февраль'!L56</f>
        <v>0</v>
      </c>
      <c r="D56" s="17"/>
      <c r="E56" s="14"/>
      <c r="F56" s="18"/>
      <c r="G56" s="19"/>
      <c r="H56" s="20"/>
      <c r="I56" s="21"/>
      <c r="J56" s="14"/>
      <c r="K56" s="14">
        <f t="shared" si="0"/>
        <v>0</v>
      </c>
      <c r="L56" s="16">
        <f t="shared" si="1"/>
        <v>0</v>
      </c>
      <c r="M56" s="22"/>
      <c r="N56" s="44"/>
      <c r="O56" s="23" t="s">
        <v>26</v>
      </c>
      <c r="P56" s="24" t="s">
        <v>17</v>
      </c>
      <c r="Q56" s="23" t="s">
        <v>101</v>
      </c>
    </row>
    <row r="57" spans="1:17">
      <c r="A57" s="14">
        <v>53</v>
      </c>
      <c r="B57" s="15" t="s">
        <v>102</v>
      </c>
      <c r="C57" s="16">
        <f>'Медикаменты Февраль'!L57</f>
        <v>37</v>
      </c>
      <c r="D57" s="17"/>
      <c r="E57" s="14"/>
      <c r="F57" s="18">
        <f>5</f>
        <v>5</v>
      </c>
      <c r="G57" s="19"/>
      <c r="H57" s="20"/>
      <c r="I57" s="21"/>
      <c r="J57" s="14"/>
      <c r="K57" s="14">
        <f t="shared" si="0"/>
        <v>5</v>
      </c>
      <c r="L57" s="16">
        <f t="shared" si="1"/>
        <v>32</v>
      </c>
      <c r="M57" s="22">
        <v>44866</v>
      </c>
      <c r="N57" s="44" t="s">
        <v>45</v>
      </c>
      <c r="O57" s="23" t="s">
        <v>16</v>
      </c>
      <c r="P57" s="24" t="s">
        <v>45</v>
      </c>
      <c r="Q57" s="23" t="s">
        <v>103</v>
      </c>
    </row>
    <row r="58" spans="1:17">
      <c r="A58" s="14">
        <v>54</v>
      </c>
      <c r="B58" s="15" t="s">
        <v>102</v>
      </c>
      <c r="C58" s="16">
        <f>'Медикаменты Февраль'!L58</f>
        <v>0</v>
      </c>
      <c r="D58" s="17"/>
      <c r="E58" s="14"/>
      <c r="F58" s="18"/>
      <c r="G58" s="19"/>
      <c r="H58" s="20"/>
      <c r="I58" s="21"/>
      <c r="J58" s="14"/>
      <c r="K58" s="14">
        <f t="shared" si="0"/>
        <v>0</v>
      </c>
      <c r="L58" s="16">
        <f t="shared" si="1"/>
        <v>0</v>
      </c>
      <c r="M58" s="22">
        <v>44866</v>
      </c>
      <c r="N58" s="44"/>
      <c r="O58" s="23" t="s">
        <v>26</v>
      </c>
      <c r="P58" s="24"/>
      <c r="Q58" s="23" t="s">
        <v>103</v>
      </c>
    </row>
    <row r="59" spans="1:17">
      <c r="A59" s="14">
        <v>55</v>
      </c>
      <c r="B59" s="15" t="s">
        <v>104</v>
      </c>
      <c r="C59" s="16">
        <f>'Медикаменты Февраль'!L59</f>
        <v>0</v>
      </c>
      <c r="D59" s="17"/>
      <c r="E59" s="14"/>
      <c r="F59" s="18"/>
      <c r="G59" s="19"/>
      <c r="H59" s="20"/>
      <c r="I59" s="21"/>
      <c r="J59" s="14"/>
      <c r="K59" s="14">
        <f t="shared" si="0"/>
        <v>0</v>
      </c>
      <c r="L59" s="16">
        <f t="shared" si="1"/>
        <v>0</v>
      </c>
      <c r="M59" s="22"/>
      <c r="N59" s="44"/>
      <c r="O59" s="23" t="s">
        <v>16</v>
      </c>
      <c r="P59" s="24"/>
      <c r="Q59" s="25"/>
    </row>
    <row r="60" spans="1:17">
      <c r="A60" s="14">
        <v>56</v>
      </c>
      <c r="B60" s="15" t="s">
        <v>104</v>
      </c>
      <c r="C60" s="16">
        <f>'Медикаменты Февраль'!L60</f>
        <v>0</v>
      </c>
      <c r="D60" s="17"/>
      <c r="E60" s="14"/>
      <c r="F60" s="18"/>
      <c r="G60" s="19"/>
      <c r="H60" s="20"/>
      <c r="I60" s="21"/>
      <c r="J60" s="14"/>
      <c r="K60" s="14">
        <f t="shared" si="0"/>
        <v>0</v>
      </c>
      <c r="L60" s="16">
        <f t="shared" si="1"/>
        <v>0</v>
      </c>
      <c r="M60" s="22"/>
      <c r="N60" s="44"/>
      <c r="O60" s="23" t="s">
        <v>26</v>
      </c>
      <c r="P60" s="24"/>
      <c r="Q60" s="25"/>
    </row>
    <row r="61" spans="1:17">
      <c r="A61" s="14">
        <v>57</v>
      </c>
      <c r="B61" s="15" t="s">
        <v>105</v>
      </c>
      <c r="C61" s="16">
        <f>'Медикаменты Февраль'!L61</f>
        <v>0</v>
      </c>
      <c r="D61" s="17"/>
      <c r="E61" s="14"/>
      <c r="F61" s="18"/>
      <c r="G61" s="19"/>
      <c r="H61" s="20"/>
      <c r="I61" s="21"/>
      <c r="J61" s="14"/>
      <c r="K61" s="14">
        <f t="shared" si="0"/>
        <v>0</v>
      </c>
      <c r="L61" s="16">
        <f t="shared" si="1"/>
        <v>0</v>
      </c>
      <c r="M61" s="22"/>
      <c r="N61" s="44"/>
      <c r="O61" s="23" t="s">
        <v>16</v>
      </c>
      <c r="P61" s="24"/>
      <c r="Q61" s="23" t="s">
        <v>106</v>
      </c>
    </row>
    <row r="62" spans="1:17">
      <c r="A62" s="14">
        <v>58</v>
      </c>
      <c r="B62" s="15" t="s">
        <v>105</v>
      </c>
      <c r="C62" s="16">
        <f>'Медикаменты Февраль'!L62</f>
        <v>30</v>
      </c>
      <c r="D62" s="17"/>
      <c r="E62" s="14"/>
      <c r="F62" s="18">
        <f>5</f>
        <v>5</v>
      </c>
      <c r="G62" s="19"/>
      <c r="H62" s="20"/>
      <c r="I62" s="21"/>
      <c r="J62" s="14"/>
      <c r="K62" s="14">
        <f t="shared" si="0"/>
        <v>5</v>
      </c>
      <c r="L62" s="16">
        <f t="shared" si="1"/>
        <v>25</v>
      </c>
      <c r="M62" s="22">
        <v>44531</v>
      </c>
      <c r="N62" s="44" t="s">
        <v>45</v>
      </c>
      <c r="O62" s="23" t="s">
        <v>16</v>
      </c>
      <c r="P62" s="24" t="s">
        <v>17</v>
      </c>
      <c r="Q62" s="23" t="s">
        <v>106</v>
      </c>
    </row>
    <row r="63" spans="1:17">
      <c r="A63" s="14">
        <v>59</v>
      </c>
      <c r="B63" s="15" t="s">
        <v>107</v>
      </c>
      <c r="C63" s="16">
        <f>'Медикаменты Февраль'!L63</f>
        <v>12</v>
      </c>
      <c r="D63" s="17"/>
      <c r="E63" s="14"/>
      <c r="F63" s="18">
        <f>5+5</f>
        <v>10</v>
      </c>
      <c r="G63" s="19"/>
      <c r="H63" s="20"/>
      <c r="I63" s="21"/>
      <c r="J63" s="14"/>
      <c r="K63" s="14">
        <f t="shared" si="0"/>
        <v>10</v>
      </c>
      <c r="L63" s="16">
        <f t="shared" si="1"/>
        <v>2</v>
      </c>
      <c r="M63" s="22">
        <v>44501</v>
      </c>
      <c r="N63" s="44" t="s">
        <v>45</v>
      </c>
      <c r="O63" s="23" t="s">
        <v>16</v>
      </c>
      <c r="P63" s="24" t="s">
        <v>17</v>
      </c>
      <c r="Q63" s="23" t="s">
        <v>108</v>
      </c>
    </row>
    <row r="64" spans="1:17">
      <c r="A64" s="14">
        <v>60</v>
      </c>
      <c r="B64" s="15" t="s">
        <v>109</v>
      </c>
      <c r="C64" s="16">
        <f>'Медикаменты Февраль'!L64</f>
        <v>0</v>
      </c>
      <c r="D64" s="17"/>
      <c r="E64" s="14"/>
      <c r="F64" s="18"/>
      <c r="G64" s="19"/>
      <c r="H64" s="20"/>
      <c r="I64" s="21"/>
      <c r="J64" s="14"/>
      <c r="K64" s="14">
        <f t="shared" si="0"/>
        <v>0</v>
      </c>
      <c r="L64" s="16">
        <f t="shared" si="1"/>
        <v>0</v>
      </c>
      <c r="M64" s="22"/>
      <c r="N64" s="44"/>
      <c r="O64" s="23" t="s">
        <v>16</v>
      </c>
      <c r="P64" s="24"/>
      <c r="Q64" s="25"/>
    </row>
    <row r="65" spans="1:17">
      <c r="A65" s="14">
        <v>61</v>
      </c>
      <c r="B65" s="15" t="s">
        <v>110</v>
      </c>
      <c r="C65" s="16">
        <f>'Медикаменты Февраль'!L65</f>
        <v>0</v>
      </c>
      <c r="D65" s="17"/>
      <c r="E65" s="14"/>
      <c r="F65" s="18"/>
      <c r="G65" s="19"/>
      <c r="H65" s="20"/>
      <c r="I65" s="21"/>
      <c r="J65" s="14"/>
      <c r="K65" s="14">
        <f t="shared" si="0"/>
        <v>0</v>
      </c>
      <c r="L65" s="16">
        <f t="shared" si="1"/>
        <v>0</v>
      </c>
      <c r="M65" s="22">
        <v>44682</v>
      </c>
      <c r="N65" s="44"/>
      <c r="O65" s="23" t="s">
        <v>16</v>
      </c>
      <c r="P65" s="24"/>
      <c r="Q65" s="25"/>
    </row>
    <row r="66" spans="1:17">
      <c r="A66" s="14">
        <v>62</v>
      </c>
      <c r="B66" s="15" t="s">
        <v>111</v>
      </c>
      <c r="C66" s="16">
        <f>'Медикаменты Февраль'!L66</f>
        <v>185</v>
      </c>
      <c r="D66" s="17"/>
      <c r="E66" s="14"/>
      <c r="F66" s="18">
        <f>5</f>
        <v>5</v>
      </c>
      <c r="G66" s="19"/>
      <c r="H66" s="20"/>
      <c r="I66" s="21"/>
      <c r="J66" s="14"/>
      <c r="K66" s="14">
        <f t="shared" si="0"/>
        <v>5</v>
      </c>
      <c r="L66" s="16">
        <f t="shared" si="1"/>
        <v>180</v>
      </c>
      <c r="M66" s="22">
        <v>44958</v>
      </c>
      <c r="N66" s="44" t="s">
        <v>45</v>
      </c>
      <c r="O66" s="23" t="s">
        <v>16</v>
      </c>
      <c r="P66" s="24" t="s">
        <v>17</v>
      </c>
      <c r="Q66" s="23" t="s">
        <v>112</v>
      </c>
    </row>
    <row r="67" spans="1:17">
      <c r="A67" s="14">
        <v>63</v>
      </c>
      <c r="B67" s="15" t="s">
        <v>111</v>
      </c>
      <c r="C67" s="16">
        <f>'Медикаменты Февраль'!L67</f>
        <v>0</v>
      </c>
      <c r="D67" s="17"/>
      <c r="E67" s="14"/>
      <c r="F67" s="18"/>
      <c r="G67" s="19"/>
      <c r="H67" s="20"/>
      <c r="I67" s="21"/>
      <c r="J67" s="14"/>
      <c r="K67" s="14">
        <f t="shared" si="0"/>
        <v>0</v>
      </c>
      <c r="L67" s="16">
        <f t="shared" si="1"/>
        <v>0</v>
      </c>
      <c r="M67" s="22">
        <v>44958</v>
      </c>
      <c r="N67" s="44"/>
      <c r="O67" s="23" t="s">
        <v>26</v>
      </c>
      <c r="P67" s="24"/>
      <c r="Q67" s="25"/>
    </row>
    <row r="68" spans="1:17">
      <c r="A68" s="14">
        <v>64</v>
      </c>
      <c r="B68" s="15" t="s">
        <v>113</v>
      </c>
      <c r="C68" s="16">
        <f>'Медикаменты Февраль'!L68</f>
        <v>90</v>
      </c>
      <c r="D68" s="17"/>
      <c r="E68" s="14"/>
      <c r="F68" s="18"/>
      <c r="G68" s="19"/>
      <c r="H68" s="20"/>
      <c r="I68" s="21"/>
      <c r="J68" s="14"/>
      <c r="K68" s="14">
        <f t="shared" si="0"/>
        <v>0</v>
      </c>
      <c r="L68" s="16">
        <f t="shared" si="1"/>
        <v>90</v>
      </c>
      <c r="M68" s="22">
        <v>44986</v>
      </c>
      <c r="N68" s="44" t="s">
        <v>45</v>
      </c>
      <c r="O68" s="23" t="s">
        <v>16</v>
      </c>
      <c r="P68" s="24" t="s">
        <v>17</v>
      </c>
      <c r="Q68" s="23" t="s">
        <v>114</v>
      </c>
    </row>
    <row r="69" spans="1:17">
      <c r="A69" s="14">
        <v>65</v>
      </c>
      <c r="B69" s="15" t="s">
        <v>113</v>
      </c>
      <c r="C69" s="16">
        <f>'Медикаменты Февраль'!L69</f>
        <v>0</v>
      </c>
      <c r="D69" s="17"/>
      <c r="E69" s="14"/>
      <c r="F69" s="18"/>
      <c r="G69" s="19"/>
      <c r="H69" s="20"/>
      <c r="I69" s="21"/>
      <c r="J69" s="14"/>
      <c r="K69" s="14">
        <f t="shared" ref="K69:K132" si="2">SUM(F69:J69)</f>
        <v>0</v>
      </c>
      <c r="L69" s="16">
        <f t="shared" ref="L69:L132" si="3">(C69+E69)-K69</f>
        <v>0</v>
      </c>
      <c r="M69" s="22">
        <v>44986</v>
      </c>
      <c r="N69" s="44"/>
      <c r="O69" s="23" t="s">
        <v>26</v>
      </c>
      <c r="P69" s="24"/>
      <c r="Q69" s="23" t="s">
        <v>114</v>
      </c>
    </row>
    <row r="70" spans="1:17" ht="26.25">
      <c r="A70" s="14">
        <v>66</v>
      </c>
      <c r="B70" s="15" t="s">
        <v>115</v>
      </c>
      <c r="C70" s="16">
        <f>'Медикаменты Февраль'!L70</f>
        <v>17</v>
      </c>
      <c r="D70" s="17"/>
      <c r="E70" s="14"/>
      <c r="F70" s="18"/>
      <c r="G70" s="19"/>
      <c r="H70" s="20"/>
      <c r="I70" s="21"/>
      <c r="J70" s="14"/>
      <c r="K70" s="14">
        <f t="shared" si="2"/>
        <v>0</v>
      </c>
      <c r="L70" s="16">
        <f t="shared" si="3"/>
        <v>17</v>
      </c>
      <c r="M70" s="22">
        <v>44835</v>
      </c>
      <c r="N70" s="44" t="s">
        <v>45</v>
      </c>
      <c r="O70" s="23" t="s">
        <v>16</v>
      </c>
      <c r="P70" s="24" t="s">
        <v>17</v>
      </c>
      <c r="Q70" s="28" t="s">
        <v>116</v>
      </c>
    </row>
    <row r="71" spans="1:17">
      <c r="A71" s="14">
        <v>67</v>
      </c>
      <c r="B71" s="15" t="s">
        <v>117</v>
      </c>
      <c r="C71" s="16">
        <f>'Медикаменты Февраль'!L71</f>
        <v>0</v>
      </c>
      <c r="D71" s="17"/>
      <c r="E71" s="14"/>
      <c r="F71" s="18"/>
      <c r="G71" s="19"/>
      <c r="H71" s="20"/>
      <c r="I71" s="21"/>
      <c r="J71" s="14"/>
      <c r="K71" s="14">
        <f t="shared" si="2"/>
        <v>0</v>
      </c>
      <c r="L71" s="16">
        <f t="shared" si="3"/>
        <v>0</v>
      </c>
      <c r="M71" s="22">
        <v>44440</v>
      </c>
      <c r="N71" s="44"/>
      <c r="O71" s="23" t="s">
        <v>16</v>
      </c>
      <c r="P71" s="24"/>
      <c r="Q71" s="28" t="s">
        <v>118</v>
      </c>
    </row>
    <row r="72" spans="1:17">
      <c r="A72" s="14">
        <v>68</v>
      </c>
      <c r="B72" s="15" t="s">
        <v>117</v>
      </c>
      <c r="C72" s="16">
        <f>'Медикаменты Февраль'!L72</f>
        <v>165</v>
      </c>
      <c r="D72" s="17"/>
      <c r="E72" s="14"/>
      <c r="F72" s="18">
        <f>10+10</f>
        <v>20</v>
      </c>
      <c r="G72" s="19"/>
      <c r="H72" s="20"/>
      <c r="I72" s="21"/>
      <c r="J72" s="14"/>
      <c r="K72" s="14">
        <f t="shared" si="2"/>
        <v>20</v>
      </c>
      <c r="L72" s="16">
        <f t="shared" si="3"/>
        <v>145</v>
      </c>
      <c r="M72" s="22">
        <v>44682</v>
      </c>
      <c r="N72" s="44" t="s">
        <v>45</v>
      </c>
      <c r="O72" s="23" t="s">
        <v>16</v>
      </c>
      <c r="P72" s="24" t="s">
        <v>17</v>
      </c>
      <c r="Q72" s="28" t="s">
        <v>118</v>
      </c>
    </row>
    <row r="73" spans="1:17">
      <c r="A73" s="14">
        <v>69</v>
      </c>
      <c r="B73" s="15" t="s">
        <v>117</v>
      </c>
      <c r="C73" s="16">
        <f>'Медикаменты Февраль'!L73</f>
        <v>0</v>
      </c>
      <c r="D73" s="17"/>
      <c r="E73" s="14"/>
      <c r="F73" s="18"/>
      <c r="G73" s="19"/>
      <c r="H73" s="20"/>
      <c r="I73" s="21"/>
      <c r="J73" s="14"/>
      <c r="K73" s="14">
        <f t="shared" si="2"/>
        <v>0</v>
      </c>
      <c r="L73" s="16">
        <f t="shared" si="3"/>
        <v>0</v>
      </c>
      <c r="M73" s="22">
        <v>44682</v>
      </c>
      <c r="N73" s="44"/>
      <c r="O73" s="23" t="s">
        <v>26</v>
      </c>
      <c r="P73" s="24"/>
      <c r="Q73" s="28" t="s">
        <v>118</v>
      </c>
    </row>
    <row r="74" spans="1:17">
      <c r="A74" s="14">
        <v>70</v>
      </c>
      <c r="B74" s="15" t="s">
        <v>119</v>
      </c>
      <c r="C74" s="16">
        <f>'Медикаменты Февраль'!L74</f>
        <v>0</v>
      </c>
      <c r="D74" s="17"/>
      <c r="E74" s="14"/>
      <c r="F74" s="18"/>
      <c r="G74" s="19"/>
      <c r="H74" s="20"/>
      <c r="I74" s="21"/>
      <c r="J74" s="14"/>
      <c r="K74" s="14">
        <f t="shared" si="2"/>
        <v>0</v>
      </c>
      <c r="L74" s="16">
        <f t="shared" si="3"/>
        <v>0</v>
      </c>
      <c r="M74" s="22"/>
      <c r="N74" s="44"/>
      <c r="O74" s="23" t="s">
        <v>16</v>
      </c>
      <c r="P74" s="24"/>
      <c r="Q74" s="25"/>
    </row>
    <row r="75" spans="1:17">
      <c r="A75" s="14">
        <v>71</v>
      </c>
      <c r="B75" s="15" t="s">
        <v>120</v>
      </c>
      <c r="C75" s="16">
        <f>'Медикаменты Февраль'!L75</f>
        <v>0</v>
      </c>
      <c r="D75" s="17"/>
      <c r="E75" s="14"/>
      <c r="F75" s="18"/>
      <c r="G75" s="19"/>
      <c r="H75" s="20"/>
      <c r="I75" s="21"/>
      <c r="J75" s="14"/>
      <c r="K75" s="14">
        <f t="shared" si="2"/>
        <v>0</v>
      </c>
      <c r="L75" s="16">
        <f t="shared" si="3"/>
        <v>0</v>
      </c>
      <c r="M75" s="22">
        <v>45444</v>
      </c>
      <c r="N75" s="44"/>
      <c r="O75" s="23" t="s">
        <v>26</v>
      </c>
      <c r="P75" s="24"/>
      <c r="Q75" s="28" t="s">
        <v>121</v>
      </c>
    </row>
    <row r="76" spans="1:17">
      <c r="A76" s="14">
        <v>72</v>
      </c>
      <c r="B76" s="29" t="s">
        <v>122</v>
      </c>
      <c r="C76" s="16">
        <f>'Медикаменты Февраль'!L76</f>
        <v>108</v>
      </c>
      <c r="D76" s="17"/>
      <c r="E76" s="14"/>
      <c r="F76" s="18">
        <f>5+5</f>
        <v>10</v>
      </c>
      <c r="G76" s="19"/>
      <c r="H76" s="20"/>
      <c r="I76" s="21"/>
      <c r="J76" s="14"/>
      <c r="K76" s="14">
        <f t="shared" si="2"/>
        <v>10</v>
      </c>
      <c r="L76" s="16">
        <f t="shared" si="3"/>
        <v>98</v>
      </c>
      <c r="M76" s="22">
        <v>44986</v>
      </c>
      <c r="N76" s="44" t="s">
        <v>45</v>
      </c>
      <c r="O76" s="23" t="s">
        <v>16</v>
      </c>
      <c r="P76" s="24" t="s">
        <v>17</v>
      </c>
      <c r="Q76" s="23" t="s">
        <v>123</v>
      </c>
    </row>
    <row r="77" spans="1:17">
      <c r="A77" s="14">
        <v>73</v>
      </c>
      <c r="B77" s="15" t="s">
        <v>124</v>
      </c>
      <c r="C77" s="16">
        <f>'Медикаменты Февраль'!L77</f>
        <v>0</v>
      </c>
      <c r="D77" s="17"/>
      <c r="E77" s="14"/>
      <c r="F77" s="18"/>
      <c r="G77" s="19"/>
      <c r="H77" s="20"/>
      <c r="I77" s="21"/>
      <c r="J77" s="14"/>
      <c r="K77" s="14">
        <f t="shared" si="2"/>
        <v>0</v>
      </c>
      <c r="L77" s="16">
        <f t="shared" si="3"/>
        <v>0</v>
      </c>
      <c r="M77" s="22"/>
      <c r="N77" s="44"/>
      <c r="O77" s="23" t="s">
        <v>16</v>
      </c>
      <c r="P77" s="24"/>
      <c r="Q77" s="25"/>
    </row>
    <row r="78" spans="1:17">
      <c r="A78" s="14">
        <v>74</v>
      </c>
      <c r="B78" s="15" t="s">
        <v>125</v>
      </c>
      <c r="C78" s="16">
        <f>'Медикаменты Февраль'!L78</f>
        <v>5</v>
      </c>
      <c r="D78" s="17"/>
      <c r="E78" s="14"/>
      <c r="F78" s="18"/>
      <c r="G78" s="19"/>
      <c r="H78" s="20"/>
      <c r="I78" s="21"/>
      <c r="J78" s="14"/>
      <c r="K78" s="14">
        <f t="shared" si="2"/>
        <v>0</v>
      </c>
      <c r="L78" s="16">
        <f t="shared" si="3"/>
        <v>5</v>
      </c>
      <c r="M78" s="22">
        <v>44531</v>
      </c>
      <c r="N78" s="44" t="s">
        <v>45</v>
      </c>
      <c r="O78" s="23" t="s">
        <v>16</v>
      </c>
      <c r="P78" s="24" t="s">
        <v>17</v>
      </c>
      <c r="Q78" s="28" t="s">
        <v>126</v>
      </c>
    </row>
    <row r="79" spans="1:17">
      <c r="A79" s="14">
        <v>75</v>
      </c>
      <c r="B79" s="15" t="s">
        <v>127</v>
      </c>
      <c r="C79" s="16">
        <f>'Медикаменты Февраль'!L79</f>
        <v>10</v>
      </c>
      <c r="D79" s="17"/>
      <c r="E79" s="14"/>
      <c r="F79" s="18"/>
      <c r="G79" s="19"/>
      <c r="H79" s="20"/>
      <c r="I79" s="21"/>
      <c r="J79" s="14"/>
      <c r="K79" s="14">
        <f t="shared" si="2"/>
        <v>0</v>
      </c>
      <c r="L79" s="16">
        <f t="shared" si="3"/>
        <v>10</v>
      </c>
      <c r="M79" s="22">
        <v>44501</v>
      </c>
      <c r="N79" s="44" t="s">
        <v>45</v>
      </c>
      <c r="O79" s="23" t="s">
        <v>16</v>
      </c>
      <c r="P79" s="24" t="s">
        <v>45</v>
      </c>
      <c r="Q79" s="23" t="s">
        <v>128</v>
      </c>
    </row>
    <row r="80" spans="1:17" ht="25.5">
      <c r="A80" s="14">
        <v>76</v>
      </c>
      <c r="B80" s="15" t="s">
        <v>129</v>
      </c>
      <c r="C80" s="16">
        <f>'Медикаменты Февраль'!L80</f>
        <v>12</v>
      </c>
      <c r="D80" s="17"/>
      <c r="E80" s="14"/>
      <c r="F80" s="18"/>
      <c r="G80" s="19"/>
      <c r="H80" s="20"/>
      <c r="I80" s="21"/>
      <c r="J80" s="14"/>
      <c r="K80" s="14">
        <f t="shared" si="2"/>
        <v>0</v>
      </c>
      <c r="L80" s="16">
        <f t="shared" si="3"/>
        <v>12</v>
      </c>
      <c r="M80" s="22">
        <v>44713</v>
      </c>
      <c r="N80" s="44" t="s">
        <v>45</v>
      </c>
      <c r="O80" s="23" t="s">
        <v>16</v>
      </c>
      <c r="P80" s="24" t="s">
        <v>17</v>
      </c>
      <c r="Q80" s="28" t="s">
        <v>130</v>
      </c>
    </row>
    <row r="81" spans="1:17" ht="25.5">
      <c r="A81" s="14">
        <v>77</v>
      </c>
      <c r="B81" s="15" t="s">
        <v>129</v>
      </c>
      <c r="C81" s="16">
        <f>'Медикаменты Февраль'!L81</f>
        <v>0</v>
      </c>
      <c r="D81" s="17"/>
      <c r="E81" s="14"/>
      <c r="F81" s="18"/>
      <c r="G81" s="19"/>
      <c r="H81" s="20"/>
      <c r="I81" s="21"/>
      <c r="J81" s="14"/>
      <c r="K81" s="14">
        <f t="shared" si="2"/>
        <v>0</v>
      </c>
      <c r="L81" s="16">
        <f t="shared" si="3"/>
        <v>0</v>
      </c>
      <c r="M81" s="22">
        <v>44713</v>
      </c>
      <c r="N81" s="44"/>
      <c r="O81" s="23" t="s">
        <v>26</v>
      </c>
      <c r="P81" s="24"/>
      <c r="Q81" s="28" t="s">
        <v>130</v>
      </c>
    </row>
    <row r="82" spans="1:17" ht="25.5">
      <c r="A82" s="14">
        <v>78</v>
      </c>
      <c r="B82" s="15" t="s">
        <v>131</v>
      </c>
      <c r="C82" s="16">
        <f>'Медикаменты Февраль'!L82</f>
        <v>0</v>
      </c>
      <c r="D82" s="17"/>
      <c r="E82" s="14"/>
      <c r="F82" s="18"/>
      <c r="G82" s="19"/>
      <c r="H82" s="20"/>
      <c r="I82" s="21"/>
      <c r="J82" s="14"/>
      <c r="K82" s="14">
        <f t="shared" si="2"/>
        <v>0</v>
      </c>
      <c r="L82" s="16">
        <f t="shared" si="3"/>
        <v>0</v>
      </c>
      <c r="M82" s="22"/>
      <c r="N82" s="44"/>
      <c r="O82" s="23" t="s">
        <v>16</v>
      </c>
      <c r="P82" s="24"/>
      <c r="Q82" s="25"/>
    </row>
    <row r="83" spans="1:17">
      <c r="A83" s="14">
        <v>79</v>
      </c>
      <c r="B83" s="15" t="s">
        <v>132</v>
      </c>
      <c r="C83" s="16">
        <f>'Медикаменты Февраль'!L83</f>
        <v>135</v>
      </c>
      <c r="D83" s="17"/>
      <c r="E83" s="14"/>
      <c r="F83" s="18">
        <f>10+10</f>
        <v>20</v>
      </c>
      <c r="G83" s="19"/>
      <c r="H83" s="20"/>
      <c r="I83" s="21"/>
      <c r="J83" s="14"/>
      <c r="K83" s="14">
        <f t="shared" si="2"/>
        <v>20</v>
      </c>
      <c r="L83" s="16">
        <f t="shared" si="3"/>
        <v>115</v>
      </c>
      <c r="M83" s="22">
        <v>44713</v>
      </c>
      <c r="N83" s="44" t="s">
        <v>45</v>
      </c>
      <c r="O83" s="23" t="s">
        <v>16</v>
      </c>
      <c r="P83" s="24" t="s">
        <v>17</v>
      </c>
      <c r="Q83" s="23" t="s">
        <v>133</v>
      </c>
    </row>
    <row r="84" spans="1:17">
      <c r="A84" s="14">
        <v>80</v>
      </c>
      <c r="B84" s="15" t="s">
        <v>132</v>
      </c>
      <c r="C84" s="16">
        <f>'Медикаменты Февраль'!L84</f>
        <v>10</v>
      </c>
      <c r="D84" s="17"/>
      <c r="E84" s="14"/>
      <c r="F84" s="18">
        <f>10</f>
        <v>10</v>
      </c>
      <c r="G84" s="19"/>
      <c r="H84" s="20"/>
      <c r="I84" s="21"/>
      <c r="J84" s="14"/>
      <c r="K84" s="14">
        <f t="shared" si="2"/>
        <v>10</v>
      </c>
      <c r="L84" s="16">
        <f t="shared" si="3"/>
        <v>0</v>
      </c>
      <c r="M84" s="22">
        <v>44409</v>
      </c>
      <c r="N84" s="44"/>
      <c r="O84" s="23" t="s">
        <v>16</v>
      </c>
      <c r="P84" s="24" t="s">
        <v>17</v>
      </c>
      <c r="Q84" s="23" t="s">
        <v>133</v>
      </c>
    </row>
    <row r="85" spans="1:17">
      <c r="A85" s="14">
        <v>81</v>
      </c>
      <c r="B85" s="15" t="s">
        <v>134</v>
      </c>
      <c r="C85" s="16">
        <f>'Медикаменты Февраль'!L85</f>
        <v>0</v>
      </c>
      <c r="D85" s="17"/>
      <c r="E85" s="14"/>
      <c r="F85" s="18"/>
      <c r="G85" s="19"/>
      <c r="H85" s="20"/>
      <c r="I85" s="21"/>
      <c r="J85" s="14"/>
      <c r="K85" s="14">
        <f t="shared" si="2"/>
        <v>0</v>
      </c>
      <c r="L85" s="16">
        <f t="shared" si="3"/>
        <v>0</v>
      </c>
      <c r="M85" s="22">
        <v>44228</v>
      </c>
      <c r="N85" s="44"/>
      <c r="O85" s="23" t="s">
        <v>16</v>
      </c>
      <c r="P85" s="24" t="s">
        <v>17</v>
      </c>
      <c r="Q85" s="23" t="s">
        <v>135</v>
      </c>
    </row>
    <row r="86" spans="1:17">
      <c r="A86" s="14">
        <v>82</v>
      </c>
      <c r="B86" s="15" t="s">
        <v>136</v>
      </c>
      <c r="C86" s="16">
        <f>'Медикаменты Февраль'!L86</f>
        <v>0</v>
      </c>
      <c r="D86" s="17"/>
      <c r="E86" s="14">
        <f>84</f>
        <v>84</v>
      </c>
      <c r="F86" s="18"/>
      <c r="G86" s="19"/>
      <c r="H86" s="20"/>
      <c r="I86" s="21"/>
      <c r="J86" s="14"/>
      <c r="K86" s="14">
        <f t="shared" si="2"/>
        <v>0</v>
      </c>
      <c r="L86" s="16">
        <f t="shared" si="3"/>
        <v>84</v>
      </c>
      <c r="M86" s="22">
        <v>45778</v>
      </c>
      <c r="N86" s="44" t="s">
        <v>45</v>
      </c>
      <c r="O86" s="23" t="s">
        <v>16</v>
      </c>
      <c r="P86" s="24" t="s">
        <v>17</v>
      </c>
      <c r="Q86" s="28" t="s">
        <v>137</v>
      </c>
    </row>
    <row r="87" spans="1:17">
      <c r="A87" s="14">
        <v>83</v>
      </c>
      <c r="B87" s="15" t="s">
        <v>138</v>
      </c>
      <c r="C87" s="16">
        <f>'Медикаменты Февраль'!L87</f>
        <v>0</v>
      </c>
      <c r="D87" s="30"/>
      <c r="E87" s="14"/>
      <c r="F87" s="18"/>
      <c r="G87" s="19"/>
      <c r="H87" s="20"/>
      <c r="I87" s="21"/>
      <c r="J87" s="14"/>
      <c r="K87" s="14">
        <f t="shared" si="2"/>
        <v>0</v>
      </c>
      <c r="L87" s="16">
        <f t="shared" si="3"/>
        <v>0</v>
      </c>
      <c r="M87" s="22"/>
      <c r="N87" s="44"/>
      <c r="O87" s="23" t="s">
        <v>16</v>
      </c>
      <c r="P87" s="24"/>
      <c r="Q87" s="25"/>
    </row>
    <row r="88" spans="1:17">
      <c r="A88" s="14">
        <v>84</v>
      </c>
      <c r="B88" s="15" t="s">
        <v>139</v>
      </c>
      <c r="C88" s="16">
        <f>'Медикаменты Февраль'!L88</f>
        <v>0</v>
      </c>
      <c r="D88" s="17"/>
      <c r="E88" s="14"/>
      <c r="F88" s="18"/>
      <c r="G88" s="19"/>
      <c r="H88" s="20"/>
      <c r="I88" s="21"/>
      <c r="J88" s="14"/>
      <c r="K88" s="14">
        <f t="shared" si="2"/>
        <v>0</v>
      </c>
      <c r="L88" s="16">
        <f t="shared" si="3"/>
        <v>0</v>
      </c>
      <c r="M88" s="22"/>
      <c r="N88" s="44"/>
      <c r="O88" s="23" t="s">
        <v>16</v>
      </c>
      <c r="P88" s="24"/>
      <c r="Q88" s="25"/>
    </row>
    <row r="89" spans="1:17">
      <c r="A89" s="14">
        <v>85</v>
      </c>
      <c r="B89" s="15" t="s">
        <v>140</v>
      </c>
      <c r="C89" s="16">
        <f>'Медикаменты Февраль'!L89</f>
        <v>52</v>
      </c>
      <c r="D89" s="17"/>
      <c r="E89" s="14"/>
      <c r="F89" s="18">
        <f>8</f>
        <v>8</v>
      </c>
      <c r="G89" s="19"/>
      <c r="H89" s="20"/>
      <c r="I89" s="21"/>
      <c r="J89" s="14"/>
      <c r="K89" s="14">
        <f t="shared" si="2"/>
        <v>8</v>
      </c>
      <c r="L89" s="16">
        <f t="shared" si="3"/>
        <v>44</v>
      </c>
      <c r="M89" s="22">
        <v>44682</v>
      </c>
      <c r="N89" s="44" t="s">
        <v>45</v>
      </c>
      <c r="O89" s="23" t="s">
        <v>16</v>
      </c>
      <c r="P89" s="24" t="s">
        <v>45</v>
      </c>
      <c r="Q89" s="23" t="s">
        <v>141</v>
      </c>
    </row>
    <row r="90" spans="1:17">
      <c r="A90" s="14">
        <v>86</v>
      </c>
      <c r="B90" s="15" t="s">
        <v>142</v>
      </c>
      <c r="C90" s="16">
        <f>'Медикаменты Февраль'!L90</f>
        <v>0</v>
      </c>
      <c r="D90" s="17"/>
      <c r="E90" s="14"/>
      <c r="F90" s="18"/>
      <c r="G90" s="19"/>
      <c r="H90" s="20"/>
      <c r="I90" s="21"/>
      <c r="J90" s="14"/>
      <c r="K90" s="14">
        <f t="shared" si="2"/>
        <v>0</v>
      </c>
      <c r="L90" s="16">
        <f t="shared" si="3"/>
        <v>0</v>
      </c>
      <c r="M90" s="22">
        <v>45352</v>
      </c>
      <c r="N90" s="44"/>
      <c r="O90" s="23" t="s">
        <v>16</v>
      </c>
      <c r="P90" s="24"/>
      <c r="Q90" s="23" t="s">
        <v>143</v>
      </c>
    </row>
    <row r="91" spans="1:17">
      <c r="A91" s="14">
        <v>87</v>
      </c>
      <c r="B91" s="15" t="s">
        <v>144</v>
      </c>
      <c r="C91" s="16">
        <f>'Медикаменты Февраль'!L91</f>
        <v>0</v>
      </c>
      <c r="D91" s="17"/>
      <c r="E91" s="14"/>
      <c r="F91" s="18"/>
      <c r="G91" s="19"/>
      <c r="H91" s="20"/>
      <c r="I91" s="21"/>
      <c r="J91" s="14"/>
      <c r="K91" s="14">
        <f t="shared" si="2"/>
        <v>0</v>
      </c>
      <c r="L91" s="16">
        <f t="shared" si="3"/>
        <v>0</v>
      </c>
      <c r="M91" s="22">
        <v>44228</v>
      </c>
      <c r="N91" s="44"/>
      <c r="O91" s="23" t="s">
        <v>16</v>
      </c>
      <c r="P91" s="24"/>
      <c r="Q91" s="28" t="s">
        <v>145</v>
      </c>
    </row>
    <row r="92" spans="1:17">
      <c r="A92" s="14">
        <v>88</v>
      </c>
      <c r="B92" s="15" t="s">
        <v>146</v>
      </c>
      <c r="C92" s="16">
        <f>'Медикаменты Февраль'!L92</f>
        <v>0</v>
      </c>
      <c r="D92" s="17"/>
      <c r="E92" s="14"/>
      <c r="F92" s="18"/>
      <c r="G92" s="19"/>
      <c r="H92" s="20"/>
      <c r="I92" s="21"/>
      <c r="J92" s="14"/>
      <c r="K92" s="14">
        <f t="shared" si="2"/>
        <v>0</v>
      </c>
      <c r="L92" s="16">
        <f t="shared" si="3"/>
        <v>0</v>
      </c>
      <c r="M92" s="22">
        <v>45474</v>
      </c>
      <c r="N92" s="44"/>
      <c r="O92" s="23" t="s">
        <v>16</v>
      </c>
      <c r="P92" s="24" t="s">
        <v>45</v>
      </c>
      <c r="Q92" s="23" t="s">
        <v>147</v>
      </c>
    </row>
    <row r="93" spans="1:17">
      <c r="A93" s="14">
        <v>89</v>
      </c>
      <c r="B93" s="15" t="s">
        <v>148</v>
      </c>
      <c r="C93" s="16">
        <f>'Медикаменты Февраль'!L93</f>
        <v>0</v>
      </c>
      <c r="D93" s="17"/>
      <c r="E93" s="14"/>
      <c r="F93" s="18"/>
      <c r="G93" s="19"/>
      <c r="H93" s="20"/>
      <c r="I93" s="21"/>
      <c r="J93" s="14"/>
      <c r="K93" s="14">
        <f t="shared" si="2"/>
        <v>0</v>
      </c>
      <c r="L93" s="16">
        <f t="shared" si="3"/>
        <v>0</v>
      </c>
      <c r="M93" s="22"/>
      <c r="N93" s="44"/>
      <c r="O93" s="23" t="s">
        <v>16</v>
      </c>
      <c r="P93" s="24"/>
      <c r="Q93" s="25"/>
    </row>
    <row r="94" spans="1:17">
      <c r="A94" s="14">
        <v>90</v>
      </c>
      <c r="B94" s="15" t="s">
        <v>149</v>
      </c>
      <c r="C94" s="16">
        <f>'Медикаменты Февраль'!L94</f>
        <v>0</v>
      </c>
      <c r="D94" s="17"/>
      <c r="E94" s="14"/>
      <c r="F94" s="18"/>
      <c r="G94" s="19"/>
      <c r="H94" s="20"/>
      <c r="I94" s="21"/>
      <c r="J94" s="14"/>
      <c r="K94" s="14">
        <f t="shared" si="2"/>
        <v>0</v>
      </c>
      <c r="L94" s="16">
        <f t="shared" si="3"/>
        <v>0</v>
      </c>
      <c r="M94" s="22">
        <v>44348</v>
      </c>
      <c r="N94" s="44"/>
      <c r="O94" s="23" t="s">
        <v>16</v>
      </c>
      <c r="P94" s="24"/>
      <c r="Q94" s="23" t="s">
        <v>150</v>
      </c>
    </row>
    <row r="95" spans="1:17">
      <c r="A95" s="14">
        <v>91</v>
      </c>
      <c r="B95" s="15" t="s">
        <v>151</v>
      </c>
      <c r="C95" s="16">
        <f>'Медикаменты Февраль'!L95</f>
        <v>2</v>
      </c>
      <c r="D95" s="17"/>
      <c r="E95" s="14"/>
      <c r="F95" s="18"/>
      <c r="G95" s="19"/>
      <c r="H95" s="20"/>
      <c r="I95" s="21"/>
      <c r="J95" s="14"/>
      <c r="K95" s="14">
        <f t="shared" si="2"/>
        <v>0</v>
      </c>
      <c r="L95" s="16">
        <f t="shared" si="3"/>
        <v>2</v>
      </c>
      <c r="M95" s="22">
        <v>44743</v>
      </c>
      <c r="N95" s="44" t="s">
        <v>45</v>
      </c>
      <c r="O95" s="23" t="s">
        <v>16</v>
      </c>
      <c r="P95" s="24" t="s">
        <v>45</v>
      </c>
      <c r="Q95" s="28" t="s">
        <v>152</v>
      </c>
    </row>
    <row r="96" spans="1:17">
      <c r="A96" s="14">
        <v>92</v>
      </c>
      <c r="B96" s="15" t="s">
        <v>153</v>
      </c>
      <c r="C96" s="16">
        <f>'Медикаменты Февраль'!L96</f>
        <v>0</v>
      </c>
      <c r="D96" s="17"/>
      <c r="E96" s="14"/>
      <c r="F96" s="18"/>
      <c r="G96" s="19"/>
      <c r="H96" s="20"/>
      <c r="I96" s="21"/>
      <c r="J96" s="14"/>
      <c r="K96" s="14">
        <f t="shared" si="2"/>
        <v>0</v>
      </c>
      <c r="L96" s="16">
        <f t="shared" si="3"/>
        <v>0</v>
      </c>
      <c r="M96" s="22">
        <v>44256</v>
      </c>
      <c r="N96" s="44"/>
      <c r="O96" s="23" t="s">
        <v>16</v>
      </c>
      <c r="P96" s="24"/>
      <c r="Q96" s="23" t="s">
        <v>154</v>
      </c>
    </row>
    <row r="97" spans="1:17">
      <c r="A97" s="14">
        <v>93</v>
      </c>
      <c r="B97" s="15" t="s">
        <v>155</v>
      </c>
      <c r="C97" s="16">
        <f>'Медикаменты Февраль'!L97</f>
        <v>0</v>
      </c>
      <c r="D97" s="17"/>
      <c r="E97" s="14"/>
      <c r="F97" s="18"/>
      <c r="G97" s="19"/>
      <c r="H97" s="20"/>
      <c r="I97" s="21"/>
      <c r="J97" s="14"/>
      <c r="K97" s="14">
        <f t="shared" si="2"/>
        <v>0</v>
      </c>
      <c r="L97" s="16">
        <f t="shared" si="3"/>
        <v>0</v>
      </c>
      <c r="M97" s="22"/>
      <c r="N97" s="44"/>
      <c r="O97" s="23" t="s">
        <v>16</v>
      </c>
      <c r="P97" s="24"/>
      <c r="Q97" s="25"/>
    </row>
    <row r="98" spans="1:17">
      <c r="A98" s="14">
        <v>94</v>
      </c>
      <c r="B98" s="15" t="s">
        <v>156</v>
      </c>
      <c r="C98" s="16">
        <f>'Медикаменты Февраль'!L98</f>
        <v>0</v>
      </c>
      <c r="D98" s="17"/>
      <c r="E98" s="14"/>
      <c r="F98" s="18"/>
      <c r="G98" s="19"/>
      <c r="H98" s="20"/>
      <c r="I98" s="21"/>
      <c r="J98" s="14"/>
      <c r="K98" s="14">
        <f t="shared" si="2"/>
        <v>0</v>
      </c>
      <c r="L98" s="16">
        <f t="shared" si="3"/>
        <v>0</v>
      </c>
      <c r="M98" s="22">
        <v>44197</v>
      </c>
      <c r="N98" s="44"/>
      <c r="O98" s="23" t="s">
        <v>16</v>
      </c>
      <c r="P98" s="24"/>
      <c r="Q98" s="23" t="s">
        <v>157</v>
      </c>
    </row>
    <row r="99" spans="1:17">
      <c r="A99" s="14">
        <v>95</v>
      </c>
      <c r="B99" s="15" t="s">
        <v>158</v>
      </c>
      <c r="C99" s="16">
        <f>'Медикаменты Февраль'!L99</f>
        <v>5</v>
      </c>
      <c r="D99" s="17"/>
      <c r="E99" s="14"/>
      <c r="F99" s="18"/>
      <c r="G99" s="19"/>
      <c r="H99" s="20"/>
      <c r="I99" s="21"/>
      <c r="J99" s="14"/>
      <c r="K99" s="14">
        <f t="shared" si="2"/>
        <v>0</v>
      </c>
      <c r="L99" s="16">
        <f t="shared" si="3"/>
        <v>5</v>
      </c>
      <c r="M99" s="22">
        <v>44774</v>
      </c>
      <c r="N99" s="44" t="s">
        <v>45</v>
      </c>
      <c r="O99" s="23" t="s">
        <v>16</v>
      </c>
      <c r="P99" s="24" t="s">
        <v>17</v>
      </c>
      <c r="Q99" s="23" t="s">
        <v>159</v>
      </c>
    </row>
    <row r="100" spans="1:17">
      <c r="A100" s="14">
        <v>96</v>
      </c>
      <c r="B100" s="15" t="s">
        <v>160</v>
      </c>
      <c r="C100" s="16">
        <f>'Медикаменты Февраль'!L100</f>
        <v>118</v>
      </c>
      <c r="D100" s="17"/>
      <c r="E100" s="14"/>
      <c r="F100" s="18">
        <f>15</f>
        <v>15</v>
      </c>
      <c r="G100" s="19"/>
      <c r="H100" s="20"/>
      <c r="I100" s="21"/>
      <c r="J100" s="14"/>
      <c r="K100" s="14">
        <f t="shared" si="2"/>
        <v>15</v>
      </c>
      <c r="L100" s="16">
        <f t="shared" si="3"/>
        <v>103</v>
      </c>
      <c r="M100" s="22">
        <v>44805</v>
      </c>
      <c r="N100" s="44" t="s">
        <v>45</v>
      </c>
      <c r="O100" s="23" t="s">
        <v>16</v>
      </c>
      <c r="P100" s="24" t="s">
        <v>17</v>
      </c>
      <c r="Q100" s="28" t="s">
        <v>161</v>
      </c>
    </row>
    <row r="101" spans="1:17">
      <c r="A101" s="14">
        <v>97</v>
      </c>
      <c r="B101" s="15" t="s">
        <v>162</v>
      </c>
      <c r="C101" s="16">
        <f>'Медикаменты Февраль'!L101</f>
        <v>95</v>
      </c>
      <c r="D101" s="17"/>
      <c r="E101" s="14"/>
      <c r="F101" s="18"/>
      <c r="G101" s="19"/>
      <c r="H101" s="20"/>
      <c r="I101" s="21"/>
      <c r="J101" s="14"/>
      <c r="K101" s="14">
        <f t="shared" si="2"/>
        <v>0</v>
      </c>
      <c r="L101" s="16">
        <f t="shared" si="3"/>
        <v>95</v>
      </c>
      <c r="M101" s="22">
        <v>44742</v>
      </c>
      <c r="N101" s="44" t="s">
        <v>45</v>
      </c>
      <c r="O101" s="23" t="s">
        <v>16</v>
      </c>
      <c r="P101" s="24" t="s">
        <v>17</v>
      </c>
      <c r="Q101" s="28" t="s">
        <v>163</v>
      </c>
    </row>
    <row r="102" spans="1:17">
      <c r="A102" s="14">
        <v>98</v>
      </c>
      <c r="B102" s="15" t="s">
        <v>164</v>
      </c>
      <c r="C102" s="16">
        <f>'Медикаменты Февраль'!L102</f>
        <v>2</v>
      </c>
      <c r="D102" s="17"/>
      <c r="E102" s="14"/>
      <c r="F102" s="18">
        <f>2</f>
        <v>2</v>
      </c>
      <c r="G102" s="19"/>
      <c r="H102" s="20"/>
      <c r="I102" s="21"/>
      <c r="J102" s="14"/>
      <c r="K102" s="14">
        <f t="shared" si="2"/>
        <v>2</v>
      </c>
      <c r="L102" s="16">
        <f t="shared" si="3"/>
        <v>0</v>
      </c>
      <c r="M102" s="22">
        <v>44927</v>
      </c>
      <c r="N102" s="44"/>
      <c r="O102" s="23" t="s">
        <v>26</v>
      </c>
      <c r="P102" s="24" t="s">
        <v>17</v>
      </c>
      <c r="Q102" s="28" t="s">
        <v>165</v>
      </c>
    </row>
    <row r="103" spans="1:17">
      <c r="A103" s="14">
        <v>99</v>
      </c>
      <c r="B103" s="15" t="s">
        <v>166</v>
      </c>
      <c r="C103" s="16">
        <f>'Медикаменты Февраль'!L103</f>
        <v>0</v>
      </c>
      <c r="D103" s="17"/>
      <c r="E103" s="14"/>
      <c r="F103" s="18"/>
      <c r="G103" s="19"/>
      <c r="H103" s="20"/>
      <c r="I103" s="21"/>
      <c r="J103" s="14"/>
      <c r="K103" s="14">
        <f t="shared" si="2"/>
        <v>0</v>
      </c>
      <c r="L103" s="16">
        <f t="shared" si="3"/>
        <v>0</v>
      </c>
      <c r="M103" s="22">
        <v>44440</v>
      </c>
      <c r="N103" s="44"/>
      <c r="O103" s="23" t="s">
        <v>16</v>
      </c>
      <c r="P103" s="24"/>
      <c r="Q103" s="28" t="s">
        <v>165</v>
      </c>
    </row>
    <row r="104" spans="1:17">
      <c r="A104" s="14">
        <v>100</v>
      </c>
      <c r="B104" s="15" t="s">
        <v>167</v>
      </c>
      <c r="C104" s="16">
        <f>'Медикаменты Февраль'!L104</f>
        <v>0</v>
      </c>
      <c r="D104" s="17"/>
      <c r="E104" s="14"/>
      <c r="F104" s="18"/>
      <c r="G104" s="19"/>
      <c r="H104" s="20"/>
      <c r="I104" s="21"/>
      <c r="J104" s="14"/>
      <c r="K104" s="14">
        <f t="shared" si="2"/>
        <v>0</v>
      </c>
      <c r="L104" s="16">
        <f t="shared" si="3"/>
        <v>0</v>
      </c>
      <c r="M104" s="22">
        <v>44256</v>
      </c>
      <c r="N104" s="44"/>
      <c r="O104" s="23" t="s">
        <v>16</v>
      </c>
      <c r="P104" s="24" t="s">
        <v>17</v>
      </c>
      <c r="Q104" s="23" t="s">
        <v>168</v>
      </c>
    </row>
    <row r="105" spans="1:17">
      <c r="A105" s="14">
        <v>101</v>
      </c>
      <c r="B105" s="15" t="s">
        <v>169</v>
      </c>
      <c r="C105" s="16">
        <f>'Медикаменты Февраль'!L105</f>
        <v>0</v>
      </c>
      <c r="D105" s="17"/>
      <c r="E105" s="14"/>
      <c r="F105" s="18"/>
      <c r="G105" s="19"/>
      <c r="H105" s="20"/>
      <c r="I105" s="21"/>
      <c r="J105" s="14"/>
      <c r="K105" s="14">
        <f t="shared" si="2"/>
        <v>0</v>
      </c>
      <c r="L105" s="16">
        <f t="shared" si="3"/>
        <v>0</v>
      </c>
      <c r="M105" s="22">
        <v>44197</v>
      </c>
      <c r="N105" s="44"/>
      <c r="O105" s="23" t="s">
        <v>16</v>
      </c>
      <c r="P105" s="24"/>
      <c r="Q105" s="23" t="s">
        <v>170</v>
      </c>
    </row>
    <row r="106" spans="1:17">
      <c r="A106" s="14">
        <v>102</v>
      </c>
      <c r="B106" s="15" t="s">
        <v>171</v>
      </c>
      <c r="C106" s="16">
        <f>'Медикаменты Февраль'!L106</f>
        <v>0</v>
      </c>
      <c r="D106" s="17"/>
      <c r="E106" s="14"/>
      <c r="F106" s="18"/>
      <c r="G106" s="19"/>
      <c r="H106" s="20"/>
      <c r="I106" s="21"/>
      <c r="J106" s="14"/>
      <c r="K106" s="14">
        <f t="shared" si="2"/>
        <v>0</v>
      </c>
      <c r="L106" s="16">
        <f t="shared" si="3"/>
        <v>0</v>
      </c>
      <c r="M106" s="22"/>
      <c r="N106" s="44"/>
      <c r="O106" s="23" t="s">
        <v>16</v>
      </c>
      <c r="P106" s="24"/>
      <c r="Q106" s="25"/>
    </row>
    <row r="107" spans="1:17">
      <c r="A107" s="14">
        <v>103</v>
      </c>
      <c r="B107" s="15" t="s">
        <v>172</v>
      </c>
      <c r="C107" s="16">
        <f>'Медикаменты Февраль'!L107</f>
        <v>20</v>
      </c>
      <c r="D107" s="17"/>
      <c r="E107" s="14"/>
      <c r="F107" s="18">
        <f>12</f>
        <v>12</v>
      </c>
      <c r="G107" s="19">
        <f>4</f>
        <v>4</v>
      </c>
      <c r="H107" s="20">
        <f>4</f>
        <v>4</v>
      </c>
      <c r="I107" s="21"/>
      <c r="J107" s="14"/>
      <c r="K107" s="14">
        <f t="shared" si="2"/>
        <v>20</v>
      </c>
      <c r="L107" s="16">
        <f t="shared" si="3"/>
        <v>0</v>
      </c>
      <c r="M107" s="22">
        <v>44287</v>
      </c>
      <c r="N107" s="44"/>
      <c r="O107" s="23" t="s">
        <v>26</v>
      </c>
      <c r="P107" s="24" t="s">
        <v>17</v>
      </c>
      <c r="Q107" s="23" t="s">
        <v>173</v>
      </c>
    </row>
    <row r="108" spans="1:17">
      <c r="A108" s="14">
        <v>104</v>
      </c>
      <c r="B108" s="15" t="s">
        <v>172</v>
      </c>
      <c r="C108" s="16">
        <f>'Медикаменты Февраль'!L108</f>
        <v>85</v>
      </c>
      <c r="D108" s="17"/>
      <c r="E108" s="14"/>
      <c r="F108" s="18">
        <f>3</f>
        <v>3</v>
      </c>
      <c r="G108" s="19"/>
      <c r="H108" s="20"/>
      <c r="I108" s="21"/>
      <c r="J108" s="14"/>
      <c r="K108" s="14">
        <f t="shared" si="2"/>
        <v>3</v>
      </c>
      <c r="L108" s="16">
        <f t="shared" si="3"/>
        <v>82</v>
      </c>
      <c r="M108" s="22">
        <v>44805</v>
      </c>
      <c r="N108" s="44" t="s">
        <v>45</v>
      </c>
      <c r="O108" s="23" t="s">
        <v>26</v>
      </c>
      <c r="P108" s="24" t="s">
        <v>17</v>
      </c>
      <c r="Q108" s="23" t="s">
        <v>173</v>
      </c>
    </row>
    <row r="109" spans="1:17">
      <c r="A109" s="14">
        <v>105</v>
      </c>
      <c r="B109" s="15" t="s">
        <v>174</v>
      </c>
      <c r="C109" s="16">
        <f>'Медикаменты Февраль'!L109</f>
        <v>0</v>
      </c>
      <c r="D109" s="17"/>
      <c r="E109" s="14"/>
      <c r="F109" s="18"/>
      <c r="G109" s="19"/>
      <c r="H109" s="20"/>
      <c r="I109" s="21"/>
      <c r="J109" s="14"/>
      <c r="K109" s="14">
        <f t="shared" si="2"/>
        <v>0</v>
      </c>
      <c r="L109" s="16">
        <f t="shared" si="3"/>
        <v>0</v>
      </c>
      <c r="M109" s="22"/>
      <c r="N109" s="44"/>
      <c r="O109" s="23" t="s">
        <v>16</v>
      </c>
      <c r="P109" s="24"/>
      <c r="Q109" s="25"/>
    </row>
    <row r="110" spans="1:17">
      <c r="A110" s="14">
        <v>106</v>
      </c>
      <c r="B110" s="15" t="s">
        <v>547</v>
      </c>
      <c r="C110" s="16">
        <f>'Медикаменты Февраль'!L110</f>
        <v>191</v>
      </c>
      <c r="D110" s="17"/>
      <c r="E110" s="14"/>
      <c r="F110" s="18">
        <f>10+30</f>
        <v>40</v>
      </c>
      <c r="G110" s="19">
        <f>30</f>
        <v>30</v>
      </c>
      <c r="H110" s="20">
        <f>25</f>
        <v>25</v>
      </c>
      <c r="I110" s="21"/>
      <c r="J110" s="14"/>
      <c r="K110" s="14">
        <f t="shared" si="2"/>
        <v>95</v>
      </c>
      <c r="L110" s="16">
        <f t="shared" si="3"/>
        <v>96</v>
      </c>
      <c r="M110" s="22">
        <v>44317</v>
      </c>
      <c r="N110" s="44" t="s">
        <v>45</v>
      </c>
      <c r="O110" s="23" t="s">
        <v>16</v>
      </c>
      <c r="P110" s="24" t="s">
        <v>17</v>
      </c>
      <c r="Q110" s="23" t="s">
        <v>176</v>
      </c>
    </row>
    <row r="111" spans="1:17">
      <c r="A111" s="14">
        <v>107</v>
      </c>
      <c r="B111" s="15" t="s">
        <v>177</v>
      </c>
      <c r="C111" s="16">
        <f>'Медикаменты Февраль'!L111</f>
        <v>0</v>
      </c>
      <c r="D111" s="17"/>
      <c r="E111" s="14"/>
      <c r="F111" s="18"/>
      <c r="G111" s="19"/>
      <c r="H111" s="20"/>
      <c r="I111" s="21"/>
      <c r="J111" s="14"/>
      <c r="K111" s="14">
        <f t="shared" si="2"/>
        <v>0</v>
      </c>
      <c r="L111" s="16">
        <f t="shared" si="3"/>
        <v>0</v>
      </c>
      <c r="M111" s="22"/>
      <c r="N111" s="44"/>
      <c r="O111" s="23" t="s">
        <v>16</v>
      </c>
      <c r="P111" s="24"/>
      <c r="Q111" s="25"/>
    </row>
    <row r="112" spans="1:17">
      <c r="A112" s="14">
        <v>108</v>
      </c>
      <c r="B112" s="15" t="s">
        <v>178</v>
      </c>
      <c r="C112" s="16">
        <f>'Медикаменты Февраль'!L112</f>
        <v>13</v>
      </c>
      <c r="D112" s="17"/>
      <c r="E112" s="14"/>
      <c r="F112" s="18">
        <f>5</f>
        <v>5</v>
      </c>
      <c r="G112" s="19"/>
      <c r="H112" s="20"/>
      <c r="I112" s="21"/>
      <c r="J112" s="14"/>
      <c r="K112" s="14">
        <f t="shared" si="2"/>
        <v>5</v>
      </c>
      <c r="L112" s="16">
        <f t="shared" si="3"/>
        <v>8</v>
      </c>
      <c r="M112" s="22">
        <v>44378</v>
      </c>
      <c r="N112" s="44" t="s">
        <v>45</v>
      </c>
      <c r="O112" s="23" t="s">
        <v>16</v>
      </c>
      <c r="P112" s="24" t="s">
        <v>17</v>
      </c>
      <c r="Q112" s="23" t="s">
        <v>179</v>
      </c>
    </row>
    <row r="113" spans="1:17">
      <c r="A113" s="14">
        <v>109</v>
      </c>
      <c r="B113" s="15" t="s">
        <v>180</v>
      </c>
      <c r="C113" s="16">
        <f>'Медикаменты Февраль'!L113</f>
        <v>60</v>
      </c>
      <c r="D113" s="17"/>
      <c r="E113" s="14"/>
      <c r="F113" s="18">
        <f>6</f>
        <v>6</v>
      </c>
      <c r="G113" s="19"/>
      <c r="H113" s="20"/>
      <c r="I113" s="21"/>
      <c r="J113" s="14"/>
      <c r="K113" s="14">
        <f t="shared" si="2"/>
        <v>6</v>
      </c>
      <c r="L113" s="16">
        <f t="shared" si="3"/>
        <v>54</v>
      </c>
      <c r="M113" s="22">
        <v>45200</v>
      </c>
      <c r="N113" s="44" t="s">
        <v>551</v>
      </c>
      <c r="O113" s="23" t="s">
        <v>16</v>
      </c>
      <c r="P113" s="24" t="s">
        <v>17</v>
      </c>
      <c r="Q113" s="23" t="s">
        <v>181</v>
      </c>
    </row>
    <row r="114" spans="1:17">
      <c r="A114" s="14">
        <v>110</v>
      </c>
      <c r="B114" s="15" t="s">
        <v>182</v>
      </c>
      <c r="C114" s="16">
        <f>'Медикаменты Февраль'!L114</f>
        <v>0</v>
      </c>
      <c r="D114" s="17"/>
      <c r="E114" s="14"/>
      <c r="F114" s="18"/>
      <c r="G114" s="19"/>
      <c r="H114" s="20"/>
      <c r="I114" s="21"/>
      <c r="J114" s="14"/>
      <c r="K114" s="14">
        <f t="shared" si="2"/>
        <v>0</v>
      </c>
      <c r="L114" s="16">
        <f t="shared" si="3"/>
        <v>0</v>
      </c>
      <c r="M114" s="22">
        <v>44409</v>
      </c>
      <c r="N114" s="44"/>
      <c r="O114" s="23" t="s">
        <v>16</v>
      </c>
      <c r="P114" s="24"/>
      <c r="Q114" s="23" t="s">
        <v>183</v>
      </c>
    </row>
    <row r="115" spans="1:17">
      <c r="A115" s="14">
        <v>111</v>
      </c>
      <c r="B115" s="15" t="s">
        <v>184</v>
      </c>
      <c r="C115" s="16">
        <f>'Медикаменты Февраль'!L115</f>
        <v>0</v>
      </c>
      <c r="D115" s="17"/>
      <c r="E115" s="14"/>
      <c r="F115" s="18"/>
      <c r="G115" s="19"/>
      <c r="H115" s="20"/>
      <c r="I115" s="21"/>
      <c r="J115" s="14"/>
      <c r="K115" s="14">
        <f t="shared" si="2"/>
        <v>0</v>
      </c>
      <c r="L115" s="16">
        <f t="shared" si="3"/>
        <v>0</v>
      </c>
      <c r="M115" s="22">
        <v>44986</v>
      </c>
      <c r="N115" s="44"/>
      <c r="O115" s="23" t="s">
        <v>16</v>
      </c>
      <c r="P115" s="24" t="s">
        <v>17</v>
      </c>
      <c r="Q115" s="23" t="s">
        <v>185</v>
      </c>
    </row>
    <row r="116" spans="1:17">
      <c r="A116" s="14">
        <v>112</v>
      </c>
      <c r="B116" s="15" t="s">
        <v>186</v>
      </c>
      <c r="C116" s="16">
        <f>'Медикаменты Февраль'!L116</f>
        <v>4</v>
      </c>
      <c r="D116" s="17"/>
      <c r="E116" s="14"/>
      <c r="F116" s="18"/>
      <c r="G116" s="19"/>
      <c r="H116" s="20"/>
      <c r="I116" s="21"/>
      <c r="J116" s="14"/>
      <c r="K116" s="14">
        <f t="shared" si="2"/>
        <v>0</v>
      </c>
      <c r="L116" s="16">
        <f t="shared" si="3"/>
        <v>4</v>
      </c>
      <c r="M116" s="22">
        <v>44743</v>
      </c>
      <c r="N116" s="44" t="s">
        <v>45</v>
      </c>
      <c r="O116" s="23" t="s">
        <v>16</v>
      </c>
      <c r="P116" s="24" t="s">
        <v>17</v>
      </c>
      <c r="Q116" s="23" t="s">
        <v>187</v>
      </c>
    </row>
    <row r="117" spans="1:17">
      <c r="A117" s="14">
        <v>113</v>
      </c>
      <c r="B117" s="15" t="s">
        <v>188</v>
      </c>
      <c r="C117" s="16">
        <f>'Медикаменты Февраль'!L117</f>
        <v>0</v>
      </c>
      <c r="D117" s="17"/>
      <c r="E117" s="14"/>
      <c r="F117" s="18"/>
      <c r="G117" s="19"/>
      <c r="H117" s="20"/>
      <c r="I117" s="21"/>
      <c r="J117" s="14"/>
      <c r="K117" s="14">
        <f t="shared" si="2"/>
        <v>0</v>
      </c>
      <c r="L117" s="16">
        <f t="shared" si="3"/>
        <v>0</v>
      </c>
      <c r="M117" s="22"/>
      <c r="N117" s="44"/>
      <c r="O117" s="23" t="s">
        <v>16</v>
      </c>
      <c r="P117" s="24"/>
      <c r="Q117" s="25"/>
    </row>
    <row r="118" spans="1:17">
      <c r="A118" s="14">
        <v>114</v>
      </c>
      <c r="B118" s="15" t="s">
        <v>189</v>
      </c>
      <c r="C118" s="16">
        <f>'Медикаменты Февраль'!L118</f>
        <v>0</v>
      </c>
      <c r="D118" s="17"/>
      <c r="E118" s="14"/>
      <c r="F118" s="18"/>
      <c r="G118" s="19"/>
      <c r="H118" s="20"/>
      <c r="I118" s="21"/>
      <c r="J118" s="14"/>
      <c r="K118" s="14">
        <f t="shared" si="2"/>
        <v>0</v>
      </c>
      <c r="L118" s="16">
        <f t="shared" si="3"/>
        <v>0</v>
      </c>
      <c r="M118" s="22">
        <v>44348</v>
      </c>
      <c r="N118" s="44"/>
      <c r="O118" s="23" t="s">
        <v>16</v>
      </c>
      <c r="P118" s="24" t="s">
        <v>45</v>
      </c>
      <c r="Q118" s="28" t="s">
        <v>190</v>
      </c>
    </row>
    <row r="119" spans="1:17">
      <c r="A119" s="14">
        <v>115</v>
      </c>
      <c r="B119" s="15" t="s">
        <v>191</v>
      </c>
      <c r="C119" s="16">
        <f>'Медикаменты Февраль'!L119</f>
        <v>0</v>
      </c>
      <c r="D119" s="17"/>
      <c r="E119" s="14"/>
      <c r="F119" s="18"/>
      <c r="G119" s="19"/>
      <c r="H119" s="20"/>
      <c r="I119" s="21"/>
      <c r="J119" s="14"/>
      <c r="K119" s="14">
        <f t="shared" si="2"/>
        <v>0</v>
      </c>
      <c r="L119" s="16">
        <f t="shared" si="3"/>
        <v>0</v>
      </c>
      <c r="M119" s="22"/>
      <c r="N119" s="44"/>
      <c r="O119" s="23" t="s">
        <v>16</v>
      </c>
      <c r="P119" s="24"/>
      <c r="Q119" s="25"/>
    </row>
    <row r="120" spans="1:17">
      <c r="A120" s="14">
        <v>116</v>
      </c>
      <c r="B120" s="15" t="s">
        <v>192</v>
      </c>
      <c r="C120" s="16">
        <f>'Медикаменты Февраль'!L120</f>
        <v>130</v>
      </c>
      <c r="D120" s="17"/>
      <c r="E120" s="14"/>
      <c r="F120" s="18"/>
      <c r="G120" s="19"/>
      <c r="H120" s="20"/>
      <c r="I120" s="21"/>
      <c r="J120" s="14"/>
      <c r="K120" s="14">
        <f t="shared" si="2"/>
        <v>0</v>
      </c>
      <c r="L120" s="16">
        <f t="shared" si="3"/>
        <v>130</v>
      </c>
      <c r="M120" s="22">
        <v>45047</v>
      </c>
      <c r="N120" s="44" t="s">
        <v>45</v>
      </c>
      <c r="O120" s="23" t="s">
        <v>16</v>
      </c>
      <c r="P120" s="24" t="s">
        <v>17</v>
      </c>
      <c r="Q120" s="28" t="s">
        <v>193</v>
      </c>
    </row>
    <row r="121" spans="1:17">
      <c r="A121" s="14">
        <v>117</v>
      </c>
      <c r="B121" s="15" t="s">
        <v>192</v>
      </c>
      <c r="C121" s="16">
        <f>'Медикаменты Февраль'!L121</f>
        <v>0</v>
      </c>
      <c r="D121" s="17"/>
      <c r="E121" s="14"/>
      <c r="F121" s="18"/>
      <c r="G121" s="19"/>
      <c r="H121" s="20"/>
      <c r="I121" s="21"/>
      <c r="J121" s="14"/>
      <c r="K121" s="14">
        <f t="shared" si="2"/>
        <v>0</v>
      </c>
      <c r="L121" s="16">
        <f t="shared" si="3"/>
        <v>0</v>
      </c>
      <c r="M121" s="22">
        <v>45047</v>
      </c>
      <c r="N121" s="44"/>
      <c r="O121" s="23" t="s">
        <v>26</v>
      </c>
      <c r="P121" s="24"/>
      <c r="Q121" s="28" t="s">
        <v>193</v>
      </c>
    </row>
    <row r="122" spans="1:17">
      <c r="A122" s="14">
        <v>118</v>
      </c>
      <c r="B122" s="15" t="s">
        <v>194</v>
      </c>
      <c r="C122" s="16">
        <f>'Медикаменты Февраль'!L122</f>
        <v>10</v>
      </c>
      <c r="D122" s="17"/>
      <c r="E122" s="14"/>
      <c r="F122" s="18"/>
      <c r="G122" s="19"/>
      <c r="H122" s="20"/>
      <c r="I122" s="21"/>
      <c r="J122" s="14"/>
      <c r="K122" s="14">
        <f t="shared" si="2"/>
        <v>0</v>
      </c>
      <c r="L122" s="16">
        <f t="shared" si="3"/>
        <v>10</v>
      </c>
      <c r="M122" s="22">
        <v>45658</v>
      </c>
      <c r="N122" s="44" t="s">
        <v>45</v>
      </c>
      <c r="O122" s="23" t="s">
        <v>16</v>
      </c>
      <c r="P122" s="24" t="s">
        <v>45</v>
      </c>
      <c r="Q122" s="28" t="s">
        <v>195</v>
      </c>
    </row>
    <row r="123" spans="1:17">
      <c r="A123" s="14">
        <v>119</v>
      </c>
      <c r="B123" s="15" t="s">
        <v>196</v>
      </c>
      <c r="C123" s="16">
        <f>'Медикаменты Февраль'!L123</f>
        <v>56</v>
      </c>
      <c r="D123" s="17"/>
      <c r="E123" s="14"/>
      <c r="F123" s="18"/>
      <c r="G123" s="19"/>
      <c r="H123" s="20"/>
      <c r="I123" s="21"/>
      <c r="J123" s="14"/>
      <c r="K123" s="14">
        <f t="shared" si="2"/>
        <v>0</v>
      </c>
      <c r="L123" s="16">
        <f t="shared" si="3"/>
        <v>56</v>
      </c>
      <c r="M123" s="22">
        <v>44593</v>
      </c>
      <c r="N123" s="44" t="s">
        <v>45</v>
      </c>
      <c r="O123" s="23" t="s">
        <v>16</v>
      </c>
      <c r="P123" s="24" t="s">
        <v>17</v>
      </c>
      <c r="Q123" s="28" t="s">
        <v>197</v>
      </c>
    </row>
    <row r="124" spans="1:17">
      <c r="A124" s="14">
        <v>120</v>
      </c>
      <c r="B124" s="15" t="s">
        <v>198</v>
      </c>
      <c r="C124" s="16">
        <f>'Медикаменты Февраль'!L124</f>
        <v>0</v>
      </c>
      <c r="D124" s="17"/>
      <c r="E124" s="14"/>
      <c r="F124" s="18"/>
      <c r="G124" s="19"/>
      <c r="H124" s="20"/>
      <c r="I124" s="21"/>
      <c r="J124" s="14"/>
      <c r="K124" s="14">
        <f t="shared" si="2"/>
        <v>0</v>
      </c>
      <c r="L124" s="16">
        <f t="shared" si="3"/>
        <v>0</v>
      </c>
      <c r="M124" s="22"/>
      <c r="N124" s="44"/>
      <c r="O124" s="23" t="s">
        <v>16</v>
      </c>
      <c r="P124" s="24"/>
      <c r="Q124" s="25"/>
    </row>
    <row r="125" spans="1:17">
      <c r="A125" s="14">
        <v>121</v>
      </c>
      <c r="B125" s="15" t="s">
        <v>199</v>
      </c>
      <c r="C125" s="16">
        <f>'Медикаменты Февраль'!L125</f>
        <v>0</v>
      </c>
      <c r="D125" s="17"/>
      <c r="E125" s="14"/>
      <c r="F125" s="18"/>
      <c r="G125" s="19"/>
      <c r="H125" s="20"/>
      <c r="I125" s="21"/>
      <c r="J125" s="14"/>
      <c r="K125" s="14">
        <f t="shared" si="2"/>
        <v>0</v>
      </c>
      <c r="L125" s="16">
        <f t="shared" si="3"/>
        <v>0</v>
      </c>
      <c r="M125" s="22"/>
      <c r="N125" s="44"/>
      <c r="O125" s="23" t="s">
        <v>16</v>
      </c>
      <c r="P125" s="24"/>
      <c r="Q125" s="25"/>
    </row>
    <row r="126" spans="1:17">
      <c r="A126" s="14">
        <v>122</v>
      </c>
      <c r="B126" s="15" t="s">
        <v>548</v>
      </c>
      <c r="C126" s="16">
        <f>'Медикаменты Февраль'!L126</f>
        <v>235</v>
      </c>
      <c r="D126" s="17"/>
      <c r="E126" s="14"/>
      <c r="F126" s="18">
        <f>5+5+4</f>
        <v>14</v>
      </c>
      <c r="G126" s="19"/>
      <c r="H126" s="20"/>
      <c r="I126" s="21"/>
      <c r="J126" s="14"/>
      <c r="K126" s="14">
        <f t="shared" si="2"/>
        <v>14</v>
      </c>
      <c r="L126" s="16">
        <f t="shared" si="3"/>
        <v>221</v>
      </c>
      <c r="M126" s="22">
        <v>45658</v>
      </c>
      <c r="N126" s="44" t="s">
        <v>45</v>
      </c>
      <c r="O126" s="23" t="s">
        <v>26</v>
      </c>
      <c r="P126" s="24" t="s">
        <v>17</v>
      </c>
      <c r="Q126" s="23" t="s">
        <v>201</v>
      </c>
    </row>
    <row r="127" spans="1:17">
      <c r="A127" s="14">
        <v>123</v>
      </c>
      <c r="B127" s="15" t="s">
        <v>202</v>
      </c>
      <c r="C127" s="16">
        <f>'Медикаменты Февраль'!L127</f>
        <v>0</v>
      </c>
      <c r="D127" s="17"/>
      <c r="E127" s="14"/>
      <c r="F127" s="18"/>
      <c r="G127" s="19"/>
      <c r="H127" s="20"/>
      <c r="I127" s="21"/>
      <c r="J127" s="14"/>
      <c r="K127" s="14">
        <f t="shared" si="2"/>
        <v>0</v>
      </c>
      <c r="L127" s="16">
        <f t="shared" si="3"/>
        <v>0</v>
      </c>
      <c r="M127" s="22"/>
      <c r="N127" s="44"/>
      <c r="O127" s="23" t="s">
        <v>16</v>
      </c>
      <c r="P127" s="24"/>
      <c r="Q127" s="25"/>
    </row>
    <row r="128" spans="1:17">
      <c r="A128" s="14">
        <v>124</v>
      </c>
      <c r="B128" s="15" t="s">
        <v>203</v>
      </c>
      <c r="C128" s="16">
        <f>'Медикаменты Февраль'!L128</f>
        <v>0</v>
      </c>
      <c r="D128" s="17"/>
      <c r="E128" s="14"/>
      <c r="F128" s="18"/>
      <c r="G128" s="19"/>
      <c r="H128" s="20"/>
      <c r="I128" s="21"/>
      <c r="J128" s="14"/>
      <c r="K128" s="14">
        <f t="shared" si="2"/>
        <v>0</v>
      </c>
      <c r="L128" s="16">
        <f t="shared" si="3"/>
        <v>0</v>
      </c>
      <c r="M128" s="22">
        <v>44287</v>
      </c>
      <c r="N128" s="44"/>
      <c r="O128" s="23" t="s">
        <v>16</v>
      </c>
      <c r="P128" s="24"/>
      <c r="Q128" s="23" t="s">
        <v>204</v>
      </c>
    </row>
    <row r="129" spans="1:17">
      <c r="A129" s="14">
        <v>125</v>
      </c>
      <c r="B129" s="15" t="s">
        <v>205</v>
      </c>
      <c r="C129" s="16">
        <f>'Медикаменты Февраль'!L129</f>
        <v>0</v>
      </c>
      <c r="D129" s="17"/>
      <c r="E129" s="14"/>
      <c r="F129" s="18"/>
      <c r="G129" s="19"/>
      <c r="H129" s="20"/>
      <c r="I129" s="21"/>
      <c r="J129" s="14"/>
      <c r="K129" s="14">
        <f t="shared" si="2"/>
        <v>0</v>
      </c>
      <c r="L129" s="16">
        <f t="shared" si="3"/>
        <v>0</v>
      </c>
      <c r="M129" s="22"/>
      <c r="N129" s="44"/>
      <c r="O129" s="23" t="s">
        <v>16</v>
      </c>
      <c r="P129" s="24"/>
      <c r="Q129" s="25"/>
    </row>
    <row r="130" spans="1:17">
      <c r="A130" s="14">
        <v>126</v>
      </c>
      <c r="B130" s="15" t="s">
        <v>206</v>
      </c>
      <c r="C130" s="16">
        <f>'Медикаменты Февраль'!L130</f>
        <v>0</v>
      </c>
      <c r="D130" s="17"/>
      <c r="E130" s="14"/>
      <c r="F130" s="18"/>
      <c r="G130" s="19"/>
      <c r="H130" s="20"/>
      <c r="I130" s="21"/>
      <c r="J130" s="14"/>
      <c r="K130" s="14">
        <f t="shared" si="2"/>
        <v>0</v>
      </c>
      <c r="L130" s="16">
        <f t="shared" si="3"/>
        <v>0</v>
      </c>
      <c r="M130" s="22"/>
      <c r="N130" s="44"/>
      <c r="O130" s="23" t="s">
        <v>16</v>
      </c>
      <c r="P130" s="24"/>
      <c r="Q130" s="25"/>
    </row>
    <row r="131" spans="1:17">
      <c r="A131" s="14">
        <v>127</v>
      </c>
      <c r="B131" s="15" t="s">
        <v>207</v>
      </c>
      <c r="C131" s="16">
        <f>'Медикаменты Февраль'!L131</f>
        <v>0</v>
      </c>
      <c r="D131" s="17"/>
      <c r="E131" s="14"/>
      <c r="F131" s="18"/>
      <c r="G131" s="19"/>
      <c r="H131" s="20"/>
      <c r="I131" s="21"/>
      <c r="J131" s="14"/>
      <c r="K131" s="14">
        <f t="shared" si="2"/>
        <v>0</v>
      </c>
      <c r="L131" s="16">
        <f t="shared" si="3"/>
        <v>0</v>
      </c>
      <c r="M131" s="22"/>
      <c r="N131" s="44"/>
      <c r="O131" s="23" t="s">
        <v>16</v>
      </c>
      <c r="P131" s="24"/>
      <c r="Q131" s="25"/>
    </row>
    <row r="132" spans="1:17">
      <c r="A132" s="14">
        <v>128</v>
      </c>
      <c r="B132" s="15" t="s">
        <v>208</v>
      </c>
      <c r="C132" s="16">
        <f>'Медикаменты Февраль'!L132</f>
        <v>0</v>
      </c>
      <c r="D132" s="17"/>
      <c r="E132" s="14"/>
      <c r="F132" s="18"/>
      <c r="G132" s="19"/>
      <c r="H132" s="20"/>
      <c r="I132" s="21"/>
      <c r="J132" s="14"/>
      <c r="K132" s="14">
        <f t="shared" si="2"/>
        <v>0</v>
      </c>
      <c r="L132" s="16">
        <f t="shared" si="3"/>
        <v>0</v>
      </c>
      <c r="M132" s="22">
        <v>44986</v>
      </c>
      <c r="N132" s="44"/>
      <c r="O132" s="23" t="s">
        <v>16</v>
      </c>
      <c r="P132" s="24"/>
      <c r="Q132" s="23" t="s">
        <v>209</v>
      </c>
    </row>
    <row r="133" spans="1:17">
      <c r="A133" s="14">
        <v>129</v>
      </c>
      <c r="B133" s="15" t="s">
        <v>210</v>
      </c>
      <c r="C133" s="16">
        <f>'Медикаменты Февраль'!L133</f>
        <v>95</v>
      </c>
      <c r="D133" s="17"/>
      <c r="E133" s="14"/>
      <c r="F133" s="18">
        <f>5+5+10</f>
        <v>20</v>
      </c>
      <c r="G133" s="19"/>
      <c r="H133" s="20"/>
      <c r="I133" s="21"/>
      <c r="J133" s="14"/>
      <c r="K133" s="14">
        <f t="shared" ref="K133:K196" si="4">SUM(F133:J133)</f>
        <v>20</v>
      </c>
      <c r="L133" s="16">
        <f t="shared" ref="L133:L196" si="5">(C133+E133)-K133</f>
        <v>75</v>
      </c>
      <c r="M133" s="22">
        <v>45413</v>
      </c>
      <c r="N133" s="44" t="s">
        <v>45</v>
      </c>
      <c r="O133" s="23" t="s">
        <v>16</v>
      </c>
      <c r="P133" s="24" t="s">
        <v>17</v>
      </c>
      <c r="Q133" s="23" t="s">
        <v>211</v>
      </c>
    </row>
    <row r="134" spans="1:17">
      <c r="A134" s="14">
        <v>130</v>
      </c>
      <c r="B134" s="15" t="s">
        <v>210</v>
      </c>
      <c r="C134" s="16">
        <f>'Медикаменты Февраль'!L134</f>
        <v>7</v>
      </c>
      <c r="D134" s="17"/>
      <c r="E134" s="14"/>
      <c r="F134" s="18"/>
      <c r="G134" s="19"/>
      <c r="H134" s="20"/>
      <c r="I134" s="21"/>
      <c r="J134" s="14"/>
      <c r="K134" s="14">
        <f t="shared" si="4"/>
        <v>0</v>
      </c>
      <c r="L134" s="16">
        <f t="shared" si="5"/>
        <v>7</v>
      </c>
      <c r="M134" s="22">
        <v>45413</v>
      </c>
      <c r="N134" s="44" t="s">
        <v>45</v>
      </c>
      <c r="O134" s="23" t="s">
        <v>26</v>
      </c>
      <c r="P134" s="24" t="s">
        <v>17</v>
      </c>
      <c r="Q134" s="23" t="s">
        <v>211</v>
      </c>
    </row>
    <row r="135" spans="1:17">
      <c r="A135" s="14">
        <v>131</v>
      </c>
      <c r="B135" s="15" t="s">
        <v>212</v>
      </c>
      <c r="C135" s="16">
        <f>'Медикаменты Февраль'!L135</f>
        <v>0</v>
      </c>
      <c r="D135" s="17"/>
      <c r="E135" s="14"/>
      <c r="F135" s="18"/>
      <c r="G135" s="19"/>
      <c r="H135" s="20"/>
      <c r="I135" s="21"/>
      <c r="J135" s="14"/>
      <c r="K135" s="14">
        <f t="shared" si="4"/>
        <v>0</v>
      </c>
      <c r="L135" s="16">
        <f t="shared" si="5"/>
        <v>0</v>
      </c>
      <c r="M135" s="22"/>
      <c r="N135" s="44"/>
      <c r="O135" s="23" t="s">
        <v>16</v>
      </c>
      <c r="P135" s="24"/>
      <c r="Q135" s="25"/>
    </row>
    <row r="136" spans="1:17" ht="26.25">
      <c r="A136" s="14">
        <v>132</v>
      </c>
      <c r="B136" s="15" t="s">
        <v>213</v>
      </c>
      <c r="C136" s="16">
        <f>'Медикаменты Февраль'!L136</f>
        <v>68</v>
      </c>
      <c r="D136" s="17"/>
      <c r="E136" s="14"/>
      <c r="F136" s="18">
        <f>10</f>
        <v>10</v>
      </c>
      <c r="G136" s="19"/>
      <c r="H136" s="20"/>
      <c r="I136" s="21"/>
      <c r="J136" s="14"/>
      <c r="K136" s="14">
        <f t="shared" si="4"/>
        <v>10</v>
      </c>
      <c r="L136" s="16">
        <f t="shared" si="5"/>
        <v>58</v>
      </c>
      <c r="M136" s="22">
        <v>44409</v>
      </c>
      <c r="N136" s="44" t="s">
        <v>552</v>
      </c>
      <c r="O136" s="23" t="s">
        <v>16</v>
      </c>
      <c r="P136" s="24" t="s">
        <v>17</v>
      </c>
      <c r="Q136" s="28" t="s">
        <v>214</v>
      </c>
    </row>
    <row r="137" spans="1:17">
      <c r="A137" s="14">
        <v>133</v>
      </c>
      <c r="B137" s="15" t="s">
        <v>215</v>
      </c>
      <c r="C137" s="16">
        <f>'Медикаменты Февраль'!L137</f>
        <v>0</v>
      </c>
      <c r="D137" s="17"/>
      <c r="E137" s="14"/>
      <c r="F137" s="18"/>
      <c r="G137" s="19"/>
      <c r="H137" s="20"/>
      <c r="I137" s="21"/>
      <c r="J137" s="14"/>
      <c r="K137" s="14">
        <f t="shared" si="4"/>
        <v>0</v>
      </c>
      <c r="L137" s="16">
        <f t="shared" si="5"/>
        <v>0</v>
      </c>
      <c r="M137" s="22"/>
      <c r="N137" s="44"/>
      <c r="O137" s="23" t="s">
        <v>26</v>
      </c>
      <c r="P137" s="24"/>
      <c r="Q137" s="25"/>
    </row>
    <row r="138" spans="1:17" ht="26.25">
      <c r="A138" s="14">
        <v>134</v>
      </c>
      <c r="B138" s="15" t="s">
        <v>216</v>
      </c>
      <c r="C138" s="16">
        <f>'Медикаменты Февраль'!L138</f>
        <v>26</v>
      </c>
      <c r="D138" s="17"/>
      <c r="E138" s="14"/>
      <c r="F138" s="18"/>
      <c r="G138" s="19"/>
      <c r="H138" s="20"/>
      <c r="I138" s="21"/>
      <c r="J138" s="14"/>
      <c r="K138" s="14">
        <f t="shared" si="4"/>
        <v>0</v>
      </c>
      <c r="L138" s="16">
        <f t="shared" si="5"/>
        <v>26</v>
      </c>
      <c r="M138" s="22">
        <v>44805</v>
      </c>
      <c r="N138" s="44" t="s">
        <v>45</v>
      </c>
      <c r="O138" s="23" t="s">
        <v>16</v>
      </c>
      <c r="P138" s="24" t="s">
        <v>17</v>
      </c>
      <c r="Q138" s="28" t="s">
        <v>217</v>
      </c>
    </row>
    <row r="139" spans="1:17">
      <c r="A139" s="14">
        <v>135</v>
      </c>
      <c r="B139" s="15" t="s">
        <v>216</v>
      </c>
      <c r="C139" s="16">
        <f>'Медикаменты Февраль'!L139</f>
        <v>0</v>
      </c>
      <c r="D139" s="17"/>
      <c r="E139" s="14"/>
      <c r="F139" s="18"/>
      <c r="G139" s="19"/>
      <c r="H139" s="20"/>
      <c r="I139" s="21"/>
      <c r="J139" s="14"/>
      <c r="K139" s="14">
        <f t="shared" si="4"/>
        <v>0</v>
      </c>
      <c r="L139" s="16">
        <f t="shared" si="5"/>
        <v>0</v>
      </c>
      <c r="M139" s="22"/>
      <c r="N139" s="44"/>
      <c r="O139" s="23" t="s">
        <v>26</v>
      </c>
      <c r="P139" s="24"/>
      <c r="Q139" s="25"/>
    </row>
    <row r="140" spans="1:17">
      <c r="A140" s="14">
        <v>136</v>
      </c>
      <c r="B140" s="15" t="s">
        <v>218</v>
      </c>
      <c r="C140" s="16">
        <f>'Медикаменты Февраль'!L140</f>
        <v>0</v>
      </c>
      <c r="D140" s="17"/>
      <c r="E140" s="14"/>
      <c r="F140" s="18"/>
      <c r="G140" s="19"/>
      <c r="H140" s="20"/>
      <c r="I140" s="21"/>
      <c r="J140" s="14"/>
      <c r="K140" s="14">
        <f t="shared" si="4"/>
        <v>0</v>
      </c>
      <c r="L140" s="16">
        <f t="shared" si="5"/>
        <v>0</v>
      </c>
      <c r="M140" s="22"/>
      <c r="N140" s="44"/>
      <c r="O140" s="23" t="s">
        <v>16</v>
      </c>
      <c r="P140" s="24"/>
      <c r="Q140" s="25"/>
    </row>
    <row r="141" spans="1:17">
      <c r="A141" s="14">
        <v>137</v>
      </c>
      <c r="B141" s="15" t="s">
        <v>219</v>
      </c>
      <c r="C141" s="16">
        <f>'Медикаменты Февраль'!L141</f>
        <v>0</v>
      </c>
      <c r="D141" s="17"/>
      <c r="E141" s="14"/>
      <c r="F141" s="18"/>
      <c r="G141" s="19"/>
      <c r="H141" s="20"/>
      <c r="I141" s="21"/>
      <c r="J141" s="14"/>
      <c r="K141" s="14">
        <f t="shared" si="4"/>
        <v>0</v>
      </c>
      <c r="L141" s="16">
        <f t="shared" si="5"/>
        <v>0</v>
      </c>
      <c r="M141" s="22"/>
      <c r="N141" s="44"/>
      <c r="O141" s="23" t="s">
        <v>16</v>
      </c>
      <c r="P141" s="24"/>
      <c r="Q141" s="25"/>
    </row>
    <row r="142" spans="1:17">
      <c r="A142" s="14">
        <v>138</v>
      </c>
      <c r="B142" s="15" t="s">
        <v>220</v>
      </c>
      <c r="C142" s="16">
        <f>'Медикаменты Февраль'!L142</f>
        <v>0</v>
      </c>
      <c r="D142" s="17"/>
      <c r="E142" s="14"/>
      <c r="F142" s="18"/>
      <c r="G142" s="19"/>
      <c r="H142" s="20"/>
      <c r="I142" s="21"/>
      <c r="J142" s="14"/>
      <c r="K142" s="14">
        <f t="shared" si="4"/>
        <v>0</v>
      </c>
      <c r="L142" s="16">
        <f t="shared" si="5"/>
        <v>0</v>
      </c>
      <c r="M142" s="22">
        <v>44256</v>
      </c>
      <c r="N142" s="44"/>
      <c r="O142" s="23" t="s">
        <v>16</v>
      </c>
      <c r="P142" s="24"/>
      <c r="Q142" s="23" t="s">
        <v>221</v>
      </c>
    </row>
    <row r="143" spans="1:17">
      <c r="A143" s="14">
        <v>139</v>
      </c>
      <c r="B143" s="15" t="s">
        <v>222</v>
      </c>
      <c r="C143" s="16">
        <f>'Медикаменты Февраль'!L143</f>
        <v>86</v>
      </c>
      <c r="D143" s="17"/>
      <c r="E143" s="14"/>
      <c r="F143" s="18">
        <f>30</f>
        <v>30</v>
      </c>
      <c r="G143" s="19">
        <f>5</f>
        <v>5</v>
      </c>
      <c r="H143" s="20">
        <f>15</f>
        <v>15</v>
      </c>
      <c r="I143" s="21"/>
      <c r="J143" s="14"/>
      <c r="K143" s="14">
        <f t="shared" si="4"/>
        <v>50</v>
      </c>
      <c r="L143" s="16">
        <f t="shared" si="5"/>
        <v>36</v>
      </c>
      <c r="M143" s="22">
        <v>44317</v>
      </c>
      <c r="N143" s="44" t="s">
        <v>45</v>
      </c>
      <c r="O143" s="23" t="s">
        <v>16</v>
      </c>
      <c r="P143" s="24" t="s">
        <v>17</v>
      </c>
      <c r="Q143" s="23" t="s">
        <v>223</v>
      </c>
    </row>
    <row r="144" spans="1:17">
      <c r="A144" s="14">
        <v>140</v>
      </c>
      <c r="B144" s="15" t="s">
        <v>224</v>
      </c>
      <c r="C144" s="16">
        <f>'Медикаменты Февраль'!L144</f>
        <v>0</v>
      </c>
      <c r="D144" s="17"/>
      <c r="E144" s="14"/>
      <c r="F144" s="18"/>
      <c r="G144" s="19"/>
      <c r="H144" s="20"/>
      <c r="I144" s="21"/>
      <c r="J144" s="14"/>
      <c r="K144" s="14">
        <f t="shared" si="4"/>
        <v>0</v>
      </c>
      <c r="L144" s="16">
        <f t="shared" si="5"/>
        <v>0</v>
      </c>
      <c r="M144" s="22">
        <v>45261</v>
      </c>
      <c r="N144" s="44"/>
      <c r="O144" s="23" t="s">
        <v>16</v>
      </c>
      <c r="P144" s="24"/>
      <c r="Q144" s="28" t="s">
        <v>225</v>
      </c>
    </row>
    <row r="145" spans="1:17">
      <c r="A145" s="14">
        <v>141</v>
      </c>
      <c r="B145" s="15" t="s">
        <v>226</v>
      </c>
      <c r="C145" s="16">
        <f>'Медикаменты Февраль'!L145</f>
        <v>0</v>
      </c>
      <c r="D145" s="17"/>
      <c r="E145" s="14"/>
      <c r="F145" s="18"/>
      <c r="G145" s="19"/>
      <c r="H145" s="20"/>
      <c r="I145" s="21"/>
      <c r="J145" s="14"/>
      <c r="K145" s="14">
        <f t="shared" si="4"/>
        <v>0</v>
      </c>
      <c r="L145" s="16">
        <f t="shared" si="5"/>
        <v>0</v>
      </c>
      <c r="M145" s="22"/>
      <c r="N145" s="44"/>
      <c r="O145" s="23" t="s">
        <v>16</v>
      </c>
      <c r="P145" s="24"/>
      <c r="Q145" s="25"/>
    </row>
    <row r="146" spans="1:17">
      <c r="A146" s="14">
        <v>142</v>
      </c>
      <c r="B146" s="15" t="s">
        <v>227</v>
      </c>
      <c r="C146" s="16">
        <f>'Медикаменты Февраль'!L146</f>
        <v>0</v>
      </c>
      <c r="D146" s="17"/>
      <c r="E146" s="14"/>
      <c r="F146" s="18"/>
      <c r="G146" s="19"/>
      <c r="H146" s="20"/>
      <c r="I146" s="21"/>
      <c r="J146" s="14"/>
      <c r="K146" s="14">
        <f t="shared" si="4"/>
        <v>0</v>
      </c>
      <c r="L146" s="16">
        <f t="shared" si="5"/>
        <v>0</v>
      </c>
      <c r="M146" s="22">
        <v>44562</v>
      </c>
      <c r="N146" s="44"/>
      <c r="O146" s="23" t="s">
        <v>16</v>
      </c>
      <c r="P146" s="24"/>
      <c r="Q146" s="23" t="s">
        <v>228</v>
      </c>
    </row>
    <row r="147" spans="1:17">
      <c r="A147" s="14">
        <v>143</v>
      </c>
      <c r="B147" s="15" t="s">
        <v>229</v>
      </c>
      <c r="C147" s="16">
        <f>'Медикаменты Февраль'!L147</f>
        <v>36</v>
      </c>
      <c r="D147" s="17"/>
      <c r="E147" s="14"/>
      <c r="F147" s="18"/>
      <c r="G147" s="19"/>
      <c r="H147" s="20"/>
      <c r="I147" s="21"/>
      <c r="J147" s="14"/>
      <c r="K147" s="14">
        <f t="shared" si="4"/>
        <v>0</v>
      </c>
      <c r="L147" s="16">
        <f t="shared" si="5"/>
        <v>36</v>
      </c>
      <c r="M147" s="22">
        <v>44986</v>
      </c>
      <c r="N147" s="44" t="s">
        <v>45</v>
      </c>
      <c r="O147" s="23" t="s">
        <v>16</v>
      </c>
      <c r="P147" s="24" t="s">
        <v>17</v>
      </c>
      <c r="Q147" s="23" t="s">
        <v>230</v>
      </c>
    </row>
    <row r="148" spans="1:17">
      <c r="A148" s="14">
        <v>144</v>
      </c>
      <c r="B148" s="15" t="s">
        <v>231</v>
      </c>
      <c r="C148" s="16">
        <f>'Медикаменты Февраль'!L148</f>
        <v>0</v>
      </c>
      <c r="D148" s="17"/>
      <c r="E148" s="14"/>
      <c r="F148" s="18"/>
      <c r="G148" s="19"/>
      <c r="H148" s="20"/>
      <c r="I148" s="21"/>
      <c r="J148" s="14"/>
      <c r="K148" s="14">
        <f t="shared" si="4"/>
        <v>0</v>
      </c>
      <c r="L148" s="16">
        <f t="shared" si="5"/>
        <v>0</v>
      </c>
      <c r="M148" s="22"/>
      <c r="N148" s="44"/>
      <c r="O148" s="23" t="s">
        <v>16</v>
      </c>
      <c r="P148" s="24"/>
      <c r="Q148" s="25"/>
    </row>
    <row r="149" spans="1:17">
      <c r="A149" s="14">
        <v>145</v>
      </c>
      <c r="B149" s="15" t="s">
        <v>232</v>
      </c>
      <c r="C149" s="16">
        <f>'Медикаменты Февраль'!L149</f>
        <v>0</v>
      </c>
      <c r="D149" s="17"/>
      <c r="E149" s="14"/>
      <c r="F149" s="18"/>
      <c r="G149" s="19"/>
      <c r="H149" s="20"/>
      <c r="I149" s="21"/>
      <c r="J149" s="14"/>
      <c r="K149" s="14">
        <f t="shared" si="4"/>
        <v>0</v>
      </c>
      <c r="L149" s="16">
        <f t="shared" si="5"/>
        <v>0</v>
      </c>
      <c r="M149" s="22"/>
      <c r="N149" s="44"/>
      <c r="O149" s="23" t="s">
        <v>16</v>
      </c>
      <c r="P149" s="24"/>
      <c r="Q149" s="25"/>
    </row>
    <row r="150" spans="1:17">
      <c r="A150" s="14">
        <v>146</v>
      </c>
      <c r="B150" s="15" t="s">
        <v>233</v>
      </c>
      <c r="C150" s="16">
        <f>'Медикаменты Февраль'!L150</f>
        <v>29</v>
      </c>
      <c r="D150" s="17"/>
      <c r="E150" s="14"/>
      <c r="F150" s="18">
        <f>22</f>
        <v>22</v>
      </c>
      <c r="G150" s="19"/>
      <c r="H150" s="20">
        <f>7</f>
        <v>7</v>
      </c>
      <c r="I150" s="21"/>
      <c r="J150" s="14"/>
      <c r="K150" s="14">
        <f t="shared" si="4"/>
        <v>29</v>
      </c>
      <c r="L150" s="16">
        <f t="shared" si="5"/>
        <v>0</v>
      </c>
      <c r="M150" s="22">
        <v>44287</v>
      </c>
      <c r="N150" s="44"/>
      <c r="O150" s="23" t="s">
        <v>16</v>
      </c>
      <c r="P150" s="24" t="s">
        <v>45</v>
      </c>
      <c r="Q150" s="23" t="s">
        <v>234</v>
      </c>
    </row>
    <row r="151" spans="1:17">
      <c r="A151" s="14">
        <v>147</v>
      </c>
      <c r="B151" s="15" t="s">
        <v>235</v>
      </c>
      <c r="C151" s="16">
        <f>'Медикаменты Февраль'!L151</f>
        <v>0</v>
      </c>
      <c r="D151" s="17"/>
      <c r="E151" s="14"/>
      <c r="F151" s="18"/>
      <c r="G151" s="19"/>
      <c r="H151" s="20"/>
      <c r="I151" s="21"/>
      <c r="J151" s="14"/>
      <c r="K151" s="14">
        <f t="shared" si="4"/>
        <v>0</v>
      </c>
      <c r="L151" s="16">
        <f t="shared" si="5"/>
        <v>0</v>
      </c>
      <c r="M151" s="22"/>
      <c r="N151" s="44"/>
      <c r="O151" s="23" t="s">
        <v>16</v>
      </c>
      <c r="P151" s="24"/>
      <c r="Q151" s="25"/>
    </row>
    <row r="152" spans="1:17">
      <c r="A152" s="14">
        <v>148</v>
      </c>
      <c r="B152" s="15" t="s">
        <v>236</v>
      </c>
      <c r="C152" s="16">
        <f>'Медикаменты Февраль'!L152</f>
        <v>79</v>
      </c>
      <c r="D152" s="17"/>
      <c r="E152" s="14"/>
      <c r="F152" s="18"/>
      <c r="G152" s="19"/>
      <c r="H152" s="20"/>
      <c r="I152" s="21"/>
      <c r="J152" s="14"/>
      <c r="K152" s="14">
        <f t="shared" si="4"/>
        <v>0</v>
      </c>
      <c r="L152" s="16">
        <f t="shared" si="5"/>
        <v>79</v>
      </c>
      <c r="M152" s="22">
        <v>44593</v>
      </c>
      <c r="N152" s="44" t="s">
        <v>45</v>
      </c>
      <c r="O152" s="23" t="s">
        <v>16</v>
      </c>
      <c r="P152" s="24" t="s">
        <v>45</v>
      </c>
      <c r="Q152" s="28" t="s">
        <v>237</v>
      </c>
    </row>
    <row r="153" spans="1:17">
      <c r="A153" s="14">
        <v>149</v>
      </c>
      <c r="B153" s="15" t="s">
        <v>238</v>
      </c>
      <c r="C153" s="16">
        <f>'Медикаменты Февраль'!L153</f>
        <v>0</v>
      </c>
      <c r="D153" s="17"/>
      <c r="E153" s="14"/>
      <c r="F153" s="18"/>
      <c r="G153" s="19"/>
      <c r="H153" s="20"/>
      <c r="I153" s="21"/>
      <c r="J153" s="14"/>
      <c r="K153" s="14">
        <f t="shared" si="4"/>
        <v>0</v>
      </c>
      <c r="L153" s="16">
        <f t="shared" si="5"/>
        <v>0</v>
      </c>
      <c r="M153" s="22"/>
      <c r="N153" s="44"/>
      <c r="O153" s="23" t="s">
        <v>16</v>
      </c>
      <c r="P153" s="24"/>
      <c r="Q153" s="25"/>
    </row>
    <row r="154" spans="1:17">
      <c r="A154" s="14">
        <v>150</v>
      </c>
      <c r="B154" s="15" t="s">
        <v>239</v>
      </c>
      <c r="C154" s="16">
        <f>'Медикаменты Февраль'!L154</f>
        <v>0</v>
      </c>
      <c r="D154" s="17"/>
      <c r="E154" s="14"/>
      <c r="F154" s="18"/>
      <c r="G154" s="19"/>
      <c r="H154" s="20"/>
      <c r="I154" s="21"/>
      <c r="J154" s="14"/>
      <c r="K154" s="14">
        <f t="shared" si="4"/>
        <v>0</v>
      </c>
      <c r="L154" s="16">
        <f t="shared" si="5"/>
        <v>0</v>
      </c>
      <c r="M154" s="22"/>
      <c r="N154" s="44"/>
      <c r="O154" s="23" t="s">
        <v>16</v>
      </c>
      <c r="P154" s="24"/>
      <c r="Q154" s="25"/>
    </row>
    <row r="155" spans="1:17">
      <c r="A155" s="14">
        <v>151</v>
      </c>
      <c r="B155" s="15" t="s">
        <v>240</v>
      </c>
      <c r="C155" s="16">
        <f>'Медикаменты Февраль'!L155</f>
        <v>121</v>
      </c>
      <c r="D155" s="17"/>
      <c r="E155" s="14"/>
      <c r="F155" s="18">
        <f>5+5</f>
        <v>10</v>
      </c>
      <c r="G155" s="19"/>
      <c r="H155" s="20"/>
      <c r="I155" s="21"/>
      <c r="J155" s="14"/>
      <c r="K155" s="14">
        <f t="shared" si="4"/>
        <v>10</v>
      </c>
      <c r="L155" s="16">
        <f t="shared" si="5"/>
        <v>111</v>
      </c>
      <c r="M155" s="22">
        <v>44652</v>
      </c>
      <c r="N155" s="44" t="s">
        <v>45</v>
      </c>
      <c r="O155" s="23" t="s">
        <v>16</v>
      </c>
      <c r="P155" s="24" t="s">
        <v>17</v>
      </c>
      <c r="Q155" s="28" t="s">
        <v>241</v>
      </c>
    </row>
    <row r="156" spans="1:17">
      <c r="A156" s="14">
        <v>152</v>
      </c>
      <c r="B156" s="15" t="s">
        <v>242</v>
      </c>
      <c r="C156" s="16">
        <f>'Медикаменты Февраль'!L156</f>
        <v>0</v>
      </c>
      <c r="D156" s="17"/>
      <c r="E156" s="14"/>
      <c r="F156" s="18"/>
      <c r="G156" s="19"/>
      <c r="H156" s="20"/>
      <c r="I156" s="21"/>
      <c r="J156" s="14"/>
      <c r="K156" s="14">
        <f t="shared" si="4"/>
        <v>0</v>
      </c>
      <c r="L156" s="16">
        <f t="shared" si="5"/>
        <v>0</v>
      </c>
      <c r="M156" s="22"/>
      <c r="N156" s="44"/>
      <c r="O156" s="23" t="s">
        <v>16</v>
      </c>
      <c r="P156" s="24"/>
      <c r="Q156" s="25"/>
    </row>
    <row r="157" spans="1:17" ht="26.25">
      <c r="A157" s="14">
        <v>153</v>
      </c>
      <c r="B157" s="15" t="s">
        <v>243</v>
      </c>
      <c r="C157" s="16">
        <f>'Медикаменты Февраль'!L157</f>
        <v>150</v>
      </c>
      <c r="D157" s="17"/>
      <c r="E157" s="14"/>
      <c r="F157" s="18"/>
      <c r="G157" s="19"/>
      <c r="H157" s="20"/>
      <c r="I157" s="21"/>
      <c r="J157" s="14"/>
      <c r="K157" s="14">
        <f t="shared" si="4"/>
        <v>0</v>
      </c>
      <c r="L157" s="16">
        <f t="shared" si="5"/>
        <v>150</v>
      </c>
      <c r="M157" s="22">
        <v>44501</v>
      </c>
      <c r="N157" s="44" t="s">
        <v>45</v>
      </c>
      <c r="O157" s="23" t="s">
        <v>16</v>
      </c>
      <c r="P157" s="24" t="s">
        <v>17</v>
      </c>
      <c r="Q157" s="28" t="s">
        <v>244</v>
      </c>
    </row>
    <row r="158" spans="1:17">
      <c r="A158" s="14">
        <v>154</v>
      </c>
      <c r="B158" s="15" t="s">
        <v>245</v>
      </c>
      <c r="C158" s="16">
        <f>'Медикаменты Февраль'!L158</f>
        <v>0</v>
      </c>
      <c r="D158" s="17"/>
      <c r="E158" s="14"/>
      <c r="F158" s="18"/>
      <c r="G158" s="19"/>
      <c r="H158" s="20"/>
      <c r="I158" s="21"/>
      <c r="J158" s="14"/>
      <c r="K158" s="14">
        <f t="shared" si="4"/>
        <v>0</v>
      </c>
      <c r="L158" s="16">
        <f t="shared" si="5"/>
        <v>0</v>
      </c>
      <c r="M158" s="22"/>
      <c r="N158" s="44"/>
      <c r="O158" s="23" t="s">
        <v>16</v>
      </c>
      <c r="P158" s="24"/>
      <c r="Q158" s="25"/>
    </row>
    <row r="159" spans="1:17">
      <c r="A159" s="14">
        <v>155</v>
      </c>
      <c r="B159" s="15" t="s">
        <v>246</v>
      </c>
      <c r="C159" s="16">
        <f>'Медикаменты Февраль'!L159</f>
        <v>0</v>
      </c>
      <c r="D159" s="17"/>
      <c r="E159" s="14"/>
      <c r="F159" s="18"/>
      <c r="G159" s="19"/>
      <c r="H159" s="20"/>
      <c r="I159" s="21"/>
      <c r="J159" s="14"/>
      <c r="K159" s="14">
        <f t="shared" si="4"/>
        <v>0</v>
      </c>
      <c r="L159" s="16">
        <f t="shared" si="5"/>
        <v>0</v>
      </c>
      <c r="M159" s="22"/>
      <c r="N159" s="44"/>
      <c r="O159" s="23" t="s">
        <v>16</v>
      </c>
      <c r="P159" s="24"/>
      <c r="Q159" s="25"/>
    </row>
    <row r="160" spans="1:17">
      <c r="A160" s="14">
        <v>156</v>
      </c>
      <c r="B160" s="15" t="s">
        <v>247</v>
      </c>
      <c r="C160" s="16">
        <f>'Медикаменты Февраль'!L160</f>
        <v>0</v>
      </c>
      <c r="D160" s="17"/>
      <c r="E160" s="14"/>
      <c r="F160" s="18"/>
      <c r="G160" s="19"/>
      <c r="H160" s="20"/>
      <c r="I160" s="21"/>
      <c r="J160" s="14"/>
      <c r="K160" s="14">
        <f t="shared" si="4"/>
        <v>0</v>
      </c>
      <c r="L160" s="16">
        <f t="shared" si="5"/>
        <v>0</v>
      </c>
      <c r="M160" s="22"/>
      <c r="N160" s="44"/>
      <c r="O160" s="23" t="s">
        <v>16</v>
      </c>
      <c r="P160" s="24"/>
      <c r="Q160" s="25"/>
    </row>
    <row r="161" spans="1:17">
      <c r="A161" s="14">
        <v>157</v>
      </c>
      <c r="B161" s="15" t="s">
        <v>248</v>
      </c>
      <c r="C161" s="16">
        <f>'Медикаменты Февраль'!L161</f>
        <v>0</v>
      </c>
      <c r="D161" s="17"/>
      <c r="E161" s="14"/>
      <c r="F161" s="18"/>
      <c r="G161" s="19"/>
      <c r="H161" s="20"/>
      <c r="I161" s="21"/>
      <c r="J161" s="14"/>
      <c r="K161" s="14">
        <f t="shared" si="4"/>
        <v>0</v>
      </c>
      <c r="L161" s="16">
        <f t="shared" si="5"/>
        <v>0</v>
      </c>
      <c r="M161" s="22"/>
      <c r="N161" s="44"/>
      <c r="O161" s="23" t="s">
        <v>16</v>
      </c>
      <c r="P161" s="24"/>
      <c r="Q161" s="25"/>
    </row>
    <row r="162" spans="1:17">
      <c r="A162" s="14">
        <v>158</v>
      </c>
      <c r="B162" s="15" t="s">
        <v>249</v>
      </c>
      <c r="C162" s="16">
        <f>'Медикаменты Февраль'!L162</f>
        <v>0</v>
      </c>
      <c r="D162" s="17"/>
      <c r="E162" s="14"/>
      <c r="F162" s="18"/>
      <c r="G162" s="19"/>
      <c r="H162" s="20"/>
      <c r="I162" s="21"/>
      <c r="J162" s="14"/>
      <c r="K162" s="14">
        <f t="shared" si="4"/>
        <v>0</v>
      </c>
      <c r="L162" s="16">
        <f t="shared" si="5"/>
        <v>0</v>
      </c>
      <c r="M162" s="22"/>
      <c r="N162" s="44"/>
      <c r="O162" s="23" t="s">
        <v>16</v>
      </c>
      <c r="P162" s="24"/>
      <c r="Q162" s="25"/>
    </row>
    <row r="163" spans="1:17">
      <c r="A163" s="14">
        <v>159</v>
      </c>
      <c r="B163" s="15" t="s">
        <v>250</v>
      </c>
      <c r="C163" s="16">
        <f>'Медикаменты Февраль'!L163</f>
        <v>0</v>
      </c>
      <c r="D163" s="17"/>
      <c r="E163" s="14"/>
      <c r="F163" s="18"/>
      <c r="G163" s="19"/>
      <c r="H163" s="20"/>
      <c r="I163" s="21"/>
      <c r="J163" s="14"/>
      <c r="K163" s="14">
        <f t="shared" si="4"/>
        <v>0</v>
      </c>
      <c r="L163" s="16">
        <f t="shared" si="5"/>
        <v>0</v>
      </c>
      <c r="M163" s="22"/>
      <c r="N163" s="44"/>
      <c r="O163" s="23" t="s">
        <v>16</v>
      </c>
      <c r="P163" s="24"/>
      <c r="Q163" s="25"/>
    </row>
    <row r="164" spans="1:17">
      <c r="A164" s="14">
        <v>160</v>
      </c>
      <c r="B164" s="15" t="s">
        <v>251</v>
      </c>
      <c r="C164" s="16">
        <f>'Медикаменты Февраль'!L164</f>
        <v>5</v>
      </c>
      <c r="D164" s="17"/>
      <c r="E164" s="14"/>
      <c r="F164" s="18"/>
      <c r="G164" s="19"/>
      <c r="H164" s="20"/>
      <c r="I164" s="21"/>
      <c r="J164" s="14"/>
      <c r="K164" s="14">
        <f t="shared" si="4"/>
        <v>0</v>
      </c>
      <c r="L164" s="16">
        <f t="shared" si="5"/>
        <v>5</v>
      </c>
      <c r="M164" s="22">
        <v>44682</v>
      </c>
      <c r="N164" s="44" t="s">
        <v>45</v>
      </c>
      <c r="O164" s="23" t="s">
        <v>16</v>
      </c>
      <c r="P164" s="24" t="s">
        <v>45</v>
      </c>
      <c r="Q164" s="23" t="s">
        <v>252</v>
      </c>
    </row>
    <row r="165" spans="1:17">
      <c r="A165" s="14">
        <v>161</v>
      </c>
      <c r="B165" s="15" t="s">
        <v>253</v>
      </c>
      <c r="C165" s="16">
        <f>'Медикаменты Февраль'!L165</f>
        <v>100</v>
      </c>
      <c r="D165" s="17"/>
      <c r="E165" s="14"/>
      <c r="F165" s="18"/>
      <c r="G165" s="19"/>
      <c r="H165" s="20"/>
      <c r="I165" s="21"/>
      <c r="J165" s="14"/>
      <c r="K165" s="14">
        <f t="shared" si="4"/>
        <v>0</v>
      </c>
      <c r="L165" s="16">
        <f t="shared" si="5"/>
        <v>100</v>
      </c>
      <c r="M165" s="22">
        <v>45047</v>
      </c>
      <c r="N165" s="44" t="s">
        <v>45</v>
      </c>
      <c r="O165" s="23" t="s">
        <v>16</v>
      </c>
      <c r="P165" s="24" t="s">
        <v>17</v>
      </c>
      <c r="Q165" s="23" t="s">
        <v>254</v>
      </c>
    </row>
    <row r="166" spans="1:17">
      <c r="A166" s="14">
        <v>162</v>
      </c>
      <c r="B166" s="15" t="s">
        <v>255</v>
      </c>
      <c r="C166" s="16">
        <f>'Медикаменты Февраль'!L166</f>
        <v>0</v>
      </c>
      <c r="D166" s="17"/>
      <c r="E166" s="14"/>
      <c r="F166" s="18"/>
      <c r="G166" s="19"/>
      <c r="H166" s="20"/>
      <c r="I166" s="21"/>
      <c r="J166" s="14"/>
      <c r="K166" s="14">
        <f t="shared" si="4"/>
        <v>0</v>
      </c>
      <c r="L166" s="16">
        <f t="shared" si="5"/>
        <v>0</v>
      </c>
      <c r="M166" s="22">
        <v>44562</v>
      </c>
      <c r="N166" s="44"/>
      <c r="O166" s="23" t="s">
        <v>26</v>
      </c>
      <c r="P166" s="24"/>
      <c r="Q166" s="23"/>
    </row>
    <row r="167" spans="1:17">
      <c r="A167" s="14">
        <v>163</v>
      </c>
      <c r="B167" s="15" t="s">
        <v>256</v>
      </c>
      <c r="C167" s="16">
        <f>'Медикаменты Февраль'!L167</f>
        <v>0</v>
      </c>
      <c r="D167" s="17"/>
      <c r="E167" s="14"/>
      <c r="F167" s="18"/>
      <c r="G167" s="19"/>
      <c r="H167" s="20"/>
      <c r="I167" s="21"/>
      <c r="J167" s="14"/>
      <c r="K167" s="14">
        <f t="shared" si="4"/>
        <v>0</v>
      </c>
      <c r="L167" s="16">
        <f t="shared" si="5"/>
        <v>0</v>
      </c>
      <c r="M167" s="22">
        <v>44044</v>
      </c>
      <c r="N167" s="44"/>
      <c r="O167" s="23" t="s">
        <v>16</v>
      </c>
      <c r="P167" s="24"/>
      <c r="Q167" s="25"/>
    </row>
    <row r="168" spans="1:17">
      <c r="A168" s="14">
        <v>164</v>
      </c>
      <c r="B168" s="15" t="s">
        <v>257</v>
      </c>
      <c r="C168" s="16">
        <f>'Медикаменты Февраль'!L168</f>
        <v>91</v>
      </c>
      <c r="D168" s="17"/>
      <c r="E168" s="14"/>
      <c r="F168" s="18">
        <f>70</f>
        <v>70</v>
      </c>
      <c r="G168" s="19"/>
      <c r="H168" s="20">
        <f>21</f>
        <v>21</v>
      </c>
      <c r="I168" s="21"/>
      <c r="J168" s="14"/>
      <c r="K168" s="14">
        <f t="shared" si="4"/>
        <v>91</v>
      </c>
      <c r="L168" s="16">
        <f t="shared" si="5"/>
        <v>0</v>
      </c>
      <c r="M168" s="22">
        <v>44287</v>
      </c>
      <c r="N168" s="44"/>
      <c r="O168" s="23" t="s">
        <v>16</v>
      </c>
      <c r="P168" s="24" t="s">
        <v>17</v>
      </c>
      <c r="Q168" s="23" t="s">
        <v>258</v>
      </c>
    </row>
    <row r="169" spans="1:17">
      <c r="A169" s="14">
        <v>165</v>
      </c>
      <c r="B169" s="15" t="s">
        <v>259</v>
      </c>
      <c r="C169" s="16">
        <f>'Медикаменты Февраль'!L169</f>
        <v>13</v>
      </c>
      <c r="D169" s="17"/>
      <c r="E169" s="14"/>
      <c r="F169" s="18"/>
      <c r="G169" s="19"/>
      <c r="H169" s="20"/>
      <c r="I169" s="21"/>
      <c r="J169" s="14"/>
      <c r="K169" s="14">
        <f t="shared" si="4"/>
        <v>0</v>
      </c>
      <c r="L169" s="16">
        <f t="shared" si="5"/>
        <v>13</v>
      </c>
      <c r="M169" s="22">
        <v>44531</v>
      </c>
      <c r="N169" s="44" t="s">
        <v>45</v>
      </c>
      <c r="O169" s="23" t="s">
        <v>16</v>
      </c>
      <c r="P169" s="24" t="s">
        <v>17</v>
      </c>
      <c r="Q169" s="28" t="s">
        <v>260</v>
      </c>
    </row>
    <row r="170" spans="1:17">
      <c r="A170" s="14">
        <v>166</v>
      </c>
      <c r="B170" s="15" t="s">
        <v>261</v>
      </c>
      <c r="C170" s="16">
        <f>'Медикаменты Февраль'!L170</f>
        <v>0</v>
      </c>
      <c r="D170" s="17"/>
      <c r="E170" s="14"/>
      <c r="F170" s="18"/>
      <c r="G170" s="19"/>
      <c r="H170" s="20"/>
      <c r="I170" s="21"/>
      <c r="J170" s="14"/>
      <c r="K170" s="14">
        <f t="shared" si="4"/>
        <v>0</v>
      </c>
      <c r="L170" s="16">
        <f t="shared" si="5"/>
        <v>0</v>
      </c>
      <c r="M170" s="22">
        <v>44440</v>
      </c>
      <c r="N170" s="44"/>
      <c r="O170" s="23" t="s">
        <v>16</v>
      </c>
      <c r="P170" s="24"/>
      <c r="Q170" s="28" t="s">
        <v>262</v>
      </c>
    </row>
    <row r="171" spans="1:17">
      <c r="A171" s="14">
        <v>167</v>
      </c>
      <c r="B171" s="15" t="s">
        <v>261</v>
      </c>
      <c r="C171" s="16">
        <f>'Медикаменты Февраль'!L171</f>
        <v>79</v>
      </c>
      <c r="D171" s="17"/>
      <c r="E171" s="14"/>
      <c r="F171" s="18">
        <f>5+3</f>
        <v>8</v>
      </c>
      <c r="G171" s="19"/>
      <c r="H171" s="20"/>
      <c r="I171" s="21"/>
      <c r="J171" s="14"/>
      <c r="K171" s="14">
        <f t="shared" si="4"/>
        <v>8</v>
      </c>
      <c r="L171" s="16">
        <f t="shared" si="5"/>
        <v>71</v>
      </c>
      <c r="M171" s="22">
        <v>44501</v>
      </c>
      <c r="N171" s="44" t="s">
        <v>45</v>
      </c>
      <c r="O171" s="23" t="s">
        <v>16</v>
      </c>
      <c r="P171" s="24" t="s">
        <v>17</v>
      </c>
      <c r="Q171" s="28" t="s">
        <v>262</v>
      </c>
    </row>
    <row r="172" spans="1:17">
      <c r="A172" s="14">
        <v>168</v>
      </c>
      <c r="B172" s="15" t="s">
        <v>263</v>
      </c>
      <c r="C172" s="16">
        <f>'Медикаменты Февраль'!L172</f>
        <v>0</v>
      </c>
      <c r="D172" s="17"/>
      <c r="E172" s="14"/>
      <c r="F172" s="18"/>
      <c r="G172" s="19"/>
      <c r="H172" s="20"/>
      <c r="I172" s="21"/>
      <c r="J172" s="14"/>
      <c r="K172" s="14">
        <f t="shared" si="4"/>
        <v>0</v>
      </c>
      <c r="L172" s="16">
        <f t="shared" si="5"/>
        <v>0</v>
      </c>
      <c r="M172" s="22"/>
      <c r="N172" s="44"/>
      <c r="O172" s="23" t="s">
        <v>16</v>
      </c>
      <c r="P172" s="24"/>
      <c r="Q172" s="25"/>
    </row>
    <row r="173" spans="1:17">
      <c r="A173" s="14">
        <v>169</v>
      </c>
      <c r="B173" s="15" t="s">
        <v>264</v>
      </c>
      <c r="C173" s="16">
        <f>'Медикаменты Февраль'!L173</f>
        <v>0</v>
      </c>
      <c r="D173" s="17"/>
      <c r="E173" s="14"/>
      <c r="F173" s="18"/>
      <c r="G173" s="19"/>
      <c r="H173" s="20"/>
      <c r="I173" s="21"/>
      <c r="J173" s="14"/>
      <c r="K173" s="14">
        <f t="shared" si="4"/>
        <v>0</v>
      </c>
      <c r="L173" s="16">
        <f t="shared" si="5"/>
        <v>0</v>
      </c>
      <c r="M173" s="22"/>
      <c r="N173" s="44"/>
      <c r="O173" s="23" t="s">
        <v>16</v>
      </c>
      <c r="P173" s="24"/>
      <c r="Q173" s="25"/>
    </row>
    <row r="174" spans="1:17">
      <c r="A174" s="14">
        <v>170</v>
      </c>
      <c r="B174" s="15" t="s">
        <v>265</v>
      </c>
      <c r="C174" s="16">
        <f>'Медикаменты Февраль'!L174</f>
        <v>0</v>
      </c>
      <c r="D174" s="17"/>
      <c r="E174" s="14"/>
      <c r="F174" s="18"/>
      <c r="G174" s="19"/>
      <c r="H174" s="20"/>
      <c r="I174" s="21"/>
      <c r="J174" s="14"/>
      <c r="K174" s="14">
        <f t="shared" si="4"/>
        <v>0</v>
      </c>
      <c r="L174" s="16">
        <f t="shared" si="5"/>
        <v>0</v>
      </c>
      <c r="M174" s="22"/>
      <c r="N174" s="44"/>
      <c r="O174" s="23" t="s">
        <v>16</v>
      </c>
      <c r="P174" s="24"/>
      <c r="Q174" s="25"/>
    </row>
    <row r="175" spans="1:17">
      <c r="A175" s="14">
        <v>171</v>
      </c>
      <c r="B175" s="15" t="s">
        <v>266</v>
      </c>
      <c r="C175" s="16">
        <f>'Медикаменты Февраль'!L175</f>
        <v>0</v>
      </c>
      <c r="D175" s="17"/>
      <c r="E175" s="14"/>
      <c r="F175" s="18"/>
      <c r="G175" s="19"/>
      <c r="H175" s="20"/>
      <c r="I175" s="21"/>
      <c r="J175" s="14"/>
      <c r="K175" s="14">
        <f t="shared" si="4"/>
        <v>0</v>
      </c>
      <c r="L175" s="16">
        <f t="shared" si="5"/>
        <v>0</v>
      </c>
      <c r="M175" s="22"/>
      <c r="N175" s="44"/>
      <c r="O175" s="23" t="s">
        <v>16</v>
      </c>
      <c r="P175" s="24"/>
      <c r="Q175" s="25"/>
    </row>
    <row r="176" spans="1:17">
      <c r="A176" s="14">
        <v>172</v>
      </c>
      <c r="B176" s="15" t="s">
        <v>267</v>
      </c>
      <c r="C176" s="16">
        <f>'Медикаменты Февраль'!L176</f>
        <v>0</v>
      </c>
      <c r="D176" s="17"/>
      <c r="E176" s="14"/>
      <c r="F176" s="18"/>
      <c r="G176" s="19"/>
      <c r="H176" s="20"/>
      <c r="I176" s="21"/>
      <c r="J176" s="14"/>
      <c r="K176" s="14">
        <f t="shared" si="4"/>
        <v>0</v>
      </c>
      <c r="L176" s="16">
        <f t="shared" si="5"/>
        <v>0</v>
      </c>
      <c r="M176" s="22"/>
      <c r="N176" s="44"/>
      <c r="O176" s="23" t="s">
        <v>16</v>
      </c>
      <c r="P176" s="24"/>
      <c r="Q176" s="25"/>
    </row>
    <row r="177" spans="1:17">
      <c r="A177" s="14">
        <v>173</v>
      </c>
      <c r="B177" s="15" t="s">
        <v>268</v>
      </c>
      <c r="C177" s="16">
        <f>'Медикаменты Февраль'!L177</f>
        <v>0</v>
      </c>
      <c r="D177" s="17"/>
      <c r="E177" s="14"/>
      <c r="F177" s="18"/>
      <c r="G177" s="19"/>
      <c r="H177" s="20"/>
      <c r="I177" s="21"/>
      <c r="J177" s="14"/>
      <c r="K177" s="14">
        <f t="shared" si="4"/>
        <v>0</v>
      </c>
      <c r="L177" s="16">
        <f t="shared" si="5"/>
        <v>0</v>
      </c>
      <c r="M177" s="22">
        <v>45323</v>
      </c>
      <c r="N177" s="44"/>
      <c r="O177" s="23" t="s">
        <v>16</v>
      </c>
      <c r="P177" s="24"/>
      <c r="Q177" s="28" t="s">
        <v>269</v>
      </c>
    </row>
    <row r="178" spans="1:17">
      <c r="A178" s="14">
        <v>174</v>
      </c>
      <c r="B178" s="15" t="s">
        <v>268</v>
      </c>
      <c r="C178" s="16">
        <f>'Медикаменты Февраль'!L178</f>
        <v>0</v>
      </c>
      <c r="D178" s="17"/>
      <c r="E178" s="14"/>
      <c r="F178" s="18"/>
      <c r="G178" s="19"/>
      <c r="H178" s="20"/>
      <c r="I178" s="21"/>
      <c r="J178" s="14"/>
      <c r="K178" s="14">
        <f t="shared" si="4"/>
        <v>0</v>
      </c>
      <c r="L178" s="16">
        <f t="shared" si="5"/>
        <v>0</v>
      </c>
      <c r="M178" s="22">
        <v>45323</v>
      </c>
      <c r="N178" s="44"/>
      <c r="O178" s="23" t="s">
        <v>26</v>
      </c>
      <c r="P178" s="24"/>
      <c r="Q178" s="28" t="s">
        <v>269</v>
      </c>
    </row>
    <row r="179" spans="1:17">
      <c r="A179" s="14">
        <v>175</v>
      </c>
      <c r="B179" s="15" t="s">
        <v>270</v>
      </c>
      <c r="C179" s="16">
        <f>'Медикаменты Февраль'!L179</f>
        <v>0</v>
      </c>
      <c r="D179" s="17"/>
      <c r="E179" s="14"/>
      <c r="F179" s="18"/>
      <c r="G179" s="19"/>
      <c r="H179" s="20"/>
      <c r="I179" s="21"/>
      <c r="J179" s="14"/>
      <c r="K179" s="14">
        <f t="shared" si="4"/>
        <v>0</v>
      </c>
      <c r="L179" s="16">
        <f t="shared" si="5"/>
        <v>0</v>
      </c>
      <c r="M179" s="22">
        <v>44075</v>
      </c>
      <c r="N179" s="44"/>
      <c r="O179" s="23" t="s">
        <v>16</v>
      </c>
      <c r="P179" s="24"/>
      <c r="Q179" s="23" t="s">
        <v>271</v>
      </c>
    </row>
    <row r="180" spans="1:17">
      <c r="A180" s="14">
        <v>176</v>
      </c>
      <c r="B180" s="15" t="s">
        <v>272</v>
      </c>
      <c r="C180" s="16">
        <f>'Медикаменты Февраль'!L180</f>
        <v>29</v>
      </c>
      <c r="D180" s="17"/>
      <c r="E180" s="14"/>
      <c r="F180" s="18">
        <f>3</f>
        <v>3</v>
      </c>
      <c r="G180" s="19"/>
      <c r="H180" s="20"/>
      <c r="I180" s="21"/>
      <c r="J180" s="14"/>
      <c r="K180" s="14">
        <f t="shared" si="4"/>
        <v>3</v>
      </c>
      <c r="L180" s="16">
        <f t="shared" si="5"/>
        <v>26</v>
      </c>
      <c r="M180" s="22">
        <v>45352</v>
      </c>
      <c r="N180" s="44" t="s">
        <v>551</v>
      </c>
      <c r="O180" s="23" t="s">
        <v>16</v>
      </c>
      <c r="P180" s="24" t="s">
        <v>17</v>
      </c>
      <c r="Q180" s="23" t="s">
        <v>273</v>
      </c>
    </row>
    <row r="181" spans="1:17">
      <c r="A181" s="14">
        <v>177</v>
      </c>
      <c r="B181" s="15" t="s">
        <v>274</v>
      </c>
      <c r="C181" s="16">
        <f>'Медикаменты Февраль'!L181</f>
        <v>0</v>
      </c>
      <c r="D181" s="17"/>
      <c r="E181" s="14"/>
      <c r="F181" s="18"/>
      <c r="G181" s="19"/>
      <c r="H181" s="20"/>
      <c r="I181" s="21"/>
      <c r="J181" s="14"/>
      <c r="K181" s="14">
        <f t="shared" si="4"/>
        <v>0</v>
      </c>
      <c r="L181" s="16">
        <f t="shared" si="5"/>
        <v>0</v>
      </c>
      <c r="M181" s="22">
        <v>44593</v>
      </c>
      <c r="N181" s="44"/>
      <c r="O181" s="23" t="s">
        <v>16</v>
      </c>
      <c r="P181" s="24"/>
      <c r="Q181" s="23" t="s">
        <v>275</v>
      </c>
    </row>
    <row r="182" spans="1:17">
      <c r="A182" s="14">
        <v>178</v>
      </c>
      <c r="B182" s="15" t="s">
        <v>276</v>
      </c>
      <c r="C182" s="16">
        <f>'Медикаменты Февраль'!L182</f>
        <v>0</v>
      </c>
      <c r="D182" s="17"/>
      <c r="E182" s="14"/>
      <c r="F182" s="18"/>
      <c r="G182" s="19"/>
      <c r="H182" s="20"/>
      <c r="I182" s="21"/>
      <c r="J182" s="14"/>
      <c r="K182" s="14">
        <f t="shared" si="4"/>
        <v>0</v>
      </c>
      <c r="L182" s="16">
        <f t="shared" si="5"/>
        <v>0</v>
      </c>
      <c r="M182" s="22"/>
      <c r="N182" s="44"/>
      <c r="O182" s="23" t="s">
        <v>16</v>
      </c>
      <c r="P182" s="24"/>
      <c r="Q182" s="25"/>
    </row>
    <row r="183" spans="1:17">
      <c r="A183" s="14">
        <v>179</v>
      </c>
      <c r="B183" s="15" t="s">
        <v>277</v>
      </c>
      <c r="C183" s="16">
        <f>'Медикаменты Февраль'!L183</f>
        <v>33</v>
      </c>
      <c r="D183" s="17"/>
      <c r="E183" s="14"/>
      <c r="F183" s="18"/>
      <c r="G183" s="19"/>
      <c r="H183" s="20"/>
      <c r="I183" s="21"/>
      <c r="J183" s="14"/>
      <c r="K183" s="14">
        <f t="shared" si="4"/>
        <v>0</v>
      </c>
      <c r="L183" s="16">
        <f t="shared" si="5"/>
        <v>33</v>
      </c>
      <c r="M183" s="22">
        <v>44409</v>
      </c>
      <c r="N183" s="44" t="s">
        <v>45</v>
      </c>
      <c r="O183" s="23" t="s">
        <v>16</v>
      </c>
      <c r="P183" s="24" t="s">
        <v>17</v>
      </c>
      <c r="Q183" s="28" t="s">
        <v>278</v>
      </c>
    </row>
    <row r="184" spans="1:17">
      <c r="A184" s="14">
        <v>180</v>
      </c>
      <c r="B184" s="15" t="s">
        <v>279</v>
      </c>
      <c r="C184" s="16">
        <f>'Медикаменты Февраль'!L184</f>
        <v>1</v>
      </c>
      <c r="D184" s="17"/>
      <c r="E184" s="14"/>
      <c r="F184" s="18"/>
      <c r="G184" s="19"/>
      <c r="H184" s="20"/>
      <c r="I184" s="21"/>
      <c r="J184" s="14"/>
      <c r="K184" s="14">
        <f t="shared" si="4"/>
        <v>0</v>
      </c>
      <c r="L184" s="16">
        <f t="shared" si="5"/>
        <v>1</v>
      </c>
      <c r="M184" s="22">
        <v>44378</v>
      </c>
      <c r="N184" s="44" t="s">
        <v>45</v>
      </c>
      <c r="O184" s="23" t="s">
        <v>16</v>
      </c>
      <c r="P184" s="24" t="s">
        <v>17</v>
      </c>
      <c r="Q184" s="23" t="s">
        <v>280</v>
      </c>
    </row>
    <row r="185" spans="1:17">
      <c r="A185" s="14">
        <v>181</v>
      </c>
      <c r="B185" s="15" t="s">
        <v>281</v>
      </c>
      <c r="C185" s="16">
        <f>'Медикаменты Февраль'!L185</f>
        <v>9</v>
      </c>
      <c r="D185" s="17"/>
      <c r="E185" s="14"/>
      <c r="F185" s="18">
        <f>3</f>
        <v>3</v>
      </c>
      <c r="G185" s="19"/>
      <c r="H185" s="20"/>
      <c r="I185" s="21"/>
      <c r="J185" s="14"/>
      <c r="K185" s="14">
        <f t="shared" si="4"/>
        <v>3</v>
      </c>
      <c r="L185" s="16">
        <f t="shared" si="5"/>
        <v>6</v>
      </c>
      <c r="M185" s="22">
        <v>44593</v>
      </c>
      <c r="N185" s="44" t="s">
        <v>45</v>
      </c>
      <c r="O185" s="23" t="s">
        <v>16</v>
      </c>
      <c r="P185" s="24" t="s">
        <v>17</v>
      </c>
      <c r="Q185" s="23" t="s">
        <v>282</v>
      </c>
    </row>
    <row r="186" spans="1:17">
      <c r="A186" s="14">
        <v>182</v>
      </c>
      <c r="B186" s="15" t="s">
        <v>553</v>
      </c>
      <c r="C186" s="16"/>
      <c r="D186" s="17"/>
      <c r="E186" s="14">
        <f>50</f>
        <v>50</v>
      </c>
      <c r="F186" s="18">
        <f>5+5</f>
        <v>10</v>
      </c>
      <c r="G186" s="19"/>
      <c r="H186" s="20"/>
      <c r="I186" s="21"/>
      <c r="J186" s="14"/>
      <c r="K186" s="14">
        <f t="shared" si="4"/>
        <v>10</v>
      </c>
      <c r="L186" s="16">
        <f t="shared" si="5"/>
        <v>40</v>
      </c>
      <c r="M186" s="22">
        <v>44835</v>
      </c>
      <c r="N186" s="44" t="s">
        <v>45</v>
      </c>
      <c r="O186" s="23" t="s">
        <v>16</v>
      </c>
      <c r="P186" s="24" t="s">
        <v>17</v>
      </c>
      <c r="Q186" s="23" t="s">
        <v>554</v>
      </c>
    </row>
    <row r="187" spans="1:17">
      <c r="A187" s="14">
        <v>183</v>
      </c>
      <c r="B187" s="15" t="s">
        <v>283</v>
      </c>
      <c r="C187" s="16">
        <f>'Медикаменты Февраль'!L186</f>
        <v>0</v>
      </c>
      <c r="D187" s="17"/>
      <c r="E187" s="14"/>
      <c r="F187" s="18"/>
      <c r="G187" s="19"/>
      <c r="H187" s="20"/>
      <c r="I187" s="21"/>
      <c r="J187" s="14"/>
      <c r="K187" s="14">
        <f t="shared" si="4"/>
        <v>0</v>
      </c>
      <c r="L187" s="16">
        <f t="shared" si="5"/>
        <v>0</v>
      </c>
      <c r="M187" s="22">
        <v>44136</v>
      </c>
      <c r="N187" s="44"/>
      <c r="O187" s="23" t="s">
        <v>16</v>
      </c>
      <c r="P187" s="24"/>
      <c r="Q187" s="23" t="s">
        <v>284</v>
      </c>
    </row>
    <row r="188" spans="1:17">
      <c r="A188" s="14">
        <v>184</v>
      </c>
      <c r="B188" s="15" t="s">
        <v>285</v>
      </c>
      <c r="C188" s="16">
        <f>'Медикаменты Февраль'!L187</f>
        <v>0</v>
      </c>
      <c r="D188" s="17"/>
      <c r="E188" s="14"/>
      <c r="F188" s="18"/>
      <c r="G188" s="19"/>
      <c r="H188" s="20"/>
      <c r="I188" s="21"/>
      <c r="J188" s="14"/>
      <c r="K188" s="14">
        <f t="shared" si="4"/>
        <v>0</v>
      </c>
      <c r="L188" s="16">
        <f t="shared" si="5"/>
        <v>0</v>
      </c>
      <c r="M188" s="22"/>
      <c r="N188" s="44"/>
      <c r="O188" s="23" t="s">
        <v>16</v>
      </c>
      <c r="P188" s="24"/>
      <c r="Q188" s="25"/>
    </row>
    <row r="189" spans="1:17">
      <c r="A189" s="14">
        <v>185</v>
      </c>
      <c r="B189" s="15" t="s">
        <v>286</v>
      </c>
      <c r="C189" s="16">
        <f>'Медикаменты Февраль'!L188</f>
        <v>0</v>
      </c>
      <c r="D189" s="17"/>
      <c r="E189" s="14"/>
      <c r="F189" s="18"/>
      <c r="G189" s="19"/>
      <c r="H189" s="20"/>
      <c r="I189" s="21"/>
      <c r="J189" s="14"/>
      <c r="K189" s="14">
        <f t="shared" si="4"/>
        <v>0</v>
      </c>
      <c r="L189" s="16">
        <f t="shared" si="5"/>
        <v>0</v>
      </c>
      <c r="M189" s="22">
        <v>44197</v>
      </c>
      <c r="N189" s="44"/>
      <c r="O189" s="23" t="s">
        <v>16</v>
      </c>
      <c r="P189" s="24"/>
      <c r="Q189" s="23" t="s">
        <v>287</v>
      </c>
    </row>
    <row r="190" spans="1:17">
      <c r="A190" s="14">
        <v>186</v>
      </c>
      <c r="B190" s="15" t="s">
        <v>288</v>
      </c>
      <c r="C190" s="16">
        <f>'Медикаменты Февраль'!L189</f>
        <v>0</v>
      </c>
      <c r="D190" s="17"/>
      <c r="E190" s="14"/>
      <c r="F190" s="18"/>
      <c r="G190" s="19"/>
      <c r="H190" s="20"/>
      <c r="I190" s="21"/>
      <c r="J190" s="14"/>
      <c r="K190" s="14">
        <f t="shared" si="4"/>
        <v>0</v>
      </c>
      <c r="L190" s="16">
        <f t="shared" si="5"/>
        <v>0</v>
      </c>
      <c r="M190" s="22">
        <v>44105</v>
      </c>
      <c r="N190" s="44"/>
      <c r="O190" s="23" t="s">
        <v>16</v>
      </c>
      <c r="P190" s="24"/>
      <c r="Q190" s="28" t="s">
        <v>289</v>
      </c>
    </row>
    <row r="191" spans="1:17">
      <c r="A191" s="14">
        <v>187</v>
      </c>
      <c r="B191" s="15" t="s">
        <v>290</v>
      </c>
      <c r="C191" s="16">
        <f>'Медикаменты Февраль'!L190</f>
        <v>52</v>
      </c>
      <c r="D191" s="17"/>
      <c r="E191" s="14"/>
      <c r="F191" s="18">
        <f>15</f>
        <v>15</v>
      </c>
      <c r="G191" s="19">
        <f>5</f>
        <v>5</v>
      </c>
      <c r="H191" s="20">
        <f>10</f>
        <v>10</v>
      </c>
      <c r="I191" s="21"/>
      <c r="J191" s="14"/>
      <c r="K191" s="14">
        <f t="shared" si="4"/>
        <v>30</v>
      </c>
      <c r="L191" s="16">
        <f t="shared" si="5"/>
        <v>22</v>
      </c>
      <c r="M191" s="22">
        <v>44317</v>
      </c>
      <c r="N191" s="44" t="s">
        <v>45</v>
      </c>
      <c r="O191" s="23" t="s">
        <v>16</v>
      </c>
      <c r="P191" s="24" t="s">
        <v>17</v>
      </c>
      <c r="Q191" s="23" t="s">
        <v>291</v>
      </c>
    </row>
    <row r="192" spans="1:17">
      <c r="A192" s="14">
        <v>188</v>
      </c>
      <c r="B192" s="15" t="s">
        <v>292</v>
      </c>
      <c r="C192" s="16">
        <f>'Медикаменты Февраль'!L191</f>
        <v>0</v>
      </c>
      <c r="D192" s="17"/>
      <c r="E192" s="14"/>
      <c r="F192" s="18"/>
      <c r="G192" s="19"/>
      <c r="H192" s="20"/>
      <c r="I192" s="21"/>
      <c r="J192" s="14"/>
      <c r="K192" s="14">
        <f t="shared" si="4"/>
        <v>0</v>
      </c>
      <c r="L192" s="16">
        <f t="shared" si="5"/>
        <v>0</v>
      </c>
      <c r="M192" s="22">
        <v>44197</v>
      </c>
      <c r="N192" s="44"/>
      <c r="O192" s="23" t="s">
        <v>16</v>
      </c>
      <c r="P192" s="24"/>
      <c r="Q192" s="23" t="s">
        <v>293</v>
      </c>
    </row>
    <row r="193" spans="1:17">
      <c r="A193" s="14">
        <v>189</v>
      </c>
      <c r="B193" s="15" t="s">
        <v>292</v>
      </c>
      <c r="C193" s="16">
        <f>'Медикаменты Февраль'!L192</f>
        <v>55</v>
      </c>
      <c r="D193" s="17"/>
      <c r="E193" s="14"/>
      <c r="F193" s="18">
        <f>3+5</f>
        <v>8</v>
      </c>
      <c r="G193" s="19"/>
      <c r="H193" s="20"/>
      <c r="I193" s="21"/>
      <c r="J193" s="14"/>
      <c r="K193" s="14">
        <f t="shared" si="4"/>
        <v>8</v>
      </c>
      <c r="L193" s="16">
        <f t="shared" si="5"/>
        <v>47</v>
      </c>
      <c r="M193" s="22">
        <v>44713</v>
      </c>
      <c r="N193" s="44" t="s">
        <v>45</v>
      </c>
      <c r="O193" s="23" t="s">
        <v>16</v>
      </c>
      <c r="P193" s="24" t="s">
        <v>45</v>
      </c>
      <c r="Q193" s="23" t="s">
        <v>293</v>
      </c>
    </row>
    <row r="194" spans="1:17">
      <c r="A194" s="14">
        <v>190</v>
      </c>
      <c r="B194" s="15" t="s">
        <v>294</v>
      </c>
      <c r="C194" s="16">
        <f>'Медикаменты Февраль'!L193</f>
        <v>9</v>
      </c>
      <c r="D194" s="17"/>
      <c r="E194" s="14"/>
      <c r="F194" s="18">
        <f>3</f>
        <v>3</v>
      </c>
      <c r="G194" s="19"/>
      <c r="H194" s="20"/>
      <c r="I194" s="21"/>
      <c r="J194" s="14"/>
      <c r="K194" s="14">
        <f t="shared" si="4"/>
        <v>3</v>
      </c>
      <c r="L194" s="16">
        <f t="shared" si="5"/>
        <v>6</v>
      </c>
      <c r="M194" s="22">
        <v>44409</v>
      </c>
      <c r="N194" s="44" t="s">
        <v>45</v>
      </c>
      <c r="O194" s="23" t="s">
        <v>16</v>
      </c>
      <c r="P194" s="24" t="s">
        <v>45</v>
      </c>
      <c r="Q194" s="23" t="s">
        <v>295</v>
      </c>
    </row>
    <row r="195" spans="1:17">
      <c r="A195" s="14">
        <v>191</v>
      </c>
      <c r="B195" s="15" t="s">
        <v>296</v>
      </c>
      <c r="C195" s="16">
        <f>'Медикаменты Февраль'!L194</f>
        <v>0</v>
      </c>
      <c r="D195" s="17"/>
      <c r="E195" s="14"/>
      <c r="F195" s="18"/>
      <c r="G195" s="19"/>
      <c r="H195" s="20"/>
      <c r="I195" s="21"/>
      <c r="J195" s="14"/>
      <c r="K195" s="14">
        <f t="shared" si="4"/>
        <v>0</v>
      </c>
      <c r="L195" s="16">
        <f t="shared" si="5"/>
        <v>0</v>
      </c>
      <c r="M195" s="22"/>
      <c r="N195" s="44"/>
      <c r="O195" s="23" t="s">
        <v>16</v>
      </c>
      <c r="P195" s="24"/>
      <c r="Q195" s="25"/>
    </row>
    <row r="196" spans="1:17">
      <c r="A196" s="14">
        <v>192</v>
      </c>
      <c r="B196" s="15" t="s">
        <v>297</v>
      </c>
      <c r="C196" s="16">
        <f>'Медикаменты Февраль'!L195</f>
        <v>0</v>
      </c>
      <c r="D196" s="17"/>
      <c r="E196" s="14"/>
      <c r="F196" s="18"/>
      <c r="G196" s="19"/>
      <c r="H196" s="20"/>
      <c r="I196" s="21"/>
      <c r="J196" s="14"/>
      <c r="K196" s="14">
        <f t="shared" si="4"/>
        <v>0</v>
      </c>
      <c r="L196" s="16">
        <f t="shared" si="5"/>
        <v>0</v>
      </c>
      <c r="M196" s="22"/>
      <c r="N196" s="44"/>
      <c r="O196" s="23" t="s">
        <v>16</v>
      </c>
      <c r="P196" s="24"/>
      <c r="Q196" s="25"/>
    </row>
    <row r="197" spans="1:17" ht="25.5">
      <c r="A197" s="14">
        <v>193</v>
      </c>
      <c r="B197" s="15" t="s">
        <v>298</v>
      </c>
      <c r="C197" s="16">
        <f>'Медикаменты Февраль'!L196</f>
        <v>0</v>
      </c>
      <c r="D197" s="17"/>
      <c r="E197" s="14"/>
      <c r="F197" s="18"/>
      <c r="G197" s="19"/>
      <c r="H197" s="20"/>
      <c r="I197" s="21"/>
      <c r="J197" s="14"/>
      <c r="K197" s="14">
        <f t="shared" ref="K197:K260" si="6">SUM(F197:J197)</f>
        <v>0</v>
      </c>
      <c r="L197" s="16">
        <f t="shared" ref="L197:L260" si="7">(C197+E197)-K197</f>
        <v>0</v>
      </c>
      <c r="M197" s="22">
        <v>44593</v>
      </c>
      <c r="N197" s="44"/>
      <c r="O197" s="23" t="s">
        <v>26</v>
      </c>
      <c r="P197" s="24"/>
      <c r="Q197" s="23"/>
    </row>
    <row r="198" spans="1:17">
      <c r="A198" s="14">
        <v>194</v>
      </c>
      <c r="B198" s="15" t="s">
        <v>299</v>
      </c>
      <c r="C198" s="16">
        <f>'Медикаменты Февраль'!L197</f>
        <v>0</v>
      </c>
      <c r="D198" s="17"/>
      <c r="E198" s="14"/>
      <c r="F198" s="18"/>
      <c r="G198" s="19"/>
      <c r="H198" s="20"/>
      <c r="I198" s="21"/>
      <c r="J198" s="14"/>
      <c r="K198" s="14">
        <f t="shared" si="6"/>
        <v>0</v>
      </c>
      <c r="L198" s="16">
        <f t="shared" si="7"/>
        <v>0</v>
      </c>
      <c r="M198" s="22">
        <v>44256</v>
      </c>
      <c r="N198" s="44"/>
      <c r="O198" s="23" t="s">
        <v>16</v>
      </c>
      <c r="P198" s="24"/>
      <c r="Q198" s="23" t="s">
        <v>300</v>
      </c>
    </row>
    <row r="199" spans="1:17">
      <c r="A199" s="14">
        <v>195</v>
      </c>
      <c r="B199" s="15" t="s">
        <v>301</v>
      </c>
      <c r="C199" s="16">
        <f>'Медикаменты Февраль'!L198</f>
        <v>0</v>
      </c>
      <c r="D199" s="17"/>
      <c r="E199" s="14"/>
      <c r="F199" s="18"/>
      <c r="G199" s="19"/>
      <c r="H199" s="20"/>
      <c r="I199" s="21"/>
      <c r="J199" s="14"/>
      <c r="K199" s="14">
        <f t="shared" si="6"/>
        <v>0</v>
      </c>
      <c r="L199" s="16">
        <f t="shared" si="7"/>
        <v>0</v>
      </c>
      <c r="M199" s="22"/>
      <c r="N199" s="44"/>
      <c r="O199" s="23" t="s">
        <v>16</v>
      </c>
      <c r="P199" s="24"/>
      <c r="Q199" s="25"/>
    </row>
    <row r="200" spans="1:17">
      <c r="A200" s="14">
        <v>196</v>
      </c>
      <c r="B200" s="15" t="s">
        <v>302</v>
      </c>
      <c r="C200" s="16">
        <f>'Медикаменты Февраль'!L199</f>
        <v>0</v>
      </c>
      <c r="D200" s="17"/>
      <c r="E200" s="14"/>
      <c r="F200" s="18"/>
      <c r="G200" s="19"/>
      <c r="H200" s="20"/>
      <c r="I200" s="21"/>
      <c r="J200" s="14"/>
      <c r="K200" s="14">
        <f t="shared" si="6"/>
        <v>0</v>
      </c>
      <c r="L200" s="16">
        <f t="shared" si="7"/>
        <v>0</v>
      </c>
      <c r="M200" s="22"/>
      <c r="N200" s="44"/>
      <c r="O200" s="23" t="s">
        <v>16</v>
      </c>
      <c r="P200" s="24"/>
      <c r="Q200" s="25"/>
    </row>
    <row r="201" spans="1:17">
      <c r="A201" s="14">
        <v>197</v>
      </c>
      <c r="B201" s="15" t="s">
        <v>303</v>
      </c>
      <c r="C201" s="16">
        <f>'Медикаменты Февраль'!L200</f>
        <v>0</v>
      </c>
      <c r="D201" s="17"/>
      <c r="E201" s="14"/>
      <c r="F201" s="18"/>
      <c r="G201" s="19"/>
      <c r="H201" s="20"/>
      <c r="I201" s="21"/>
      <c r="J201" s="14"/>
      <c r="K201" s="14">
        <f t="shared" si="6"/>
        <v>0</v>
      </c>
      <c r="L201" s="16">
        <f t="shared" si="7"/>
        <v>0</v>
      </c>
      <c r="M201" s="22"/>
      <c r="N201" s="44"/>
      <c r="O201" s="23" t="s">
        <v>16</v>
      </c>
      <c r="P201" s="24"/>
      <c r="Q201" s="25"/>
    </row>
    <row r="202" spans="1:17">
      <c r="A202" s="14">
        <v>198</v>
      </c>
      <c r="B202" s="15" t="s">
        <v>304</v>
      </c>
      <c r="C202" s="16">
        <f>'Медикаменты Февраль'!L201</f>
        <v>0</v>
      </c>
      <c r="D202" s="17"/>
      <c r="E202" s="14"/>
      <c r="F202" s="18"/>
      <c r="G202" s="19"/>
      <c r="H202" s="20"/>
      <c r="I202" s="21"/>
      <c r="J202" s="14"/>
      <c r="K202" s="14">
        <f t="shared" si="6"/>
        <v>0</v>
      </c>
      <c r="L202" s="16">
        <f t="shared" si="7"/>
        <v>0</v>
      </c>
      <c r="M202" s="22">
        <v>45261</v>
      </c>
      <c r="N202" s="44"/>
      <c r="O202" s="23" t="s">
        <v>16</v>
      </c>
      <c r="P202" s="24"/>
      <c r="Q202" s="23" t="s">
        <v>305</v>
      </c>
    </row>
    <row r="203" spans="1:17">
      <c r="A203" s="14">
        <v>199</v>
      </c>
      <c r="B203" s="15" t="s">
        <v>304</v>
      </c>
      <c r="C203" s="16">
        <f>'Медикаменты Февраль'!L202</f>
        <v>1560</v>
      </c>
      <c r="D203" s="17"/>
      <c r="E203" s="14"/>
      <c r="F203" s="18">
        <f>40+80+80+120</f>
        <v>320</v>
      </c>
      <c r="G203" s="19"/>
      <c r="H203" s="20"/>
      <c r="I203" s="21"/>
      <c r="J203" s="14"/>
      <c r="K203" s="14">
        <f t="shared" si="6"/>
        <v>320</v>
      </c>
      <c r="L203" s="16">
        <f t="shared" si="7"/>
        <v>1240</v>
      </c>
      <c r="M203" s="22">
        <v>45413</v>
      </c>
      <c r="N203" s="44" t="s">
        <v>45</v>
      </c>
      <c r="O203" s="23" t="s">
        <v>26</v>
      </c>
      <c r="P203" s="24" t="s">
        <v>17</v>
      </c>
      <c r="Q203" s="23" t="s">
        <v>305</v>
      </c>
    </row>
    <row r="204" spans="1:17">
      <c r="A204" s="14">
        <v>200</v>
      </c>
      <c r="B204" s="15" t="s">
        <v>306</v>
      </c>
      <c r="C204" s="16">
        <f>'Медикаменты Февраль'!L203</f>
        <v>0</v>
      </c>
      <c r="D204" s="17"/>
      <c r="E204" s="14"/>
      <c r="F204" s="18"/>
      <c r="G204" s="19"/>
      <c r="H204" s="20"/>
      <c r="I204" s="21"/>
      <c r="J204" s="14"/>
      <c r="K204" s="14">
        <f t="shared" si="6"/>
        <v>0</v>
      </c>
      <c r="L204" s="16">
        <f t="shared" si="7"/>
        <v>0</v>
      </c>
      <c r="M204" s="22"/>
      <c r="N204" s="44"/>
      <c r="O204" s="23" t="s">
        <v>16</v>
      </c>
      <c r="P204" s="24"/>
      <c r="Q204" s="25"/>
    </row>
    <row r="205" spans="1:17">
      <c r="A205" s="14">
        <v>201</v>
      </c>
      <c r="B205" s="15" t="s">
        <v>307</v>
      </c>
      <c r="C205" s="16">
        <f>'Медикаменты Февраль'!L204</f>
        <v>0</v>
      </c>
      <c r="D205" s="17"/>
      <c r="E205" s="14"/>
      <c r="F205" s="18"/>
      <c r="G205" s="19"/>
      <c r="H205" s="20"/>
      <c r="I205" s="21"/>
      <c r="J205" s="14"/>
      <c r="K205" s="14">
        <f t="shared" si="6"/>
        <v>0</v>
      </c>
      <c r="L205" s="16">
        <f t="shared" si="7"/>
        <v>0</v>
      </c>
      <c r="M205" s="22"/>
      <c r="N205" s="44"/>
      <c r="O205" s="23" t="s">
        <v>16</v>
      </c>
      <c r="P205" s="24"/>
      <c r="Q205" s="25"/>
    </row>
    <row r="206" spans="1:17">
      <c r="A206" s="14">
        <v>202</v>
      </c>
      <c r="B206" s="15" t="s">
        <v>308</v>
      </c>
      <c r="C206" s="16">
        <f>'Медикаменты Февраль'!L205</f>
        <v>0</v>
      </c>
      <c r="D206" s="17"/>
      <c r="E206" s="14"/>
      <c r="F206" s="18"/>
      <c r="G206" s="19"/>
      <c r="H206" s="20"/>
      <c r="I206" s="21"/>
      <c r="J206" s="14"/>
      <c r="K206" s="14">
        <f t="shared" si="6"/>
        <v>0</v>
      </c>
      <c r="L206" s="16">
        <f t="shared" si="7"/>
        <v>0</v>
      </c>
      <c r="M206" s="22">
        <v>44136</v>
      </c>
      <c r="N206" s="44"/>
      <c r="O206" s="23" t="s">
        <v>16</v>
      </c>
      <c r="P206" s="24"/>
      <c r="Q206" s="23" t="s">
        <v>309</v>
      </c>
    </row>
    <row r="207" spans="1:17">
      <c r="A207" s="14">
        <v>203</v>
      </c>
      <c r="B207" s="15" t="s">
        <v>310</v>
      </c>
      <c r="C207" s="16">
        <f>'Медикаменты Февраль'!L206</f>
        <v>17</v>
      </c>
      <c r="D207" s="17"/>
      <c r="E207" s="14"/>
      <c r="F207" s="18"/>
      <c r="G207" s="19"/>
      <c r="H207" s="20"/>
      <c r="I207" s="21"/>
      <c r="J207" s="14"/>
      <c r="K207" s="14">
        <f t="shared" si="6"/>
        <v>0</v>
      </c>
      <c r="L207" s="16">
        <f t="shared" si="7"/>
        <v>17</v>
      </c>
      <c r="M207" s="22">
        <v>44652</v>
      </c>
      <c r="N207" s="44" t="s">
        <v>45</v>
      </c>
      <c r="O207" s="23" t="s">
        <v>16</v>
      </c>
      <c r="P207" s="24" t="s">
        <v>17</v>
      </c>
      <c r="Q207" s="28" t="s">
        <v>311</v>
      </c>
    </row>
    <row r="208" spans="1:17">
      <c r="A208" s="14">
        <v>204</v>
      </c>
      <c r="B208" s="15" t="s">
        <v>310</v>
      </c>
      <c r="C208" s="16">
        <f>'Медикаменты Февраль'!L207</f>
        <v>0</v>
      </c>
      <c r="D208" s="17"/>
      <c r="E208" s="14"/>
      <c r="F208" s="18"/>
      <c r="G208" s="19"/>
      <c r="H208" s="20"/>
      <c r="I208" s="21"/>
      <c r="J208" s="14"/>
      <c r="K208" s="14">
        <f t="shared" si="6"/>
        <v>0</v>
      </c>
      <c r="L208" s="16">
        <f t="shared" si="7"/>
        <v>0</v>
      </c>
      <c r="M208" s="22">
        <v>44652</v>
      </c>
      <c r="N208" s="44"/>
      <c r="O208" s="23" t="s">
        <v>26</v>
      </c>
      <c r="P208" s="24"/>
      <c r="Q208" s="28" t="s">
        <v>311</v>
      </c>
    </row>
    <row r="209" spans="1:17">
      <c r="A209" s="14">
        <v>205</v>
      </c>
      <c r="B209" s="15" t="s">
        <v>312</v>
      </c>
      <c r="C209" s="16">
        <f>'Медикаменты Февраль'!L208</f>
        <v>0</v>
      </c>
      <c r="D209" s="17"/>
      <c r="E209" s="14"/>
      <c r="F209" s="18"/>
      <c r="G209" s="19"/>
      <c r="H209" s="20"/>
      <c r="I209" s="21"/>
      <c r="J209" s="14"/>
      <c r="K209" s="14">
        <f t="shared" si="6"/>
        <v>0</v>
      </c>
      <c r="L209" s="16">
        <f t="shared" si="7"/>
        <v>0</v>
      </c>
      <c r="M209" s="22">
        <v>45658</v>
      </c>
      <c r="N209" s="44"/>
      <c r="O209" s="23" t="s">
        <v>16</v>
      </c>
      <c r="P209" s="24"/>
      <c r="Q209" s="28" t="s">
        <v>313</v>
      </c>
    </row>
    <row r="210" spans="1:17">
      <c r="A210" s="14">
        <v>206</v>
      </c>
      <c r="B210" s="15" t="s">
        <v>312</v>
      </c>
      <c r="C210" s="16">
        <f>'Медикаменты Февраль'!L209</f>
        <v>0</v>
      </c>
      <c r="D210" s="17"/>
      <c r="E210" s="14"/>
      <c r="F210" s="18"/>
      <c r="G210" s="19"/>
      <c r="H210" s="20"/>
      <c r="I210" s="21"/>
      <c r="J210" s="14"/>
      <c r="K210" s="14">
        <f t="shared" si="6"/>
        <v>0</v>
      </c>
      <c r="L210" s="16">
        <f t="shared" si="7"/>
        <v>0</v>
      </c>
      <c r="M210" s="22">
        <v>45658</v>
      </c>
      <c r="N210" s="44"/>
      <c r="O210" s="23" t="s">
        <v>26</v>
      </c>
      <c r="P210" s="24"/>
      <c r="Q210" s="28" t="s">
        <v>313</v>
      </c>
    </row>
    <row r="211" spans="1:17">
      <c r="A211" s="14">
        <v>207</v>
      </c>
      <c r="B211" s="15" t="s">
        <v>314</v>
      </c>
      <c r="C211" s="16">
        <f>'Медикаменты Февраль'!L210</f>
        <v>0</v>
      </c>
      <c r="D211" s="17"/>
      <c r="E211" s="14"/>
      <c r="F211" s="18"/>
      <c r="G211" s="19"/>
      <c r="H211" s="20"/>
      <c r="I211" s="21"/>
      <c r="J211" s="14"/>
      <c r="K211" s="14">
        <f t="shared" si="6"/>
        <v>0</v>
      </c>
      <c r="L211" s="16">
        <f t="shared" si="7"/>
        <v>0</v>
      </c>
      <c r="M211" s="22">
        <v>44562</v>
      </c>
      <c r="N211" s="44"/>
      <c r="O211" s="23" t="s">
        <v>16</v>
      </c>
      <c r="P211" s="24"/>
      <c r="Q211" s="23" t="s">
        <v>315</v>
      </c>
    </row>
    <row r="212" spans="1:17">
      <c r="A212" s="14">
        <v>208</v>
      </c>
      <c r="B212" s="15" t="s">
        <v>316</v>
      </c>
      <c r="C212" s="16">
        <f>'Медикаменты Февраль'!L211</f>
        <v>0</v>
      </c>
      <c r="D212" s="17"/>
      <c r="E212" s="14"/>
      <c r="F212" s="18"/>
      <c r="G212" s="19"/>
      <c r="H212" s="20"/>
      <c r="I212" s="21"/>
      <c r="J212" s="14"/>
      <c r="K212" s="14">
        <f t="shared" si="6"/>
        <v>0</v>
      </c>
      <c r="L212" s="16">
        <f t="shared" si="7"/>
        <v>0</v>
      </c>
      <c r="M212" s="22"/>
      <c r="N212" s="44"/>
      <c r="O212" s="23" t="s">
        <v>16</v>
      </c>
      <c r="P212" s="24"/>
      <c r="Q212" s="25"/>
    </row>
    <row r="213" spans="1:17">
      <c r="A213" s="14">
        <v>209</v>
      </c>
      <c r="B213" s="29" t="s">
        <v>317</v>
      </c>
      <c r="C213" s="16">
        <f>'Медикаменты Февраль'!L212</f>
        <v>0</v>
      </c>
      <c r="D213" s="17"/>
      <c r="E213" s="14"/>
      <c r="F213" s="18"/>
      <c r="G213" s="19"/>
      <c r="H213" s="20"/>
      <c r="I213" s="21"/>
      <c r="J213" s="14"/>
      <c r="K213" s="14">
        <f t="shared" si="6"/>
        <v>0</v>
      </c>
      <c r="L213" s="16">
        <f t="shared" si="7"/>
        <v>0</v>
      </c>
      <c r="M213" s="22"/>
      <c r="N213" s="44"/>
      <c r="O213" s="23" t="s">
        <v>16</v>
      </c>
      <c r="P213" s="24"/>
      <c r="Q213" s="25"/>
    </row>
    <row r="214" spans="1:17">
      <c r="A214" s="14">
        <v>210</v>
      </c>
      <c r="B214" s="29" t="s">
        <v>318</v>
      </c>
      <c r="C214" s="16">
        <f>'Медикаменты Февраль'!L213</f>
        <v>0</v>
      </c>
      <c r="D214" s="17"/>
      <c r="E214" s="14"/>
      <c r="F214" s="18"/>
      <c r="G214" s="19"/>
      <c r="H214" s="20"/>
      <c r="I214" s="21"/>
      <c r="J214" s="14"/>
      <c r="K214" s="14">
        <f t="shared" si="6"/>
        <v>0</v>
      </c>
      <c r="L214" s="16">
        <f t="shared" si="7"/>
        <v>0</v>
      </c>
      <c r="M214" s="22"/>
      <c r="N214" s="44"/>
      <c r="O214" s="23" t="s">
        <v>16</v>
      </c>
      <c r="P214" s="24"/>
      <c r="Q214" s="25"/>
    </row>
    <row r="215" spans="1:17">
      <c r="A215" s="14">
        <v>211</v>
      </c>
      <c r="B215" s="29" t="s">
        <v>319</v>
      </c>
      <c r="C215" s="16">
        <f>'Медикаменты Февраль'!L214</f>
        <v>0</v>
      </c>
      <c r="D215" s="17"/>
      <c r="E215" s="14"/>
      <c r="F215" s="18"/>
      <c r="G215" s="19"/>
      <c r="H215" s="20"/>
      <c r="I215" s="21"/>
      <c r="J215" s="14"/>
      <c r="K215" s="14">
        <f t="shared" si="6"/>
        <v>0</v>
      </c>
      <c r="L215" s="16">
        <f t="shared" si="7"/>
        <v>0</v>
      </c>
      <c r="M215" s="22"/>
      <c r="N215" s="44"/>
      <c r="O215" s="23" t="s">
        <v>16</v>
      </c>
      <c r="P215" s="24"/>
      <c r="Q215" s="25"/>
    </row>
    <row r="216" spans="1:17">
      <c r="A216" s="14">
        <v>212</v>
      </c>
      <c r="B216" s="29" t="s">
        <v>320</v>
      </c>
      <c r="C216" s="16">
        <f>'Медикаменты Февраль'!L215</f>
        <v>0</v>
      </c>
      <c r="D216" s="17"/>
      <c r="E216" s="14"/>
      <c r="F216" s="18"/>
      <c r="G216" s="19"/>
      <c r="H216" s="20"/>
      <c r="I216" s="21"/>
      <c r="J216" s="14"/>
      <c r="K216" s="14">
        <f t="shared" si="6"/>
        <v>0</v>
      </c>
      <c r="L216" s="16">
        <f t="shared" si="7"/>
        <v>0</v>
      </c>
      <c r="M216" s="22">
        <v>44652</v>
      </c>
      <c r="N216" s="44"/>
      <c r="O216" s="23" t="s">
        <v>16</v>
      </c>
      <c r="P216" s="24" t="s">
        <v>17</v>
      </c>
      <c r="Q216" s="28" t="s">
        <v>321</v>
      </c>
    </row>
    <row r="217" spans="1:17">
      <c r="A217" s="14">
        <v>213</v>
      </c>
      <c r="B217" s="29" t="s">
        <v>322</v>
      </c>
      <c r="C217" s="16">
        <f>'Медикаменты Февраль'!L216</f>
        <v>0</v>
      </c>
      <c r="D217" s="17"/>
      <c r="E217" s="14"/>
      <c r="F217" s="18"/>
      <c r="G217" s="19"/>
      <c r="H217" s="20"/>
      <c r="I217" s="21"/>
      <c r="J217" s="14"/>
      <c r="K217" s="14">
        <f t="shared" si="6"/>
        <v>0</v>
      </c>
      <c r="L217" s="16">
        <f t="shared" si="7"/>
        <v>0</v>
      </c>
      <c r="M217" s="22"/>
      <c r="N217" s="44"/>
      <c r="O217" s="23" t="s">
        <v>16</v>
      </c>
      <c r="P217" s="24"/>
      <c r="Q217" s="25"/>
    </row>
    <row r="218" spans="1:17">
      <c r="A218" s="14">
        <v>214</v>
      </c>
      <c r="B218" s="29" t="s">
        <v>323</v>
      </c>
      <c r="C218" s="16">
        <f>'Медикаменты Февраль'!L217</f>
        <v>0</v>
      </c>
      <c r="D218" s="17"/>
      <c r="E218" s="14"/>
      <c r="F218" s="18"/>
      <c r="G218" s="19"/>
      <c r="H218" s="20"/>
      <c r="I218" s="21"/>
      <c r="J218" s="14"/>
      <c r="K218" s="14">
        <f t="shared" si="6"/>
        <v>0</v>
      </c>
      <c r="L218" s="16">
        <f t="shared" si="7"/>
        <v>0</v>
      </c>
      <c r="M218" s="22"/>
      <c r="N218" s="44"/>
      <c r="O218" s="23" t="s">
        <v>16</v>
      </c>
      <c r="P218" s="24"/>
      <c r="Q218" s="25"/>
    </row>
    <row r="219" spans="1:17">
      <c r="A219" s="14">
        <v>215</v>
      </c>
      <c r="B219" s="29" t="s">
        <v>555</v>
      </c>
      <c r="C219" s="16">
        <f>'Медикаменты Февраль'!L218</f>
        <v>73</v>
      </c>
      <c r="D219" s="17"/>
      <c r="E219" s="14"/>
      <c r="F219" s="18">
        <f>10+5+2</f>
        <v>17</v>
      </c>
      <c r="G219" s="19"/>
      <c r="H219" s="20"/>
      <c r="I219" s="21"/>
      <c r="J219" s="14"/>
      <c r="K219" s="14">
        <f t="shared" si="6"/>
        <v>17</v>
      </c>
      <c r="L219" s="16">
        <f t="shared" si="7"/>
        <v>56</v>
      </c>
      <c r="M219" s="22">
        <v>45017</v>
      </c>
      <c r="N219" s="44" t="s">
        <v>45</v>
      </c>
      <c r="O219" s="23" t="s">
        <v>16</v>
      </c>
      <c r="P219" s="24" t="s">
        <v>17</v>
      </c>
      <c r="Q219" s="23" t="s">
        <v>325</v>
      </c>
    </row>
    <row r="220" spans="1:17">
      <c r="A220" s="14">
        <v>216</v>
      </c>
      <c r="B220" s="29" t="s">
        <v>326</v>
      </c>
      <c r="C220" s="16">
        <f>'Медикаменты Февраль'!L219</f>
        <v>0</v>
      </c>
      <c r="D220" s="17"/>
      <c r="E220" s="14"/>
      <c r="F220" s="18"/>
      <c r="G220" s="19"/>
      <c r="H220" s="20"/>
      <c r="I220" s="21"/>
      <c r="J220" s="14"/>
      <c r="K220" s="14">
        <f t="shared" si="6"/>
        <v>0</v>
      </c>
      <c r="L220" s="16">
        <f t="shared" si="7"/>
        <v>0</v>
      </c>
      <c r="M220" s="22"/>
      <c r="N220" s="44"/>
      <c r="O220" s="23" t="s">
        <v>16</v>
      </c>
      <c r="P220" s="24"/>
      <c r="Q220" s="25"/>
    </row>
    <row r="221" spans="1:17">
      <c r="A221" s="14">
        <v>217</v>
      </c>
      <c r="B221" s="29" t="s">
        <v>327</v>
      </c>
      <c r="C221" s="16">
        <f>'Медикаменты Февраль'!L220</f>
        <v>76</v>
      </c>
      <c r="D221" s="17"/>
      <c r="E221" s="14"/>
      <c r="F221" s="18">
        <f>5+4</f>
        <v>9</v>
      </c>
      <c r="G221" s="19"/>
      <c r="H221" s="20"/>
      <c r="I221" s="21"/>
      <c r="J221" s="14"/>
      <c r="K221" s="14">
        <f t="shared" si="6"/>
        <v>9</v>
      </c>
      <c r="L221" s="16">
        <f t="shared" si="7"/>
        <v>67</v>
      </c>
      <c r="M221" s="22">
        <v>44774</v>
      </c>
      <c r="N221" s="44" t="s">
        <v>45</v>
      </c>
      <c r="O221" s="23" t="s">
        <v>16</v>
      </c>
      <c r="P221" s="24" t="s">
        <v>17</v>
      </c>
      <c r="Q221" s="23" t="s">
        <v>328</v>
      </c>
    </row>
    <row r="222" spans="1:17">
      <c r="A222" s="14">
        <v>218</v>
      </c>
      <c r="B222" s="29" t="s">
        <v>327</v>
      </c>
      <c r="C222" s="16">
        <f>'Медикаменты Февраль'!L221</f>
        <v>0</v>
      </c>
      <c r="D222" s="17"/>
      <c r="E222" s="14"/>
      <c r="F222" s="18"/>
      <c r="G222" s="19"/>
      <c r="H222" s="20"/>
      <c r="I222" s="21"/>
      <c r="J222" s="14"/>
      <c r="K222" s="14">
        <f t="shared" si="6"/>
        <v>0</v>
      </c>
      <c r="L222" s="16">
        <f t="shared" si="7"/>
        <v>0</v>
      </c>
      <c r="M222" s="22">
        <v>44743</v>
      </c>
      <c r="N222" s="44"/>
      <c r="O222" s="23" t="s">
        <v>16</v>
      </c>
      <c r="P222" s="24" t="s">
        <v>17</v>
      </c>
      <c r="Q222" s="23" t="s">
        <v>328</v>
      </c>
    </row>
    <row r="223" spans="1:17">
      <c r="A223" s="14">
        <v>219</v>
      </c>
      <c r="B223" s="29" t="s">
        <v>327</v>
      </c>
      <c r="C223" s="16">
        <f>'Медикаменты Февраль'!L222</f>
        <v>25</v>
      </c>
      <c r="D223" s="17"/>
      <c r="E223" s="14"/>
      <c r="F223" s="18"/>
      <c r="G223" s="19"/>
      <c r="H223" s="20"/>
      <c r="I223" s="21"/>
      <c r="J223" s="14"/>
      <c r="K223" s="14">
        <f t="shared" si="6"/>
        <v>0</v>
      </c>
      <c r="L223" s="16">
        <f t="shared" si="7"/>
        <v>25</v>
      </c>
      <c r="M223" s="22">
        <v>44774</v>
      </c>
      <c r="N223" s="44" t="s">
        <v>45</v>
      </c>
      <c r="O223" s="23" t="s">
        <v>26</v>
      </c>
      <c r="P223" s="24" t="s">
        <v>17</v>
      </c>
      <c r="Q223" s="23" t="s">
        <v>328</v>
      </c>
    </row>
    <row r="224" spans="1:17">
      <c r="A224" s="14">
        <v>220</v>
      </c>
      <c r="B224" s="29" t="s">
        <v>329</v>
      </c>
      <c r="C224" s="16">
        <f>'Медикаменты Февраль'!L223</f>
        <v>0</v>
      </c>
      <c r="D224" s="17"/>
      <c r="E224" s="14"/>
      <c r="F224" s="18"/>
      <c r="G224" s="19"/>
      <c r="H224" s="20"/>
      <c r="I224" s="21"/>
      <c r="J224" s="14"/>
      <c r="K224" s="14">
        <f t="shared" si="6"/>
        <v>0</v>
      </c>
      <c r="L224" s="16">
        <f t="shared" si="7"/>
        <v>0</v>
      </c>
      <c r="M224" s="22">
        <v>44713</v>
      </c>
      <c r="N224" s="44"/>
      <c r="O224" s="23" t="s">
        <v>16</v>
      </c>
      <c r="P224" s="24"/>
      <c r="Q224" s="23" t="s">
        <v>330</v>
      </c>
    </row>
    <row r="225" spans="1:17">
      <c r="A225" s="14">
        <v>221</v>
      </c>
      <c r="B225" s="29" t="s">
        <v>331</v>
      </c>
      <c r="C225" s="16">
        <f>'Медикаменты Февраль'!L224</f>
        <v>5</v>
      </c>
      <c r="D225" s="17"/>
      <c r="E225" s="14"/>
      <c r="F225" s="18"/>
      <c r="G225" s="19"/>
      <c r="H225" s="20">
        <f>5</f>
        <v>5</v>
      </c>
      <c r="I225" s="21"/>
      <c r="J225" s="14"/>
      <c r="K225" s="14">
        <f t="shared" si="6"/>
        <v>5</v>
      </c>
      <c r="L225" s="16">
        <f t="shared" si="7"/>
        <v>0</v>
      </c>
      <c r="M225" s="22">
        <v>44317</v>
      </c>
      <c r="N225" s="44"/>
      <c r="O225" s="23" t="s">
        <v>16</v>
      </c>
      <c r="P225" s="24" t="s">
        <v>45</v>
      </c>
      <c r="Q225" s="23" t="s">
        <v>332</v>
      </c>
    </row>
    <row r="226" spans="1:17">
      <c r="A226" s="14">
        <v>222</v>
      </c>
      <c r="B226" s="29" t="s">
        <v>333</v>
      </c>
      <c r="C226" s="16">
        <f>'Медикаменты Февраль'!L225</f>
        <v>0</v>
      </c>
      <c r="D226" s="17"/>
      <c r="E226" s="14"/>
      <c r="F226" s="18"/>
      <c r="G226" s="19"/>
      <c r="H226" s="20"/>
      <c r="I226" s="21"/>
      <c r="J226" s="14"/>
      <c r="K226" s="14">
        <f t="shared" si="6"/>
        <v>0</v>
      </c>
      <c r="L226" s="16">
        <f t="shared" si="7"/>
        <v>0</v>
      </c>
      <c r="M226" s="22">
        <v>44348</v>
      </c>
      <c r="N226" s="44"/>
      <c r="O226" s="23" t="s">
        <v>16</v>
      </c>
      <c r="P226" s="24"/>
      <c r="Q226" s="23" t="s">
        <v>334</v>
      </c>
    </row>
    <row r="227" spans="1:17">
      <c r="A227" s="14">
        <v>223</v>
      </c>
      <c r="B227" s="29" t="s">
        <v>335</v>
      </c>
      <c r="C227" s="16">
        <f>'Медикаменты Февраль'!L226</f>
        <v>0</v>
      </c>
      <c r="D227" s="17"/>
      <c r="E227" s="14"/>
      <c r="F227" s="18"/>
      <c r="G227" s="19"/>
      <c r="H227" s="20"/>
      <c r="I227" s="21"/>
      <c r="J227" s="14"/>
      <c r="K227" s="14">
        <f t="shared" si="6"/>
        <v>0</v>
      </c>
      <c r="L227" s="16">
        <f t="shared" si="7"/>
        <v>0</v>
      </c>
      <c r="M227" s="22">
        <v>44348</v>
      </c>
      <c r="N227" s="44"/>
      <c r="O227" s="23" t="s">
        <v>16</v>
      </c>
      <c r="P227" s="24"/>
      <c r="Q227" s="25"/>
    </row>
    <row r="228" spans="1:17">
      <c r="A228" s="14">
        <v>224</v>
      </c>
      <c r="B228" s="29" t="s">
        <v>336</v>
      </c>
      <c r="C228" s="16">
        <f>'Медикаменты Февраль'!L227</f>
        <v>117</v>
      </c>
      <c r="D228" s="17"/>
      <c r="E228" s="14"/>
      <c r="F228" s="18">
        <f>5</f>
        <v>5</v>
      </c>
      <c r="G228" s="19"/>
      <c r="H228" s="20"/>
      <c r="I228" s="21"/>
      <c r="J228" s="14"/>
      <c r="K228" s="14">
        <f t="shared" si="6"/>
        <v>5</v>
      </c>
      <c r="L228" s="16">
        <f t="shared" si="7"/>
        <v>112</v>
      </c>
      <c r="M228" s="22">
        <v>45413</v>
      </c>
      <c r="N228" s="44" t="s">
        <v>45</v>
      </c>
      <c r="O228" s="23" t="s">
        <v>16</v>
      </c>
      <c r="P228" s="24" t="s">
        <v>17</v>
      </c>
      <c r="Q228" s="23" t="s">
        <v>337</v>
      </c>
    </row>
    <row r="229" spans="1:17">
      <c r="A229" s="14">
        <v>225</v>
      </c>
      <c r="B229" s="29" t="s">
        <v>338</v>
      </c>
      <c r="C229" s="16">
        <f>'Медикаменты Февраль'!L228</f>
        <v>0</v>
      </c>
      <c r="D229" s="17"/>
      <c r="E229" s="14"/>
      <c r="F229" s="18"/>
      <c r="G229" s="19"/>
      <c r="H229" s="20"/>
      <c r="I229" s="21"/>
      <c r="J229" s="14"/>
      <c r="K229" s="14">
        <f t="shared" si="6"/>
        <v>0</v>
      </c>
      <c r="L229" s="16">
        <f t="shared" si="7"/>
        <v>0</v>
      </c>
      <c r="M229" s="22">
        <v>44562</v>
      </c>
      <c r="N229" s="44"/>
      <c r="O229" s="23" t="s">
        <v>16</v>
      </c>
      <c r="P229" s="24"/>
      <c r="Q229" s="23" t="s">
        <v>339</v>
      </c>
    </row>
    <row r="230" spans="1:17">
      <c r="A230" s="14">
        <v>226</v>
      </c>
      <c r="B230" s="29" t="s">
        <v>340</v>
      </c>
      <c r="C230" s="16">
        <f>'Медикаменты Февраль'!L229</f>
        <v>0</v>
      </c>
      <c r="D230" s="17"/>
      <c r="E230" s="14"/>
      <c r="F230" s="18"/>
      <c r="G230" s="19"/>
      <c r="H230" s="20"/>
      <c r="I230" s="21"/>
      <c r="J230" s="14"/>
      <c r="K230" s="14">
        <f t="shared" si="6"/>
        <v>0</v>
      </c>
      <c r="L230" s="16">
        <f t="shared" si="7"/>
        <v>0</v>
      </c>
      <c r="M230" s="22"/>
      <c r="N230" s="44"/>
      <c r="O230" s="23" t="s">
        <v>16</v>
      </c>
      <c r="P230" s="24"/>
      <c r="Q230" s="25"/>
    </row>
    <row r="231" spans="1:17">
      <c r="A231" s="14">
        <v>227</v>
      </c>
      <c r="B231" s="29" t="s">
        <v>341</v>
      </c>
      <c r="C231" s="16">
        <f>'Медикаменты Февраль'!L230</f>
        <v>62</v>
      </c>
      <c r="D231" s="17"/>
      <c r="E231" s="14"/>
      <c r="F231" s="18"/>
      <c r="G231" s="19"/>
      <c r="H231" s="20"/>
      <c r="I231" s="21"/>
      <c r="J231" s="14"/>
      <c r="K231" s="14">
        <f t="shared" si="6"/>
        <v>0</v>
      </c>
      <c r="L231" s="16">
        <f t="shared" si="7"/>
        <v>62</v>
      </c>
      <c r="M231" s="22">
        <v>45108</v>
      </c>
      <c r="N231" s="44" t="s">
        <v>45</v>
      </c>
      <c r="O231" s="23" t="s">
        <v>16</v>
      </c>
      <c r="P231" s="24" t="s">
        <v>17</v>
      </c>
      <c r="Q231" s="28" t="s">
        <v>342</v>
      </c>
    </row>
    <row r="232" spans="1:17">
      <c r="A232" s="14">
        <v>228</v>
      </c>
      <c r="B232" s="29" t="s">
        <v>343</v>
      </c>
      <c r="C232" s="16">
        <f>'Медикаменты Февраль'!L231</f>
        <v>0</v>
      </c>
      <c r="D232" s="17"/>
      <c r="E232" s="14"/>
      <c r="F232" s="18"/>
      <c r="G232" s="19"/>
      <c r="H232" s="20"/>
      <c r="I232" s="21"/>
      <c r="J232" s="14"/>
      <c r="K232" s="14">
        <f t="shared" si="6"/>
        <v>0</v>
      </c>
      <c r="L232" s="16">
        <f t="shared" si="7"/>
        <v>0</v>
      </c>
      <c r="M232" s="22">
        <v>44835</v>
      </c>
      <c r="N232" s="44"/>
      <c r="O232" s="23" t="s">
        <v>16</v>
      </c>
      <c r="P232" s="24" t="s">
        <v>17</v>
      </c>
      <c r="Q232" s="28" t="s">
        <v>344</v>
      </c>
    </row>
    <row r="233" spans="1:17">
      <c r="A233" s="14">
        <v>229</v>
      </c>
      <c r="B233" s="29" t="s">
        <v>343</v>
      </c>
      <c r="C233" s="16">
        <f>'Медикаменты Февраль'!L232</f>
        <v>0</v>
      </c>
      <c r="D233" s="17"/>
      <c r="E233" s="14"/>
      <c r="F233" s="18"/>
      <c r="G233" s="19"/>
      <c r="H233" s="20"/>
      <c r="I233" s="21"/>
      <c r="J233" s="14"/>
      <c r="K233" s="14">
        <f t="shared" si="6"/>
        <v>0</v>
      </c>
      <c r="L233" s="16">
        <f t="shared" si="7"/>
        <v>0</v>
      </c>
      <c r="M233" s="22">
        <v>44835</v>
      </c>
      <c r="N233" s="44"/>
      <c r="O233" s="23" t="s">
        <v>26</v>
      </c>
      <c r="P233" s="24"/>
      <c r="Q233" s="28" t="s">
        <v>344</v>
      </c>
    </row>
    <row r="234" spans="1:17">
      <c r="A234" s="14">
        <v>230</v>
      </c>
      <c r="B234" s="29" t="s">
        <v>345</v>
      </c>
      <c r="C234" s="16">
        <f>'Медикаменты Февраль'!L233</f>
        <v>42</v>
      </c>
      <c r="D234" s="17"/>
      <c r="E234" s="14"/>
      <c r="F234" s="18">
        <f>10+15</f>
        <v>25</v>
      </c>
      <c r="G234" s="19"/>
      <c r="H234" s="20"/>
      <c r="I234" s="21"/>
      <c r="J234" s="14"/>
      <c r="K234" s="14">
        <f t="shared" si="6"/>
        <v>25</v>
      </c>
      <c r="L234" s="16">
        <f t="shared" si="7"/>
        <v>17</v>
      </c>
      <c r="M234" s="22">
        <v>44562</v>
      </c>
      <c r="N234" s="44" t="s">
        <v>45</v>
      </c>
      <c r="O234" s="23" t="s">
        <v>16</v>
      </c>
      <c r="P234" s="24" t="s">
        <v>45</v>
      </c>
      <c r="Q234" s="28" t="s">
        <v>346</v>
      </c>
    </row>
    <row r="235" spans="1:17">
      <c r="A235" s="14">
        <v>231</v>
      </c>
      <c r="B235" s="29" t="s">
        <v>347</v>
      </c>
      <c r="C235" s="16">
        <f>'Медикаменты Февраль'!L234</f>
        <v>0</v>
      </c>
      <c r="D235" s="17"/>
      <c r="E235" s="14"/>
      <c r="F235" s="18"/>
      <c r="G235" s="19"/>
      <c r="H235" s="20"/>
      <c r="I235" s="21"/>
      <c r="J235" s="14"/>
      <c r="K235" s="14">
        <f t="shared" si="6"/>
        <v>0</v>
      </c>
      <c r="L235" s="16">
        <f t="shared" si="7"/>
        <v>0</v>
      </c>
      <c r="M235" s="22">
        <v>44896</v>
      </c>
      <c r="N235" s="44"/>
      <c r="O235" s="23" t="s">
        <v>16</v>
      </c>
      <c r="P235" s="24" t="s">
        <v>45</v>
      </c>
      <c r="Q235" s="23" t="s">
        <v>348</v>
      </c>
    </row>
    <row r="236" spans="1:17">
      <c r="A236" s="14">
        <v>232</v>
      </c>
      <c r="B236" s="29" t="s">
        <v>349</v>
      </c>
      <c r="C236" s="16">
        <f>'Медикаменты Февраль'!L235</f>
        <v>0</v>
      </c>
      <c r="D236" s="17"/>
      <c r="E236" s="14"/>
      <c r="F236" s="18"/>
      <c r="G236" s="19"/>
      <c r="H236" s="20"/>
      <c r="I236" s="21"/>
      <c r="J236" s="14"/>
      <c r="K236" s="14">
        <f t="shared" si="6"/>
        <v>0</v>
      </c>
      <c r="L236" s="16">
        <f t="shared" si="7"/>
        <v>0</v>
      </c>
      <c r="M236" s="22"/>
      <c r="N236" s="44"/>
      <c r="O236" s="23" t="s">
        <v>16</v>
      </c>
      <c r="P236" s="24"/>
      <c r="Q236" s="25"/>
    </row>
    <row r="237" spans="1:17">
      <c r="A237" s="14">
        <v>233</v>
      </c>
      <c r="B237" s="29" t="s">
        <v>350</v>
      </c>
      <c r="C237" s="16">
        <f>'Медикаменты Февраль'!L236</f>
        <v>0</v>
      </c>
      <c r="D237" s="17"/>
      <c r="E237" s="14"/>
      <c r="F237" s="18"/>
      <c r="G237" s="19"/>
      <c r="H237" s="20"/>
      <c r="I237" s="21"/>
      <c r="J237" s="14"/>
      <c r="K237" s="14">
        <f t="shared" si="6"/>
        <v>0</v>
      </c>
      <c r="L237" s="16">
        <f t="shared" si="7"/>
        <v>0</v>
      </c>
      <c r="M237" s="22"/>
      <c r="N237" s="44"/>
      <c r="O237" s="23" t="s">
        <v>16</v>
      </c>
      <c r="P237" s="24"/>
      <c r="Q237" s="25"/>
    </row>
    <row r="238" spans="1:17">
      <c r="A238" s="14">
        <v>234</v>
      </c>
      <c r="B238" s="29" t="s">
        <v>351</v>
      </c>
      <c r="C238" s="16">
        <f>'Медикаменты Февраль'!L237</f>
        <v>0</v>
      </c>
      <c r="D238" s="17"/>
      <c r="E238" s="14"/>
      <c r="F238" s="18"/>
      <c r="G238" s="19"/>
      <c r="H238" s="20"/>
      <c r="I238" s="21"/>
      <c r="J238" s="14"/>
      <c r="K238" s="14">
        <f t="shared" si="6"/>
        <v>0</v>
      </c>
      <c r="L238" s="16">
        <f t="shared" si="7"/>
        <v>0</v>
      </c>
      <c r="M238" s="22">
        <v>44197</v>
      </c>
      <c r="N238" s="44"/>
      <c r="O238" s="23" t="s">
        <v>16</v>
      </c>
      <c r="P238" s="24"/>
      <c r="Q238" s="28" t="s">
        <v>352</v>
      </c>
    </row>
    <row r="239" spans="1:17">
      <c r="A239" s="14">
        <v>235</v>
      </c>
      <c r="B239" s="29" t="s">
        <v>353</v>
      </c>
      <c r="C239" s="16">
        <f>'Медикаменты Февраль'!L238</f>
        <v>363</v>
      </c>
      <c r="D239" s="17"/>
      <c r="E239" s="14"/>
      <c r="F239" s="18"/>
      <c r="G239" s="19"/>
      <c r="H239" s="20"/>
      <c r="I239" s="21"/>
      <c r="J239" s="14"/>
      <c r="K239" s="14">
        <f t="shared" si="6"/>
        <v>0</v>
      </c>
      <c r="L239" s="16">
        <f t="shared" si="7"/>
        <v>363</v>
      </c>
      <c r="M239" s="22">
        <v>44652</v>
      </c>
      <c r="N239" s="44" t="s">
        <v>45</v>
      </c>
      <c r="O239" s="23" t="s">
        <v>16</v>
      </c>
      <c r="P239" s="24" t="s">
        <v>17</v>
      </c>
      <c r="Q239" s="28" t="s">
        <v>354</v>
      </c>
    </row>
    <row r="240" spans="1:17">
      <c r="A240" s="14">
        <v>236</v>
      </c>
      <c r="B240" s="29" t="s">
        <v>355</v>
      </c>
      <c r="C240" s="16">
        <f>'Медикаменты Февраль'!L239</f>
        <v>8</v>
      </c>
      <c r="D240" s="17"/>
      <c r="E240" s="14"/>
      <c r="F240" s="18"/>
      <c r="G240" s="19"/>
      <c r="H240" s="20"/>
      <c r="I240" s="21"/>
      <c r="J240" s="14"/>
      <c r="K240" s="14">
        <f t="shared" si="6"/>
        <v>0</v>
      </c>
      <c r="L240" s="16">
        <f t="shared" si="7"/>
        <v>8</v>
      </c>
      <c r="M240" s="22">
        <v>44713</v>
      </c>
      <c r="N240" s="44" t="s">
        <v>45</v>
      </c>
      <c r="O240" s="23" t="s">
        <v>16</v>
      </c>
      <c r="P240" s="24" t="s">
        <v>17</v>
      </c>
      <c r="Q240" s="28" t="s">
        <v>356</v>
      </c>
    </row>
    <row r="241" spans="1:17">
      <c r="A241" s="14">
        <v>237</v>
      </c>
      <c r="B241" s="29" t="s">
        <v>357</v>
      </c>
      <c r="C241" s="16">
        <f>'Медикаменты Февраль'!L240</f>
        <v>0</v>
      </c>
      <c r="D241" s="17"/>
      <c r="E241" s="14"/>
      <c r="F241" s="18"/>
      <c r="G241" s="19"/>
      <c r="H241" s="20"/>
      <c r="I241" s="21"/>
      <c r="J241" s="14"/>
      <c r="K241" s="14">
        <f t="shared" si="6"/>
        <v>0</v>
      </c>
      <c r="L241" s="16">
        <f t="shared" si="7"/>
        <v>0</v>
      </c>
      <c r="M241" s="22"/>
      <c r="N241" s="44"/>
      <c r="O241" s="23" t="s">
        <v>16</v>
      </c>
      <c r="P241" s="24"/>
      <c r="Q241" s="25"/>
    </row>
    <row r="242" spans="1:17">
      <c r="A242" s="14">
        <v>238</v>
      </c>
      <c r="B242" s="29" t="s">
        <v>358</v>
      </c>
      <c r="C242" s="16">
        <f>'Медикаменты Февраль'!L241</f>
        <v>0</v>
      </c>
      <c r="D242" s="17"/>
      <c r="E242" s="14"/>
      <c r="F242" s="18"/>
      <c r="G242" s="19"/>
      <c r="H242" s="20"/>
      <c r="I242" s="21"/>
      <c r="J242" s="14"/>
      <c r="K242" s="14">
        <f t="shared" si="6"/>
        <v>0</v>
      </c>
      <c r="L242" s="16">
        <f t="shared" si="7"/>
        <v>0</v>
      </c>
      <c r="M242" s="22">
        <v>44562</v>
      </c>
      <c r="N242" s="44"/>
      <c r="O242" s="23" t="s">
        <v>26</v>
      </c>
      <c r="P242" s="24"/>
      <c r="Q242" s="28" t="s">
        <v>359</v>
      </c>
    </row>
    <row r="243" spans="1:17">
      <c r="A243" s="14">
        <v>239</v>
      </c>
      <c r="B243" s="29" t="s">
        <v>360</v>
      </c>
      <c r="C243" s="16">
        <f>'Медикаменты Февраль'!L242</f>
        <v>0</v>
      </c>
      <c r="D243" s="17"/>
      <c r="E243" s="14"/>
      <c r="F243" s="18"/>
      <c r="G243" s="19"/>
      <c r="H243" s="20"/>
      <c r="I243" s="21"/>
      <c r="J243" s="14"/>
      <c r="K243" s="14">
        <f t="shared" si="6"/>
        <v>0</v>
      </c>
      <c r="L243" s="16">
        <f t="shared" si="7"/>
        <v>0</v>
      </c>
      <c r="M243" s="22"/>
      <c r="N243" s="44"/>
      <c r="O243" s="23" t="s">
        <v>16</v>
      </c>
      <c r="P243" s="24"/>
      <c r="Q243" s="25"/>
    </row>
    <row r="244" spans="1:17">
      <c r="A244" s="14">
        <v>240</v>
      </c>
      <c r="B244" s="29" t="s">
        <v>361</v>
      </c>
      <c r="C244" s="16">
        <f>'Медикаменты Февраль'!L243</f>
        <v>0</v>
      </c>
      <c r="D244" s="17"/>
      <c r="E244" s="14"/>
      <c r="F244" s="18"/>
      <c r="G244" s="19"/>
      <c r="H244" s="20"/>
      <c r="I244" s="21"/>
      <c r="J244" s="14"/>
      <c r="K244" s="14">
        <f t="shared" si="6"/>
        <v>0</v>
      </c>
      <c r="L244" s="16">
        <f t="shared" si="7"/>
        <v>0</v>
      </c>
      <c r="M244" s="22"/>
      <c r="N244" s="44"/>
      <c r="O244" s="23" t="s">
        <v>16</v>
      </c>
      <c r="P244" s="24"/>
      <c r="Q244" s="25"/>
    </row>
    <row r="245" spans="1:17">
      <c r="A245" s="14">
        <v>241</v>
      </c>
      <c r="B245" s="29" t="s">
        <v>362</v>
      </c>
      <c r="C245" s="16">
        <f>'Медикаменты Февраль'!L244</f>
        <v>0</v>
      </c>
      <c r="D245" s="17"/>
      <c r="E245" s="14"/>
      <c r="F245" s="18"/>
      <c r="G245" s="19"/>
      <c r="H245" s="20"/>
      <c r="I245" s="21"/>
      <c r="J245" s="14"/>
      <c r="K245" s="14">
        <f t="shared" si="6"/>
        <v>0</v>
      </c>
      <c r="L245" s="16">
        <f t="shared" si="7"/>
        <v>0</v>
      </c>
      <c r="M245" s="22">
        <v>45200</v>
      </c>
      <c r="N245" s="44"/>
      <c r="O245" s="23" t="s">
        <v>16</v>
      </c>
      <c r="P245" s="24"/>
      <c r="Q245" s="23" t="s">
        <v>363</v>
      </c>
    </row>
    <row r="246" spans="1:17">
      <c r="A246" s="14">
        <v>242</v>
      </c>
      <c r="B246" s="29" t="s">
        <v>364</v>
      </c>
      <c r="C246" s="16">
        <f>'Медикаменты Февраль'!L245</f>
        <v>0</v>
      </c>
      <c r="D246" s="17"/>
      <c r="E246" s="14"/>
      <c r="F246" s="18"/>
      <c r="G246" s="19"/>
      <c r="H246" s="20"/>
      <c r="I246" s="21"/>
      <c r="J246" s="14"/>
      <c r="K246" s="14">
        <f t="shared" si="6"/>
        <v>0</v>
      </c>
      <c r="L246" s="16">
        <f t="shared" si="7"/>
        <v>0</v>
      </c>
      <c r="M246" s="22">
        <v>44378</v>
      </c>
      <c r="N246" s="44"/>
      <c r="O246" s="23" t="s">
        <v>26</v>
      </c>
      <c r="P246" s="24"/>
      <c r="Q246" s="25"/>
    </row>
    <row r="247" spans="1:17">
      <c r="A247" s="14">
        <v>243</v>
      </c>
      <c r="B247" s="29" t="s">
        <v>365</v>
      </c>
      <c r="C247" s="16">
        <f>'Медикаменты Февраль'!L246</f>
        <v>0</v>
      </c>
      <c r="D247" s="17"/>
      <c r="E247" s="14"/>
      <c r="F247" s="18"/>
      <c r="G247" s="19"/>
      <c r="H247" s="20"/>
      <c r="I247" s="21"/>
      <c r="J247" s="14"/>
      <c r="K247" s="14">
        <f t="shared" si="6"/>
        <v>0</v>
      </c>
      <c r="L247" s="16">
        <f t="shared" si="7"/>
        <v>0</v>
      </c>
      <c r="M247" s="22"/>
      <c r="N247" s="44"/>
      <c r="O247" s="23" t="s">
        <v>16</v>
      </c>
      <c r="P247" s="24"/>
      <c r="Q247" s="25"/>
    </row>
    <row r="248" spans="1:17">
      <c r="A248" s="14">
        <v>244</v>
      </c>
      <c r="B248" s="29" t="s">
        <v>556</v>
      </c>
      <c r="C248" s="16">
        <f>'Медикаменты Февраль'!L247</f>
        <v>0</v>
      </c>
      <c r="D248" s="17"/>
      <c r="E248" s="14">
        <f>13</f>
        <v>13</v>
      </c>
      <c r="F248" s="18">
        <f>2</f>
        <v>2</v>
      </c>
      <c r="G248" s="19"/>
      <c r="H248" s="20"/>
      <c r="I248" s="21"/>
      <c r="J248" s="14"/>
      <c r="K248" s="14">
        <f t="shared" si="6"/>
        <v>2</v>
      </c>
      <c r="L248" s="16">
        <f t="shared" si="7"/>
        <v>11</v>
      </c>
      <c r="M248" s="22">
        <v>45231</v>
      </c>
      <c r="N248" s="44" t="s">
        <v>551</v>
      </c>
      <c r="O248" s="23" t="s">
        <v>16</v>
      </c>
      <c r="P248" s="24" t="s">
        <v>17</v>
      </c>
      <c r="Q248" s="23" t="s">
        <v>557</v>
      </c>
    </row>
    <row r="249" spans="1:17">
      <c r="A249" s="14">
        <v>245</v>
      </c>
      <c r="B249" s="29" t="s">
        <v>556</v>
      </c>
      <c r="C249" s="16"/>
      <c r="D249" s="17"/>
      <c r="E249" s="14">
        <f>3</f>
        <v>3</v>
      </c>
      <c r="F249" s="18"/>
      <c r="G249" s="19">
        <f>3</f>
        <v>3</v>
      </c>
      <c r="H249" s="20"/>
      <c r="I249" s="21"/>
      <c r="J249" s="14"/>
      <c r="K249" s="14">
        <f t="shared" si="6"/>
        <v>3</v>
      </c>
      <c r="L249" s="16">
        <f t="shared" si="7"/>
        <v>0</v>
      </c>
      <c r="M249" s="22">
        <v>45231</v>
      </c>
      <c r="N249" s="44" t="s">
        <v>551</v>
      </c>
      <c r="O249" s="23" t="s">
        <v>26</v>
      </c>
      <c r="P249" s="24" t="s">
        <v>17</v>
      </c>
      <c r="Q249" s="23" t="s">
        <v>557</v>
      </c>
    </row>
    <row r="250" spans="1:17">
      <c r="A250" s="14">
        <v>246</v>
      </c>
      <c r="B250" s="29" t="s">
        <v>367</v>
      </c>
      <c r="C250" s="16">
        <f>'Медикаменты Февраль'!L248</f>
        <v>20</v>
      </c>
      <c r="D250" s="17"/>
      <c r="E250" s="14"/>
      <c r="F250" s="18"/>
      <c r="G250" s="19"/>
      <c r="H250" s="20"/>
      <c r="I250" s="21"/>
      <c r="J250" s="14"/>
      <c r="K250" s="14">
        <f t="shared" si="6"/>
        <v>0</v>
      </c>
      <c r="L250" s="16">
        <f t="shared" si="7"/>
        <v>20</v>
      </c>
      <c r="M250" s="22">
        <v>45261</v>
      </c>
      <c r="N250" s="44" t="s">
        <v>45</v>
      </c>
      <c r="O250" s="23" t="s">
        <v>16</v>
      </c>
      <c r="P250" s="24" t="s">
        <v>17</v>
      </c>
      <c r="Q250" s="23" t="s">
        <v>368</v>
      </c>
    </row>
    <row r="251" spans="1:17">
      <c r="A251" s="14">
        <v>247</v>
      </c>
      <c r="B251" s="29" t="s">
        <v>369</v>
      </c>
      <c r="C251" s="16">
        <f>'Медикаменты Февраль'!L249</f>
        <v>10</v>
      </c>
      <c r="D251" s="17"/>
      <c r="E251" s="14"/>
      <c r="F251" s="18">
        <f>3</f>
        <v>3</v>
      </c>
      <c r="G251" s="19"/>
      <c r="H251" s="20"/>
      <c r="I251" s="21"/>
      <c r="J251" s="14"/>
      <c r="K251" s="14">
        <f t="shared" si="6"/>
        <v>3</v>
      </c>
      <c r="L251" s="16">
        <f t="shared" si="7"/>
        <v>7</v>
      </c>
      <c r="M251" s="22">
        <v>44927</v>
      </c>
      <c r="N251" s="44" t="s">
        <v>45</v>
      </c>
      <c r="O251" s="23" t="s">
        <v>16</v>
      </c>
      <c r="P251" s="24" t="s">
        <v>45</v>
      </c>
      <c r="Q251" s="28" t="s">
        <v>370</v>
      </c>
    </row>
    <row r="252" spans="1:17">
      <c r="A252" s="14">
        <v>248</v>
      </c>
      <c r="B252" s="29" t="s">
        <v>371</v>
      </c>
      <c r="C252" s="16">
        <f>'Медикаменты Февраль'!L250</f>
        <v>15</v>
      </c>
      <c r="D252" s="17"/>
      <c r="E252" s="14"/>
      <c r="F252" s="18">
        <f>5+10</f>
        <v>15</v>
      </c>
      <c r="G252" s="19"/>
      <c r="H252" s="20"/>
      <c r="I252" s="21"/>
      <c r="J252" s="14"/>
      <c r="K252" s="14">
        <f t="shared" si="6"/>
        <v>15</v>
      </c>
      <c r="L252" s="16">
        <f t="shared" si="7"/>
        <v>0</v>
      </c>
      <c r="M252" s="22">
        <v>45413</v>
      </c>
      <c r="N252" s="44"/>
      <c r="O252" s="23" t="s">
        <v>16</v>
      </c>
      <c r="P252" s="24" t="s">
        <v>17</v>
      </c>
      <c r="Q252" s="23" t="s">
        <v>372</v>
      </c>
    </row>
    <row r="253" spans="1:17">
      <c r="A253" s="14">
        <v>249</v>
      </c>
      <c r="B253" s="29" t="s">
        <v>371</v>
      </c>
      <c r="C253" s="16">
        <f>'Медикаменты Февраль'!L251</f>
        <v>0</v>
      </c>
      <c r="D253" s="17"/>
      <c r="E253" s="14"/>
      <c r="F253" s="18"/>
      <c r="G253" s="19"/>
      <c r="H253" s="20"/>
      <c r="I253" s="21"/>
      <c r="J253" s="14"/>
      <c r="K253" s="14">
        <f t="shared" si="6"/>
        <v>0</v>
      </c>
      <c r="L253" s="16">
        <f t="shared" si="7"/>
        <v>0</v>
      </c>
      <c r="M253" s="22">
        <v>45413</v>
      </c>
      <c r="N253" s="44"/>
      <c r="O253" s="23" t="s">
        <v>26</v>
      </c>
      <c r="P253" s="24"/>
      <c r="Q253" s="23" t="s">
        <v>372</v>
      </c>
    </row>
    <row r="254" spans="1:17">
      <c r="A254" s="14">
        <v>250</v>
      </c>
      <c r="B254" s="29" t="s">
        <v>373</v>
      </c>
      <c r="C254" s="16">
        <f>'Медикаменты Февраль'!L252</f>
        <v>0</v>
      </c>
      <c r="D254" s="17"/>
      <c r="E254" s="14"/>
      <c r="F254" s="18"/>
      <c r="G254" s="19"/>
      <c r="H254" s="20"/>
      <c r="I254" s="21"/>
      <c r="J254" s="14"/>
      <c r="K254" s="14">
        <f t="shared" si="6"/>
        <v>0</v>
      </c>
      <c r="L254" s="16">
        <f t="shared" si="7"/>
        <v>0</v>
      </c>
      <c r="M254" s="22">
        <v>45108</v>
      </c>
      <c r="N254" s="44"/>
      <c r="O254" s="23" t="s">
        <v>16</v>
      </c>
      <c r="P254" s="24"/>
      <c r="Q254" s="23" t="s">
        <v>374</v>
      </c>
    </row>
    <row r="255" spans="1:17">
      <c r="A255" s="14">
        <v>251</v>
      </c>
      <c r="B255" s="29" t="s">
        <v>373</v>
      </c>
      <c r="C255" s="16">
        <f>'Медикаменты Февраль'!L253</f>
        <v>0</v>
      </c>
      <c r="D255" s="17"/>
      <c r="E255" s="14"/>
      <c r="F255" s="18"/>
      <c r="G255" s="19"/>
      <c r="H255" s="20"/>
      <c r="I255" s="21"/>
      <c r="J255" s="14"/>
      <c r="K255" s="14">
        <f t="shared" si="6"/>
        <v>0</v>
      </c>
      <c r="L255" s="16">
        <f t="shared" si="7"/>
        <v>0</v>
      </c>
      <c r="M255" s="22">
        <v>45108</v>
      </c>
      <c r="N255" s="44"/>
      <c r="O255" s="23" t="s">
        <v>26</v>
      </c>
      <c r="P255" s="24"/>
      <c r="Q255" s="23" t="s">
        <v>374</v>
      </c>
    </row>
    <row r="256" spans="1:17">
      <c r="A256" s="14">
        <v>252</v>
      </c>
      <c r="B256" s="29" t="s">
        <v>375</v>
      </c>
      <c r="C256" s="16">
        <f>'Медикаменты Февраль'!L254</f>
        <v>0</v>
      </c>
      <c r="D256" s="17"/>
      <c r="E256" s="14"/>
      <c r="F256" s="18"/>
      <c r="G256" s="19"/>
      <c r="H256" s="20"/>
      <c r="I256" s="21"/>
      <c r="J256" s="14"/>
      <c r="K256" s="14">
        <f t="shared" si="6"/>
        <v>0</v>
      </c>
      <c r="L256" s="16">
        <f t="shared" si="7"/>
        <v>0</v>
      </c>
      <c r="M256" s="22">
        <v>44805</v>
      </c>
      <c r="N256" s="44"/>
      <c r="O256" s="23" t="s">
        <v>16</v>
      </c>
      <c r="P256" s="24" t="s">
        <v>17</v>
      </c>
      <c r="Q256" s="28" t="s">
        <v>376</v>
      </c>
    </row>
    <row r="257" spans="1:17">
      <c r="A257" s="14">
        <v>253</v>
      </c>
      <c r="B257" s="29" t="s">
        <v>375</v>
      </c>
      <c r="C257" s="16">
        <f>'Медикаменты Февраль'!L255</f>
        <v>0</v>
      </c>
      <c r="D257" s="17"/>
      <c r="E257" s="14"/>
      <c r="F257" s="18"/>
      <c r="G257" s="19"/>
      <c r="H257" s="20"/>
      <c r="I257" s="21"/>
      <c r="J257" s="14"/>
      <c r="K257" s="14">
        <f t="shared" si="6"/>
        <v>0</v>
      </c>
      <c r="L257" s="16">
        <f t="shared" si="7"/>
        <v>0</v>
      </c>
      <c r="M257" s="22">
        <v>44958</v>
      </c>
      <c r="N257" s="44"/>
      <c r="O257" s="23" t="s">
        <v>26</v>
      </c>
      <c r="P257" s="24"/>
      <c r="Q257" s="28" t="s">
        <v>376</v>
      </c>
    </row>
    <row r="258" spans="1:17">
      <c r="A258" s="14">
        <v>254</v>
      </c>
      <c r="B258" s="29" t="s">
        <v>377</v>
      </c>
      <c r="C258" s="16">
        <f>'Медикаменты Февраль'!L256</f>
        <v>161</v>
      </c>
      <c r="D258" s="17"/>
      <c r="E258" s="14"/>
      <c r="F258" s="18">
        <f>15+4</f>
        <v>19</v>
      </c>
      <c r="G258" s="19"/>
      <c r="H258" s="20">
        <f>30</f>
        <v>30</v>
      </c>
      <c r="I258" s="21"/>
      <c r="J258" s="14"/>
      <c r="K258" s="14">
        <f t="shared" si="6"/>
        <v>49</v>
      </c>
      <c r="L258" s="16">
        <f t="shared" si="7"/>
        <v>112</v>
      </c>
      <c r="M258" s="22">
        <v>45170</v>
      </c>
      <c r="N258" s="44" t="s">
        <v>45</v>
      </c>
      <c r="O258" s="23" t="s">
        <v>16</v>
      </c>
      <c r="P258" s="24" t="s">
        <v>17</v>
      </c>
      <c r="Q258" s="23" t="s">
        <v>378</v>
      </c>
    </row>
    <row r="259" spans="1:17">
      <c r="A259" s="14">
        <v>255</v>
      </c>
      <c r="B259" s="29" t="s">
        <v>377</v>
      </c>
      <c r="C259" s="16">
        <f>'Медикаменты Февраль'!L257</f>
        <v>0</v>
      </c>
      <c r="D259" s="17"/>
      <c r="E259" s="14"/>
      <c r="F259" s="18"/>
      <c r="G259" s="19"/>
      <c r="H259" s="20"/>
      <c r="I259" s="21"/>
      <c r="J259" s="14"/>
      <c r="K259" s="14">
        <f t="shared" si="6"/>
        <v>0</v>
      </c>
      <c r="L259" s="16">
        <f t="shared" si="7"/>
        <v>0</v>
      </c>
      <c r="M259" s="22">
        <v>45170</v>
      </c>
      <c r="N259" s="44"/>
      <c r="O259" s="23" t="s">
        <v>26</v>
      </c>
      <c r="P259" s="24" t="s">
        <v>17</v>
      </c>
      <c r="Q259" s="23" t="s">
        <v>378</v>
      </c>
    </row>
    <row r="260" spans="1:17">
      <c r="A260" s="14">
        <v>256</v>
      </c>
      <c r="B260" s="29" t="s">
        <v>379</v>
      </c>
      <c r="C260" s="16">
        <f>'Медикаменты Февраль'!L258</f>
        <v>0</v>
      </c>
      <c r="D260" s="17"/>
      <c r="E260" s="14"/>
      <c r="F260" s="18"/>
      <c r="G260" s="19"/>
      <c r="H260" s="20"/>
      <c r="I260" s="21"/>
      <c r="J260" s="14"/>
      <c r="K260" s="14">
        <f t="shared" si="6"/>
        <v>0</v>
      </c>
      <c r="L260" s="16">
        <f t="shared" si="7"/>
        <v>0</v>
      </c>
      <c r="M260" s="22"/>
      <c r="N260" s="44"/>
      <c r="O260" s="23" t="s">
        <v>16</v>
      </c>
      <c r="P260" s="24"/>
      <c r="Q260" s="25"/>
    </row>
    <row r="261" spans="1:17">
      <c r="A261" s="14">
        <v>257</v>
      </c>
      <c r="B261" s="29" t="s">
        <v>380</v>
      </c>
      <c r="C261" s="16">
        <f>'Медикаменты Февраль'!L259</f>
        <v>0</v>
      </c>
      <c r="D261" s="17"/>
      <c r="E261" s="14"/>
      <c r="F261" s="18"/>
      <c r="G261" s="19"/>
      <c r="H261" s="20"/>
      <c r="I261" s="21"/>
      <c r="J261" s="14"/>
      <c r="K261" s="14">
        <f t="shared" ref="K261:K324" si="8">SUM(F261:J261)</f>
        <v>0</v>
      </c>
      <c r="L261" s="16">
        <f t="shared" ref="L261:L324" si="9">(C261+E261)-K261</f>
        <v>0</v>
      </c>
      <c r="M261" s="22">
        <v>44682</v>
      </c>
      <c r="N261" s="44"/>
      <c r="O261" s="23" t="s">
        <v>16</v>
      </c>
      <c r="P261" s="24" t="s">
        <v>45</v>
      </c>
      <c r="Q261" s="23" t="s">
        <v>381</v>
      </c>
    </row>
    <row r="262" spans="1:17">
      <c r="A262" s="14">
        <v>258</v>
      </c>
      <c r="B262" s="29" t="s">
        <v>382</v>
      </c>
      <c r="C262" s="16">
        <f>'Медикаменты Февраль'!L260</f>
        <v>0</v>
      </c>
      <c r="D262" s="17"/>
      <c r="E262" s="14"/>
      <c r="F262" s="18"/>
      <c r="G262" s="19"/>
      <c r="H262" s="20"/>
      <c r="I262" s="21"/>
      <c r="J262" s="14"/>
      <c r="K262" s="14">
        <f t="shared" si="8"/>
        <v>0</v>
      </c>
      <c r="L262" s="16">
        <f t="shared" si="9"/>
        <v>0</v>
      </c>
      <c r="M262" s="22">
        <v>44743</v>
      </c>
      <c r="N262" s="44"/>
      <c r="O262" s="23" t="s">
        <v>16</v>
      </c>
      <c r="P262" s="24"/>
      <c r="Q262" s="23" t="s">
        <v>383</v>
      </c>
    </row>
    <row r="263" spans="1:17">
      <c r="A263" s="14">
        <v>259</v>
      </c>
      <c r="B263" s="29" t="s">
        <v>384</v>
      </c>
      <c r="C263" s="16">
        <f>'Медикаменты Февраль'!L261</f>
        <v>0</v>
      </c>
      <c r="D263" s="17"/>
      <c r="E263" s="14"/>
      <c r="F263" s="18"/>
      <c r="G263" s="19"/>
      <c r="H263" s="20"/>
      <c r="I263" s="21"/>
      <c r="J263" s="14"/>
      <c r="K263" s="14">
        <f t="shared" si="8"/>
        <v>0</v>
      </c>
      <c r="L263" s="16">
        <f t="shared" si="9"/>
        <v>0</v>
      </c>
      <c r="M263" s="22"/>
      <c r="N263" s="44"/>
      <c r="O263" s="23" t="s">
        <v>16</v>
      </c>
      <c r="P263" s="24"/>
      <c r="Q263" s="25"/>
    </row>
    <row r="264" spans="1:17">
      <c r="A264" s="14">
        <v>260</v>
      </c>
      <c r="B264" s="29" t="s">
        <v>385</v>
      </c>
      <c r="C264" s="16">
        <f>'Медикаменты Февраль'!L262</f>
        <v>0</v>
      </c>
      <c r="D264" s="17"/>
      <c r="E264" s="14"/>
      <c r="F264" s="18"/>
      <c r="G264" s="19"/>
      <c r="H264" s="20"/>
      <c r="I264" s="21"/>
      <c r="J264" s="14"/>
      <c r="K264" s="14">
        <f t="shared" si="8"/>
        <v>0</v>
      </c>
      <c r="L264" s="16">
        <f t="shared" si="9"/>
        <v>0</v>
      </c>
      <c r="M264" s="22"/>
      <c r="N264" s="44"/>
      <c r="O264" s="23" t="s">
        <v>16</v>
      </c>
      <c r="P264" s="24"/>
      <c r="Q264" s="25"/>
    </row>
    <row r="265" spans="1:17">
      <c r="A265" s="14">
        <v>261</v>
      </c>
      <c r="B265" s="29" t="s">
        <v>386</v>
      </c>
      <c r="C265" s="16">
        <f>'Медикаменты Февраль'!L263</f>
        <v>0</v>
      </c>
      <c r="D265" s="17"/>
      <c r="E265" s="14"/>
      <c r="F265" s="18"/>
      <c r="G265" s="19"/>
      <c r="H265" s="20"/>
      <c r="I265" s="21"/>
      <c r="J265" s="14"/>
      <c r="K265" s="14">
        <f t="shared" si="8"/>
        <v>0</v>
      </c>
      <c r="L265" s="16">
        <f t="shared" si="9"/>
        <v>0</v>
      </c>
      <c r="M265" s="22"/>
      <c r="N265" s="44"/>
      <c r="O265" s="23" t="s">
        <v>16</v>
      </c>
      <c r="P265" s="24"/>
      <c r="Q265" s="25"/>
    </row>
    <row r="266" spans="1:17">
      <c r="A266" s="14">
        <v>262</v>
      </c>
      <c r="B266" s="29" t="s">
        <v>387</v>
      </c>
      <c r="C266" s="16">
        <f>'Медикаменты Февраль'!L264</f>
        <v>0</v>
      </c>
      <c r="D266" s="17"/>
      <c r="E266" s="14"/>
      <c r="F266" s="18"/>
      <c r="G266" s="19"/>
      <c r="H266" s="20"/>
      <c r="I266" s="21"/>
      <c r="J266" s="14"/>
      <c r="K266" s="14">
        <f t="shared" si="8"/>
        <v>0</v>
      </c>
      <c r="L266" s="16">
        <f t="shared" si="9"/>
        <v>0</v>
      </c>
      <c r="M266" s="22"/>
      <c r="N266" s="44"/>
      <c r="O266" s="23" t="s">
        <v>16</v>
      </c>
      <c r="P266" s="24"/>
      <c r="Q266" s="25"/>
    </row>
    <row r="267" spans="1:17">
      <c r="A267" s="14">
        <v>263</v>
      </c>
      <c r="B267" s="29" t="s">
        <v>388</v>
      </c>
      <c r="C267" s="16">
        <f>'Медикаменты Февраль'!L265</f>
        <v>0</v>
      </c>
      <c r="D267" s="17"/>
      <c r="E267" s="14"/>
      <c r="F267" s="18"/>
      <c r="G267" s="19"/>
      <c r="H267" s="20"/>
      <c r="I267" s="21"/>
      <c r="J267" s="14"/>
      <c r="K267" s="14">
        <f t="shared" si="8"/>
        <v>0</v>
      </c>
      <c r="L267" s="16">
        <f t="shared" si="9"/>
        <v>0</v>
      </c>
      <c r="M267" s="22">
        <v>45139</v>
      </c>
      <c r="N267" s="44"/>
      <c r="O267" s="23" t="s">
        <v>16</v>
      </c>
      <c r="P267" s="24"/>
      <c r="Q267" s="23" t="s">
        <v>389</v>
      </c>
    </row>
    <row r="268" spans="1:17">
      <c r="A268" s="14">
        <v>264</v>
      </c>
      <c r="B268" s="29" t="s">
        <v>390</v>
      </c>
      <c r="C268" s="16">
        <f>'Медикаменты Февраль'!L266</f>
        <v>0</v>
      </c>
      <c r="D268" s="26"/>
      <c r="E268" s="14"/>
      <c r="F268" s="18"/>
      <c r="G268" s="19"/>
      <c r="H268" s="20"/>
      <c r="I268" s="21"/>
      <c r="J268" s="14"/>
      <c r="K268" s="14">
        <f t="shared" si="8"/>
        <v>0</v>
      </c>
      <c r="L268" s="16">
        <f t="shared" si="9"/>
        <v>0</v>
      </c>
      <c r="M268" s="22"/>
      <c r="N268" s="44"/>
      <c r="O268" s="23" t="s">
        <v>16</v>
      </c>
      <c r="P268" s="24"/>
      <c r="Q268" s="23" t="s">
        <v>391</v>
      </c>
    </row>
    <row r="269" spans="1:17">
      <c r="A269" s="14">
        <v>265</v>
      </c>
      <c r="B269" s="29" t="s">
        <v>392</v>
      </c>
      <c r="C269" s="16">
        <f>'Медикаменты Февраль'!L267</f>
        <v>0</v>
      </c>
      <c r="D269" s="17"/>
      <c r="E269" s="14"/>
      <c r="F269" s="18"/>
      <c r="G269" s="19"/>
      <c r="H269" s="20"/>
      <c r="I269" s="21"/>
      <c r="J269" s="14"/>
      <c r="K269" s="14">
        <f t="shared" si="8"/>
        <v>0</v>
      </c>
      <c r="L269" s="16">
        <f t="shared" si="9"/>
        <v>0</v>
      </c>
      <c r="M269" s="22"/>
      <c r="N269" s="44"/>
      <c r="O269" s="23" t="s">
        <v>16</v>
      </c>
      <c r="P269" s="24"/>
      <c r="Q269" s="25"/>
    </row>
    <row r="270" spans="1:17">
      <c r="A270" s="14">
        <v>266</v>
      </c>
      <c r="B270" s="29" t="s">
        <v>393</v>
      </c>
      <c r="C270" s="16">
        <f>'Медикаменты Февраль'!L268</f>
        <v>69</v>
      </c>
      <c r="D270" s="17"/>
      <c r="E270" s="14"/>
      <c r="F270" s="18"/>
      <c r="G270" s="19"/>
      <c r="H270" s="20"/>
      <c r="I270" s="21"/>
      <c r="J270" s="14"/>
      <c r="K270" s="14">
        <f t="shared" si="8"/>
        <v>0</v>
      </c>
      <c r="L270" s="16">
        <f t="shared" si="9"/>
        <v>69</v>
      </c>
      <c r="M270" s="22">
        <v>44652</v>
      </c>
      <c r="N270" s="44" t="s">
        <v>45</v>
      </c>
      <c r="O270" s="23" t="s">
        <v>16</v>
      </c>
      <c r="P270" s="24" t="s">
        <v>17</v>
      </c>
      <c r="Q270" s="23" t="s">
        <v>394</v>
      </c>
    </row>
    <row r="271" spans="1:17">
      <c r="A271" s="14">
        <v>267</v>
      </c>
      <c r="B271" s="29" t="s">
        <v>395</v>
      </c>
      <c r="C271" s="16">
        <f>'Медикаменты Февраль'!L269</f>
        <v>0</v>
      </c>
      <c r="D271" s="17"/>
      <c r="E271" s="14"/>
      <c r="F271" s="18"/>
      <c r="G271" s="19"/>
      <c r="H271" s="20"/>
      <c r="I271" s="21"/>
      <c r="J271" s="14"/>
      <c r="K271" s="14">
        <f t="shared" si="8"/>
        <v>0</v>
      </c>
      <c r="L271" s="16">
        <f t="shared" si="9"/>
        <v>0</v>
      </c>
      <c r="M271" s="22">
        <v>44378</v>
      </c>
      <c r="N271" s="44"/>
      <c r="O271" s="23" t="s">
        <v>16</v>
      </c>
      <c r="P271" s="24"/>
      <c r="Q271" s="23" t="s">
        <v>396</v>
      </c>
    </row>
    <row r="272" spans="1:17">
      <c r="A272" s="14">
        <v>268</v>
      </c>
      <c r="B272" s="29" t="s">
        <v>397</v>
      </c>
      <c r="C272" s="16">
        <f>'Медикаменты Февраль'!L270</f>
        <v>0</v>
      </c>
      <c r="D272" s="17"/>
      <c r="E272" s="14"/>
      <c r="F272" s="18"/>
      <c r="G272" s="19"/>
      <c r="H272" s="20"/>
      <c r="I272" s="21"/>
      <c r="J272" s="14"/>
      <c r="K272" s="14">
        <f t="shared" si="8"/>
        <v>0</v>
      </c>
      <c r="L272" s="16">
        <f t="shared" si="9"/>
        <v>0</v>
      </c>
      <c r="M272" s="22"/>
      <c r="N272" s="44"/>
      <c r="O272" s="23" t="s">
        <v>16</v>
      </c>
      <c r="P272" s="24"/>
      <c r="Q272" s="25"/>
    </row>
    <row r="273" spans="1:17">
      <c r="A273" s="14">
        <v>269</v>
      </c>
      <c r="B273" s="29" t="s">
        <v>398</v>
      </c>
      <c r="C273" s="16">
        <f>'Медикаменты Февраль'!L271</f>
        <v>0</v>
      </c>
      <c r="D273" s="17"/>
      <c r="E273" s="14"/>
      <c r="F273" s="18"/>
      <c r="G273" s="19"/>
      <c r="H273" s="20"/>
      <c r="I273" s="21"/>
      <c r="J273" s="14"/>
      <c r="K273" s="14">
        <f t="shared" si="8"/>
        <v>0</v>
      </c>
      <c r="L273" s="16">
        <f t="shared" si="9"/>
        <v>0</v>
      </c>
      <c r="M273" s="22">
        <v>44256</v>
      </c>
      <c r="N273" s="44"/>
      <c r="O273" s="23" t="s">
        <v>16</v>
      </c>
      <c r="P273" s="24"/>
      <c r="Q273" s="28" t="s">
        <v>399</v>
      </c>
    </row>
    <row r="274" spans="1:17">
      <c r="A274" s="14">
        <v>270</v>
      </c>
      <c r="B274" s="29" t="s">
        <v>400</v>
      </c>
      <c r="C274" s="16">
        <f>'Медикаменты Февраль'!L272</f>
        <v>0</v>
      </c>
      <c r="D274" s="17"/>
      <c r="E274" s="14"/>
      <c r="F274" s="18"/>
      <c r="G274" s="19"/>
      <c r="H274" s="20"/>
      <c r="I274" s="21"/>
      <c r="J274" s="14"/>
      <c r="K274" s="14">
        <f t="shared" si="8"/>
        <v>0</v>
      </c>
      <c r="L274" s="16">
        <f t="shared" si="9"/>
        <v>0</v>
      </c>
      <c r="M274" s="22">
        <v>44531</v>
      </c>
      <c r="N274" s="44"/>
      <c r="O274" s="23" t="s">
        <v>16</v>
      </c>
      <c r="P274" s="24" t="s">
        <v>45</v>
      </c>
      <c r="Q274" s="28" t="s">
        <v>401</v>
      </c>
    </row>
    <row r="275" spans="1:17">
      <c r="A275" s="14">
        <v>271</v>
      </c>
      <c r="B275" s="29" t="s">
        <v>402</v>
      </c>
      <c r="C275" s="16">
        <f>'Медикаменты Февраль'!L273</f>
        <v>0</v>
      </c>
      <c r="D275" s="17"/>
      <c r="E275" s="14"/>
      <c r="F275" s="18"/>
      <c r="G275" s="19"/>
      <c r="H275" s="20"/>
      <c r="I275" s="21"/>
      <c r="J275" s="14"/>
      <c r="K275" s="14">
        <f t="shared" si="8"/>
        <v>0</v>
      </c>
      <c r="L275" s="16">
        <f t="shared" si="9"/>
        <v>0</v>
      </c>
      <c r="M275" s="22">
        <v>45108</v>
      </c>
      <c r="N275" s="44"/>
      <c r="O275" s="23" t="s">
        <v>26</v>
      </c>
      <c r="P275" s="24" t="s">
        <v>45</v>
      </c>
      <c r="Q275" s="23" t="s">
        <v>403</v>
      </c>
    </row>
    <row r="276" spans="1:17">
      <c r="A276" s="14">
        <v>272</v>
      </c>
      <c r="B276" s="29" t="s">
        <v>404</v>
      </c>
      <c r="C276" s="16">
        <f>'Медикаменты Февраль'!L274</f>
        <v>0</v>
      </c>
      <c r="D276" s="17"/>
      <c r="E276" s="14"/>
      <c r="F276" s="18"/>
      <c r="G276" s="19"/>
      <c r="H276" s="20"/>
      <c r="I276" s="21"/>
      <c r="J276" s="14"/>
      <c r="K276" s="14">
        <f t="shared" si="8"/>
        <v>0</v>
      </c>
      <c r="L276" s="16">
        <f t="shared" si="9"/>
        <v>0</v>
      </c>
      <c r="M276" s="22"/>
      <c r="N276" s="44"/>
      <c r="O276" s="23" t="s">
        <v>16</v>
      </c>
      <c r="P276" s="24"/>
      <c r="Q276" s="25"/>
    </row>
    <row r="277" spans="1:17">
      <c r="A277" s="14">
        <v>273</v>
      </c>
      <c r="B277" s="29" t="s">
        <v>549</v>
      </c>
      <c r="C277" s="16">
        <f>'Медикаменты Февраль'!L275</f>
        <v>15</v>
      </c>
      <c r="D277" s="17"/>
      <c r="E277" s="14"/>
      <c r="F277" s="18">
        <f>15</f>
        <v>15</v>
      </c>
      <c r="G277" s="19"/>
      <c r="H277" s="20"/>
      <c r="I277" s="21"/>
      <c r="J277" s="14"/>
      <c r="K277" s="14">
        <f t="shared" si="8"/>
        <v>15</v>
      </c>
      <c r="L277" s="16">
        <f t="shared" si="9"/>
        <v>0</v>
      </c>
      <c r="M277" s="22">
        <v>44287</v>
      </c>
      <c r="N277" s="44"/>
      <c r="O277" s="23" t="s">
        <v>16</v>
      </c>
      <c r="P277" s="24" t="s">
        <v>45</v>
      </c>
      <c r="Q277" s="23" t="s">
        <v>406</v>
      </c>
    </row>
    <row r="278" spans="1:17">
      <c r="A278" s="14">
        <v>274</v>
      </c>
      <c r="B278" s="29" t="s">
        <v>407</v>
      </c>
      <c r="C278" s="16">
        <f>'Медикаменты Февраль'!L276</f>
        <v>0</v>
      </c>
      <c r="D278" s="17"/>
      <c r="E278" s="14"/>
      <c r="F278" s="18"/>
      <c r="G278" s="19"/>
      <c r="H278" s="20"/>
      <c r="I278" s="21"/>
      <c r="J278" s="14"/>
      <c r="K278" s="14">
        <f t="shared" si="8"/>
        <v>0</v>
      </c>
      <c r="L278" s="16">
        <f t="shared" si="9"/>
        <v>0</v>
      </c>
      <c r="M278" s="22">
        <v>44562</v>
      </c>
      <c r="N278" s="44"/>
      <c r="O278" s="23" t="s">
        <v>16</v>
      </c>
      <c r="P278" s="24" t="s">
        <v>17</v>
      </c>
      <c r="Q278" s="28" t="s">
        <v>408</v>
      </c>
    </row>
    <row r="279" spans="1:17">
      <c r="A279" s="14">
        <v>275</v>
      </c>
      <c r="B279" s="29" t="s">
        <v>409</v>
      </c>
      <c r="C279" s="16">
        <f>'Медикаменты Февраль'!L277</f>
        <v>295</v>
      </c>
      <c r="D279" s="17"/>
      <c r="E279" s="14"/>
      <c r="F279" s="18"/>
      <c r="G279" s="19"/>
      <c r="H279" s="20"/>
      <c r="I279" s="21"/>
      <c r="J279" s="14"/>
      <c r="K279" s="14">
        <f t="shared" si="8"/>
        <v>0</v>
      </c>
      <c r="L279" s="16">
        <f t="shared" si="9"/>
        <v>295</v>
      </c>
      <c r="M279" s="22">
        <v>45139</v>
      </c>
      <c r="N279" s="44" t="s">
        <v>45</v>
      </c>
      <c r="O279" s="23" t="s">
        <v>16</v>
      </c>
      <c r="P279" s="24" t="s">
        <v>17</v>
      </c>
      <c r="Q279" s="28" t="s">
        <v>410</v>
      </c>
    </row>
    <row r="280" spans="1:17">
      <c r="A280" s="14">
        <v>276</v>
      </c>
      <c r="B280" s="29" t="s">
        <v>411</v>
      </c>
      <c r="C280" s="16">
        <f>'Медикаменты Февраль'!L278</f>
        <v>17</v>
      </c>
      <c r="D280" s="17"/>
      <c r="E280" s="14"/>
      <c r="F280" s="18"/>
      <c r="G280" s="19"/>
      <c r="H280" s="20"/>
      <c r="I280" s="21"/>
      <c r="J280" s="14"/>
      <c r="K280" s="14">
        <f t="shared" si="8"/>
        <v>0</v>
      </c>
      <c r="L280" s="16">
        <f t="shared" si="9"/>
        <v>17</v>
      </c>
      <c r="M280" s="22">
        <v>45413</v>
      </c>
      <c r="N280" s="44" t="s">
        <v>45</v>
      </c>
      <c r="O280" s="23" t="s">
        <v>16</v>
      </c>
      <c r="P280" s="24" t="s">
        <v>45</v>
      </c>
      <c r="Q280" s="23" t="s">
        <v>412</v>
      </c>
    </row>
    <row r="281" spans="1:17">
      <c r="A281" s="14">
        <v>277</v>
      </c>
      <c r="B281" s="29" t="s">
        <v>413</v>
      </c>
      <c r="C281" s="16">
        <f>'Медикаменты Февраль'!L279</f>
        <v>0</v>
      </c>
      <c r="D281" s="17"/>
      <c r="E281" s="14"/>
      <c r="F281" s="18"/>
      <c r="G281" s="19"/>
      <c r="H281" s="20"/>
      <c r="I281" s="21"/>
      <c r="J281" s="14"/>
      <c r="K281" s="14">
        <f t="shared" si="8"/>
        <v>0</v>
      </c>
      <c r="L281" s="16">
        <f t="shared" si="9"/>
        <v>0</v>
      </c>
      <c r="M281" s="22">
        <v>45474</v>
      </c>
      <c r="N281" s="44"/>
      <c r="O281" s="23" t="s">
        <v>16</v>
      </c>
      <c r="P281" s="24"/>
      <c r="Q281" s="23"/>
    </row>
    <row r="282" spans="1:17">
      <c r="A282" s="14">
        <v>278</v>
      </c>
      <c r="B282" s="29" t="s">
        <v>414</v>
      </c>
      <c r="C282" s="16">
        <f>'Медикаменты Февраль'!L280</f>
        <v>0</v>
      </c>
      <c r="D282" s="17"/>
      <c r="E282" s="14"/>
      <c r="F282" s="18"/>
      <c r="G282" s="19"/>
      <c r="H282" s="20"/>
      <c r="I282" s="21"/>
      <c r="J282" s="14"/>
      <c r="K282" s="14">
        <f t="shared" si="8"/>
        <v>0</v>
      </c>
      <c r="L282" s="16">
        <f t="shared" si="9"/>
        <v>0</v>
      </c>
      <c r="M282" s="22"/>
      <c r="N282" s="44"/>
      <c r="O282" s="23" t="s">
        <v>16</v>
      </c>
      <c r="P282" s="24"/>
      <c r="Q282" s="23"/>
    </row>
    <row r="283" spans="1:17">
      <c r="A283" s="14">
        <v>279</v>
      </c>
      <c r="B283" s="29" t="s">
        <v>415</v>
      </c>
      <c r="C283" s="16">
        <f>'Медикаменты Февраль'!L281</f>
        <v>9</v>
      </c>
      <c r="D283" s="17"/>
      <c r="E283" s="14"/>
      <c r="F283" s="18">
        <f>9</f>
        <v>9</v>
      </c>
      <c r="G283" s="19"/>
      <c r="H283" s="20"/>
      <c r="I283" s="21"/>
      <c r="J283" s="14"/>
      <c r="K283" s="14">
        <f t="shared" si="8"/>
        <v>9</v>
      </c>
      <c r="L283" s="16">
        <f t="shared" si="9"/>
        <v>0</v>
      </c>
      <c r="M283" s="22">
        <v>44986</v>
      </c>
      <c r="N283" s="44"/>
      <c r="O283" s="23" t="s">
        <v>16</v>
      </c>
      <c r="P283" s="24" t="s">
        <v>17</v>
      </c>
      <c r="Q283" s="23" t="s">
        <v>416</v>
      </c>
    </row>
    <row r="284" spans="1:17">
      <c r="A284" s="14">
        <v>280</v>
      </c>
      <c r="B284" s="29" t="s">
        <v>415</v>
      </c>
      <c r="C284" s="16">
        <f>'Медикаменты Февраль'!L282</f>
        <v>0</v>
      </c>
      <c r="D284" s="17"/>
      <c r="E284" s="14"/>
      <c r="F284" s="18"/>
      <c r="G284" s="19"/>
      <c r="H284" s="20"/>
      <c r="I284" s="21"/>
      <c r="J284" s="14"/>
      <c r="K284" s="14">
        <f t="shared" si="8"/>
        <v>0</v>
      </c>
      <c r="L284" s="16">
        <f t="shared" si="9"/>
        <v>0</v>
      </c>
      <c r="M284" s="22">
        <v>44986</v>
      </c>
      <c r="N284" s="44"/>
      <c r="O284" s="23" t="s">
        <v>26</v>
      </c>
      <c r="P284" s="24"/>
      <c r="Q284" s="23" t="s">
        <v>416</v>
      </c>
    </row>
    <row r="285" spans="1:17">
      <c r="A285" s="14">
        <v>281</v>
      </c>
      <c r="B285" s="31" t="s">
        <v>417</v>
      </c>
      <c r="C285" s="16">
        <f>'Медикаменты Февраль'!L283</f>
        <v>0</v>
      </c>
      <c r="D285" s="17"/>
      <c r="E285" s="14"/>
      <c r="F285" s="18"/>
      <c r="G285" s="19"/>
      <c r="H285" s="20"/>
      <c r="I285" s="21"/>
      <c r="J285" s="14"/>
      <c r="K285" s="14">
        <f t="shared" si="8"/>
        <v>0</v>
      </c>
      <c r="L285" s="16">
        <f t="shared" si="9"/>
        <v>0</v>
      </c>
      <c r="M285" s="22">
        <v>44136</v>
      </c>
      <c r="N285" s="44"/>
      <c r="O285" s="23" t="s">
        <v>16</v>
      </c>
      <c r="P285" s="24"/>
      <c r="Q285" s="23" t="s">
        <v>418</v>
      </c>
    </row>
    <row r="286" spans="1:17">
      <c r="A286" s="14">
        <v>282</v>
      </c>
      <c r="B286" s="29" t="s">
        <v>419</v>
      </c>
      <c r="C286" s="16">
        <f>'Медикаменты Февраль'!L284</f>
        <v>0</v>
      </c>
      <c r="D286" s="17"/>
      <c r="E286" s="14"/>
      <c r="F286" s="18"/>
      <c r="G286" s="19"/>
      <c r="H286" s="20"/>
      <c r="I286" s="21"/>
      <c r="J286" s="14"/>
      <c r="K286" s="14">
        <f t="shared" si="8"/>
        <v>0</v>
      </c>
      <c r="L286" s="16">
        <f t="shared" si="9"/>
        <v>0</v>
      </c>
      <c r="M286" s="22"/>
      <c r="N286" s="44"/>
      <c r="O286" s="23" t="s">
        <v>16</v>
      </c>
      <c r="P286" s="24"/>
      <c r="Q286" s="25"/>
    </row>
    <row r="287" spans="1:17">
      <c r="A287" s="14">
        <v>283</v>
      </c>
      <c r="B287" s="29" t="s">
        <v>420</v>
      </c>
      <c r="C287" s="16">
        <f>'Медикаменты Февраль'!L285</f>
        <v>16</v>
      </c>
      <c r="D287" s="17"/>
      <c r="E287" s="14"/>
      <c r="F287" s="18"/>
      <c r="G287" s="19"/>
      <c r="H287" s="20"/>
      <c r="I287" s="21"/>
      <c r="J287" s="14"/>
      <c r="K287" s="14">
        <f t="shared" si="8"/>
        <v>0</v>
      </c>
      <c r="L287" s="16">
        <f t="shared" si="9"/>
        <v>16</v>
      </c>
      <c r="M287" s="22">
        <v>45047</v>
      </c>
      <c r="N287" s="44" t="s">
        <v>45</v>
      </c>
      <c r="O287" s="23" t="s">
        <v>16</v>
      </c>
      <c r="P287" s="24" t="s">
        <v>17</v>
      </c>
      <c r="Q287" s="23" t="s">
        <v>421</v>
      </c>
    </row>
    <row r="288" spans="1:17">
      <c r="A288" s="14">
        <v>284</v>
      </c>
      <c r="B288" s="29" t="s">
        <v>420</v>
      </c>
      <c r="C288" s="16">
        <f>'Медикаменты Февраль'!L286</f>
        <v>0</v>
      </c>
      <c r="D288" s="17"/>
      <c r="E288" s="14"/>
      <c r="F288" s="18"/>
      <c r="G288" s="19"/>
      <c r="H288" s="20"/>
      <c r="I288" s="21"/>
      <c r="J288" s="14"/>
      <c r="K288" s="14">
        <f t="shared" si="8"/>
        <v>0</v>
      </c>
      <c r="L288" s="16">
        <f t="shared" si="9"/>
        <v>0</v>
      </c>
      <c r="M288" s="22">
        <v>45047</v>
      </c>
      <c r="N288" s="44"/>
      <c r="O288" s="23" t="s">
        <v>26</v>
      </c>
      <c r="P288" s="24"/>
      <c r="Q288" s="23" t="s">
        <v>421</v>
      </c>
    </row>
    <row r="289" spans="1:17">
      <c r="A289" s="14">
        <v>285</v>
      </c>
      <c r="B289" s="29" t="s">
        <v>422</v>
      </c>
      <c r="C289" s="16">
        <f>'Медикаменты Февраль'!L287</f>
        <v>0</v>
      </c>
      <c r="D289" s="17"/>
      <c r="E289" s="14"/>
      <c r="F289" s="18"/>
      <c r="G289" s="19"/>
      <c r="H289" s="20"/>
      <c r="I289" s="21"/>
      <c r="J289" s="14"/>
      <c r="K289" s="14">
        <f t="shared" si="8"/>
        <v>0</v>
      </c>
      <c r="L289" s="16">
        <f t="shared" si="9"/>
        <v>0</v>
      </c>
      <c r="M289" s="22"/>
      <c r="N289" s="44"/>
      <c r="O289" s="23" t="s">
        <v>26</v>
      </c>
      <c r="P289" s="24"/>
      <c r="Q289" s="25"/>
    </row>
    <row r="290" spans="1:17">
      <c r="A290" s="14">
        <v>286</v>
      </c>
      <c r="B290" s="29" t="s">
        <v>422</v>
      </c>
      <c r="C290" s="16">
        <f>'Медикаменты Февраль'!L288</f>
        <v>132</v>
      </c>
      <c r="D290" s="17"/>
      <c r="E290" s="14"/>
      <c r="F290" s="18">
        <f>20+15+20</f>
        <v>55</v>
      </c>
      <c r="G290" s="19"/>
      <c r="H290" s="20"/>
      <c r="I290" s="21"/>
      <c r="J290" s="14"/>
      <c r="K290" s="14">
        <f t="shared" si="8"/>
        <v>55</v>
      </c>
      <c r="L290" s="16">
        <f t="shared" si="9"/>
        <v>77</v>
      </c>
      <c r="M290" s="22">
        <v>44531</v>
      </c>
      <c r="N290" s="44" t="s">
        <v>45</v>
      </c>
      <c r="O290" s="23" t="s">
        <v>16</v>
      </c>
      <c r="P290" s="24" t="s">
        <v>17</v>
      </c>
      <c r="Q290" s="28" t="s">
        <v>423</v>
      </c>
    </row>
    <row r="291" spans="1:17">
      <c r="A291" s="14">
        <v>287</v>
      </c>
      <c r="B291" s="29" t="s">
        <v>424</v>
      </c>
      <c r="C291" s="16">
        <f>'Медикаменты Февраль'!L289</f>
        <v>25</v>
      </c>
      <c r="D291" s="17"/>
      <c r="E291" s="14"/>
      <c r="F291" s="18">
        <f>5</f>
        <v>5</v>
      </c>
      <c r="G291" s="19"/>
      <c r="H291" s="20"/>
      <c r="I291" s="21"/>
      <c r="J291" s="14"/>
      <c r="K291" s="14">
        <f t="shared" si="8"/>
        <v>5</v>
      </c>
      <c r="L291" s="16">
        <f t="shared" si="9"/>
        <v>20</v>
      </c>
      <c r="M291" s="22">
        <v>44986</v>
      </c>
      <c r="N291" s="44" t="s">
        <v>551</v>
      </c>
      <c r="O291" s="23" t="s">
        <v>16</v>
      </c>
      <c r="P291" s="24" t="s">
        <v>17</v>
      </c>
      <c r="Q291" s="28" t="s">
        <v>425</v>
      </c>
    </row>
    <row r="292" spans="1:17">
      <c r="A292" s="14">
        <v>288</v>
      </c>
      <c r="B292" s="29" t="s">
        <v>426</v>
      </c>
      <c r="C292" s="16">
        <f>'Медикаменты Февраль'!L290</f>
        <v>0</v>
      </c>
      <c r="D292" s="17"/>
      <c r="E292" s="14"/>
      <c r="F292" s="18"/>
      <c r="G292" s="19"/>
      <c r="H292" s="20"/>
      <c r="I292" s="21"/>
      <c r="J292" s="14"/>
      <c r="K292" s="14">
        <f t="shared" si="8"/>
        <v>0</v>
      </c>
      <c r="L292" s="16">
        <f t="shared" si="9"/>
        <v>0</v>
      </c>
      <c r="M292" s="22"/>
      <c r="N292" s="44"/>
      <c r="O292" s="23" t="s">
        <v>16</v>
      </c>
      <c r="P292" s="24"/>
      <c r="Q292" s="25"/>
    </row>
    <row r="293" spans="1:17">
      <c r="A293" s="14">
        <v>289</v>
      </c>
      <c r="B293" s="29" t="s">
        <v>427</v>
      </c>
      <c r="C293" s="16">
        <f>'Медикаменты Февраль'!L291</f>
        <v>0</v>
      </c>
      <c r="D293" s="17"/>
      <c r="E293" s="14"/>
      <c r="F293" s="18"/>
      <c r="G293" s="19"/>
      <c r="H293" s="20"/>
      <c r="I293" s="21"/>
      <c r="J293" s="14"/>
      <c r="K293" s="14">
        <f t="shared" si="8"/>
        <v>0</v>
      </c>
      <c r="L293" s="16">
        <f t="shared" si="9"/>
        <v>0</v>
      </c>
      <c r="M293" s="22"/>
      <c r="N293" s="44"/>
      <c r="O293" s="23" t="s">
        <v>16</v>
      </c>
      <c r="P293" s="24"/>
      <c r="Q293" s="25"/>
    </row>
    <row r="294" spans="1:17">
      <c r="A294" s="14">
        <v>290</v>
      </c>
      <c r="B294" s="29" t="s">
        <v>428</v>
      </c>
      <c r="C294" s="16">
        <f>'Медикаменты Февраль'!L292</f>
        <v>47</v>
      </c>
      <c r="D294" s="17"/>
      <c r="E294" s="14"/>
      <c r="F294" s="18">
        <f>5</f>
        <v>5</v>
      </c>
      <c r="G294" s="19"/>
      <c r="H294" s="20"/>
      <c r="I294" s="21"/>
      <c r="J294" s="14"/>
      <c r="K294" s="14">
        <f t="shared" si="8"/>
        <v>5</v>
      </c>
      <c r="L294" s="16">
        <f t="shared" si="9"/>
        <v>42</v>
      </c>
      <c r="M294" s="22">
        <v>44501</v>
      </c>
      <c r="N294" s="44" t="s">
        <v>45</v>
      </c>
      <c r="O294" s="23" t="s">
        <v>16</v>
      </c>
      <c r="P294" s="24" t="s">
        <v>17</v>
      </c>
      <c r="Q294" s="28" t="s">
        <v>429</v>
      </c>
    </row>
    <row r="295" spans="1:17">
      <c r="A295" s="14">
        <v>291</v>
      </c>
      <c r="B295" s="29" t="s">
        <v>430</v>
      </c>
      <c r="C295" s="16">
        <f>'Медикаменты Февраль'!L293</f>
        <v>23</v>
      </c>
      <c r="D295" s="26"/>
      <c r="E295" s="14"/>
      <c r="F295" s="18">
        <f>5</f>
        <v>5</v>
      </c>
      <c r="G295" s="19"/>
      <c r="H295" s="20"/>
      <c r="I295" s="21"/>
      <c r="J295" s="14"/>
      <c r="K295" s="14">
        <f t="shared" si="8"/>
        <v>5</v>
      </c>
      <c r="L295" s="16">
        <f t="shared" si="9"/>
        <v>18</v>
      </c>
      <c r="M295" s="22">
        <v>44835</v>
      </c>
      <c r="N295" s="44" t="s">
        <v>45</v>
      </c>
      <c r="O295" s="23" t="s">
        <v>16</v>
      </c>
      <c r="P295" s="24" t="s">
        <v>17</v>
      </c>
      <c r="Q295" s="28" t="s">
        <v>431</v>
      </c>
    </row>
    <row r="296" spans="1:17">
      <c r="A296" s="14">
        <v>292</v>
      </c>
      <c r="B296" s="29" t="s">
        <v>430</v>
      </c>
      <c r="C296" s="16">
        <f>'Медикаменты Февраль'!L294</f>
        <v>0</v>
      </c>
      <c r="D296" s="26"/>
      <c r="E296" s="14"/>
      <c r="F296" s="18"/>
      <c r="G296" s="19"/>
      <c r="H296" s="20"/>
      <c r="I296" s="21"/>
      <c r="J296" s="14"/>
      <c r="K296" s="14">
        <f t="shared" si="8"/>
        <v>0</v>
      </c>
      <c r="L296" s="16">
        <f t="shared" si="9"/>
        <v>0</v>
      </c>
      <c r="M296" s="22">
        <v>44835</v>
      </c>
      <c r="N296" s="44"/>
      <c r="O296" s="23" t="s">
        <v>26</v>
      </c>
      <c r="P296" s="24" t="s">
        <v>17</v>
      </c>
      <c r="Q296" s="28" t="s">
        <v>431</v>
      </c>
    </row>
    <row r="297" spans="1:17">
      <c r="A297" s="14">
        <v>293</v>
      </c>
      <c r="B297" s="29" t="s">
        <v>432</v>
      </c>
      <c r="C297" s="16">
        <f>'Медикаменты Февраль'!L295</f>
        <v>0</v>
      </c>
      <c r="D297" s="17"/>
      <c r="E297" s="14"/>
      <c r="F297" s="18"/>
      <c r="G297" s="19"/>
      <c r="H297" s="20"/>
      <c r="I297" s="21"/>
      <c r="J297" s="14"/>
      <c r="K297" s="14">
        <f t="shared" si="8"/>
        <v>0</v>
      </c>
      <c r="L297" s="16">
        <f t="shared" si="9"/>
        <v>0</v>
      </c>
      <c r="M297" s="22"/>
      <c r="N297" s="44"/>
      <c r="O297" s="23" t="s">
        <v>16</v>
      </c>
      <c r="P297" s="24"/>
      <c r="Q297" s="25"/>
    </row>
    <row r="298" spans="1:17">
      <c r="A298" s="14">
        <v>294</v>
      </c>
      <c r="B298" s="29" t="s">
        <v>433</v>
      </c>
      <c r="C298" s="16">
        <f>'Медикаменты Февраль'!L296</f>
        <v>0</v>
      </c>
      <c r="D298" s="17"/>
      <c r="E298" s="14"/>
      <c r="F298" s="18"/>
      <c r="G298" s="19"/>
      <c r="H298" s="20"/>
      <c r="I298" s="21"/>
      <c r="J298" s="14"/>
      <c r="K298" s="14">
        <f t="shared" si="8"/>
        <v>0</v>
      </c>
      <c r="L298" s="16">
        <f t="shared" si="9"/>
        <v>0</v>
      </c>
      <c r="M298" s="22"/>
      <c r="N298" s="44"/>
      <c r="O298" s="23" t="s">
        <v>16</v>
      </c>
      <c r="P298" s="24"/>
      <c r="Q298" s="25"/>
    </row>
    <row r="299" spans="1:17">
      <c r="A299" s="14">
        <v>295</v>
      </c>
      <c r="B299" s="29" t="s">
        <v>434</v>
      </c>
      <c r="C299" s="16">
        <f>'Медикаменты Февраль'!L297</f>
        <v>0</v>
      </c>
      <c r="D299" s="17"/>
      <c r="E299" s="14"/>
      <c r="F299" s="18"/>
      <c r="G299" s="19"/>
      <c r="H299" s="20"/>
      <c r="I299" s="21"/>
      <c r="J299" s="14"/>
      <c r="K299" s="14">
        <f t="shared" si="8"/>
        <v>0</v>
      </c>
      <c r="L299" s="16">
        <f t="shared" si="9"/>
        <v>0</v>
      </c>
      <c r="M299" s="22"/>
      <c r="N299" s="44"/>
      <c r="O299" s="23" t="s">
        <v>16</v>
      </c>
      <c r="P299" s="24"/>
      <c r="Q299" s="25"/>
    </row>
    <row r="300" spans="1:17">
      <c r="A300" s="14">
        <v>296</v>
      </c>
      <c r="B300" s="29" t="s">
        <v>435</v>
      </c>
      <c r="C300" s="16">
        <f>'Медикаменты Февраль'!L298</f>
        <v>0</v>
      </c>
      <c r="D300" s="17"/>
      <c r="E300" s="14"/>
      <c r="F300" s="18"/>
      <c r="G300" s="19"/>
      <c r="H300" s="20"/>
      <c r="I300" s="21"/>
      <c r="J300" s="14"/>
      <c r="K300" s="14">
        <f t="shared" si="8"/>
        <v>0</v>
      </c>
      <c r="L300" s="16">
        <f t="shared" si="9"/>
        <v>0</v>
      </c>
      <c r="M300" s="22"/>
      <c r="N300" s="44"/>
      <c r="O300" s="23" t="s">
        <v>16</v>
      </c>
      <c r="P300" s="24"/>
      <c r="Q300" s="25"/>
    </row>
    <row r="301" spans="1:17">
      <c r="A301" s="14">
        <v>297</v>
      </c>
      <c r="B301" s="29" t="s">
        <v>436</v>
      </c>
      <c r="C301" s="16">
        <f>'Медикаменты Февраль'!L299</f>
        <v>0</v>
      </c>
      <c r="D301" s="17"/>
      <c r="E301" s="14"/>
      <c r="F301" s="18"/>
      <c r="G301" s="19"/>
      <c r="H301" s="20"/>
      <c r="I301" s="21"/>
      <c r="J301" s="14"/>
      <c r="K301" s="14">
        <f t="shared" si="8"/>
        <v>0</v>
      </c>
      <c r="L301" s="16">
        <f t="shared" si="9"/>
        <v>0</v>
      </c>
      <c r="M301" s="22"/>
      <c r="N301" s="44"/>
      <c r="O301" s="23" t="s">
        <v>16</v>
      </c>
      <c r="P301" s="24"/>
      <c r="Q301" s="25"/>
    </row>
    <row r="302" spans="1:17">
      <c r="A302" s="14">
        <v>298</v>
      </c>
      <c r="B302" s="29" t="s">
        <v>437</v>
      </c>
      <c r="C302" s="16">
        <f>'Медикаменты Февраль'!L300</f>
        <v>0</v>
      </c>
      <c r="D302" s="17"/>
      <c r="E302" s="14"/>
      <c r="F302" s="18"/>
      <c r="G302" s="19"/>
      <c r="H302" s="20"/>
      <c r="I302" s="21"/>
      <c r="J302" s="14"/>
      <c r="K302" s="14">
        <f t="shared" si="8"/>
        <v>0</v>
      </c>
      <c r="L302" s="16">
        <f t="shared" si="9"/>
        <v>0</v>
      </c>
      <c r="M302" s="22">
        <v>44440</v>
      </c>
      <c r="N302" s="44"/>
      <c r="O302" s="23" t="s">
        <v>16</v>
      </c>
      <c r="P302" s="24"/>
      <c r="Q302" s="23" t="s">
        <v>438</v>
      </c>
    </row>
    <row r="303" spans="1:17" ht="25.5">
      <c r="A303" s="14">
        <v>299</v>
      </c>
      <c r="B303" s="29" t="s">
        <v>439</v>
      </c>
      <c r="C303" s="16">
        <f>'Медикаменты Февраль'!L301</f>
        <v>84</v>
      </c>
      <c r="D303" s="17"/>
      <c r="E303" s="14"/>
      <c r="F303" s="18">
        <f>15+20+10+9</f>
        <v>54</v>
      </c>
      <c r="G303" s="19"/>
      <c r="H303" s="20"/>
      <c r="I303" s="21"/>
      <c r="J303" s="14"/>
      <c r="K303" s="14">
        <f t="shared" si="8"/>
        <v>54</v>
      </c>
      <c r="L303" s="16">
        <f t="shared" si="9"/>
        <v>30</v>
      </c>
      <c r="M303" s="22">
        <v>45047</v>
      </c>
      <c r="N303" s="44" t="s">
        <v>45</v>
      </c>
      <c r="O303" s="23" t="s">
        <v>16</v>
      </c>
      <c r="P303" s="24" t="s">
        <v>45</v>
      </c>
      <c r="Q303" s="23" t="s">
        <v>438</v>
      </c>
    </row>
    <row r="304" spans="1:17">
      <c r="A304" s="14">
        <v>300</v>
      </c>
      <c r="B304" s="29" t="s">
        <v>437</v>
      </c>
      <c r="C304" s="16">
        <f>'Медикаменты Февраль'!L302</f>
        <v>0</v>
      </c>
      <c r="D304" s="17"/>
      <c r="E304" s="14"/>
      <c r="F304" s="18"/>
      <c r="G304" s="19"/>
      <c r="H304" s="20"/>
      <c r="I304" s="21"/>
      <c r="J304" s="14"/>
      <c r="K304" s="14">
        <f t="shared" si="8"/>
        <v>0</v>
      </c>
      <c r="L304" s="16">
        <f t="shared" si="9"/>
        <v>0</v>
      </c>
      <c r="M304" s="22">
        <v>45047</v>
      </c>
      <c r="N304" s="44"/>
      <c r="O304" s="23" t="s">
        <v>26</v>
      </c>
      <c r="P304" s="24"/>
      <c r="Q304" s="23" t="s">
        <v>438</v>
      </c>
    </row>
    <row r="305" spans="1:17">
      <c r="A305" s="14">
        <v>301</v>
      </c>
      <c r="B305" s="29" t="s">
        <v>440</v>
      </c>
      <c r="C305" s="16">
        <f>'Медикаменты Февраль'!L303</f>
        <v>0</v>
      </c>
      <c r="D305" s="17"/>
      <c r="E305" s="14"/>
      <c r="F305" s="18"/>
      <c r="G305" s="19"/>
      <c r="H305" s="20"/>
      <c r="I305" s="21"/>
      <c r="J305" s="14"/>
      <c r="K305" s="14">
        <f t="shared" si="8"/>
        <v>0</v>
      </c>
      <c r="L305" s="16">
        <f t="shared" si="9"/>
        <v>0</v>
      </c>
      <c r="M305" s="22"/>
      <c r="N305" s="44"/>
      <c r="O305" s="23" t="s">
        <v>16</v>
      </c>
      <c r="P305" s="24"/>
      <c r="Q305" s="25"/>
    </row>
    <row r="306" spans="1:17">
      <c r="A306" s="14">
        <v>302</v>
      </c>
      <c r="B306" s="29" t="s">
        <v>441</v>
      </c>
      <c r="C306" s="16">
        <f>'Медикаменты Февраль'!L304</f>
        <v>0</v>
      </c>
      <c r="D306" s="17"/>
      <c r="E306" s="14"/>
      <c r="F306" s="18"/>
      <c r="G306" s="19"/>
      <c r="H306" s="20"/>
      <c r="I306" s="21"/>
      <c r="J306" s="14"/>
      <c r="K306" s="14">
        <f t="shared" si="8"/>
        <v>0</v>
      </c>
      <c r="L306" s="16">
        <f t="shared" si="9"/>
        <v>0</v>
      </c>
      <c r="M306" s="22"/>
      <c r="N306" s="44"/>
      <c r="O306" s="23" t="s">
        <v>16</v>
      </c>
      <c r="P306" s="24"/>
      <c r="Q306" s="25"/>
    </row>
    <row r="307" spans="1:17">
      <c r="A307" s="14">
        <v>303</v>
      </c>
      <c r="B307" s="29" t="s">
        <v>442</v>
      </c>
      <c r="C307" s="16">
        <f>'Медикаменты Февраль'!L305</f>
        <v>0</v>
      </c>
      <c r="D307" s="17"/>
      <c r="E307" s="14"/>
      <c r="F307" s="18"/>
      <c r="G307" s="19"/>
      <c r="H307" s="20"/>
      <c r="I307" s="21"/>
      <c r="J307" s="14"/>
      <c r="K307" s="14">
        <f t="shared" si="8"/>
        <v>0</v>
      </c>
      <c r="L307" s="16">
        <f t="shared" si="9"/>
        <v>0</v>
      </c>
      <c r="M307" s="22"/>
      <c r="N307" s="44"/>
      <c r="O307" s="23" t="s">
        <v>16</v>
      </c>
      <c r="P307" s="24"/>
      <c r="Q307" s="25"/>
    </row>
    <row r="308" spans="1:17">
      <c r="A308" s="14">
        <v>304</v>
      </c>
      <c r="B308" s="29" t="s">
        <v>443</v>
      </c>
      <c r="C308" s="16">
        <f>'Медикаменты Февраль'!L306</f>
        <v>0</v>
      </c>
      <c r="D308" s="17"/>
      <c r="E308" s="14"/>
      <c r="F308" s="18"/>
      <c r="G308" s="19"/>
      <c r="H308" s="20"/>
      <c r="I308" s="21"/>
      <c r="J308" s="14"/>
      <c r="K308" s="14">
        <f t="shared" si="8"/>
        <v>0</v>
      </c>
      <c r="L308" s="16">
        <f t="shared" si="9"/>
        <v>0</v>
      </c>
      <c r="M308" s="22"/>
      <c r="N308" s="44"/>
      <c r="O308" s="23" t="s">
        <v>16</v>
      </c>
      <c r="P308" s="24"/>
      <c r="Q308" s="25"/>
    </row>
    <row r="309" spans="1:17">
      <c r="A309" s="14">
        <v>305</v>
      </c>
      <c r="B309" s="29" t="s">
        <v>444</v>
      </c>
      <c r="C309" s="16">
        <f>'Медикаменты Февраль'!L307</f>
        <v>48</v>
      </c>
      <c r="D309" s="17"/>
      <c r="E309" s="14"/>
      <c r="F309" s="18">
        <f>3+5</f>
        <v>8</v>
      </c>
      <c r="G309" s="19"/>
      <c r="H309" s="20"/>
      <c r="I309" s="21"/>
      <c r="J309" s="14"/>
      <c r="K309" s="14">
        <f t="shared" si="8"/>
        <v>8</v>
      </c>
      <c r="L309" s="16">
        <f t="shared" si="9"/>
        <v>40</v>
      </c>
      <c r="M309" s="22">
        <v>44501</v>
      </c>
      <c r="N309" s="44" t="s">
        <v>45</v>
      </c>
      <c r="O309" s="23" t="s">
        <v>16</v>
      </c>
      <c r="P309" s="24" t="s">
        <v>17</v>
      </c>
      <c r="Q309" s="23" t="s">
        <v>445</v>
      </c>
    </row>
    <row r="310" spans="1:17">
      <c r="A310" s="14">
        <v>306</v>
      </c>
      <c r="B310" s="29" t="s">
        <v>446</v>
      </c>
      <c r="C310" s="16">
        <f>'Медикаменты Февраль'!L308</f>
        <v>0</v>
      </c>
      <c r="D310" s="17"/>
      <c r="E310" s="14"/>
      <c r="F310" s="18"/>
      <c r="G310" s="19"/>
      <c r="H310" s="20"/>
      <c r="I310" s="21"/>
      <c r="J310" s="14"/>
      <c r="K310" s="14">
        <f t="shared" si="8"/>
        <v>0</v>
      </c>
      <c r="L310" s="16">
        <f t="shared" si="9"/>
        <v>0</v>
      </c>
      <c r="M310" s="22"/>
      <c r="N310" s="44"/>
      <c r="O310" s="23" t="s">
        <v>16</v>
      </c>
      <c r="P310" s="24"/>
      <c r="Q310" s="25"/>
    </row>
    <row r="311" spans="1:17">
      <c r="A311" s="14">
        <v>307</v>
      </c>
      <c r="B311" s="29" t="s">
        <v>447</v>
      </c>
      <c r="C311" s="16">
        <f>'Медикаменты Февраль'!L309</f>
        <v>0</v>
      </c>
      <c r="D311" s="17"/>
      <c r="E311" s="14"/>
      <c r="F311" s="18"/>
      <c r="G311" s="19"/>
      <c r="H311" s="20"/>
      <c r="I311" s="21"/>
      <c r="J311" s="14"/>
      <c r="K311" s="14">
        <f t="shared" si="8"/>
        <v>0</v>
      </c>
      <c r="L311" s="16">
        <f t="shared" si="9"/>
        <v>0</v>
      </c>
      <c r="M311" s="22">
        <v>44593</v>
      </c>
      <c r="N311" s="44"/>
      <c r="O311" s="23" t="s">
        <v>16</v>
      </c>
      <c r="P311" s="24"/>
      <c r="Q311" s="23" t="s">
        <v>448</v>
      </c>
    </row>
    <row r="312" spans="1:17">
      <c r="A312" s="14">
        <v>308</v>
      </c>
      <c r="B312" s="29" t="s">
        <v>449</v>
      </c>
      <c r="C312" s="16">
        <f>'Медикаменты Февраль'!L310</f>
        <v>0</v>
      </c>
      <c r="D312" s="17"/>
      <c r="E312" s="14"/>
      <c r="F312" s="18"/>
      <c r="G312" s="19"/>
      <c r="H312" s="20"/>
      <c r="I312" s="21"/>
      <c r="J312" s="14"/>
      <c r="K312" s="14">
        <f t="shared" si="8"/>
        <v>0</v>
      </c>
      <c r="L312" s="16">
        <f t="shared" si="9"/>
        <v>0</v>
      </c>
      <c r="M312" s="22">
        <v>44228</v>
      </c>
      <c r="N312" s="44"/>
      <c r="O312" s="23" t="s">
        <v>16</v>
      </c>
      <c r="P312" s="24" t="s">
        <v>17</v>
      </c>
      <c r="Q312" s="23" t="s">
        <v>450</v>
      </c>
    </row>
    <row r="313" spans="1:17">
      <c r="A313" s="14">
        <v>309</v>
      </c>
      <c r="B313" s="29" t="s">
        <v>451</v>
      </c>
      <c r="C313" s="16">
        <f>'Медикаменты Февраль'!L311</f>
        <v>3</v>
      </c>
      <c r="D313" s="17"/>
      <c r="E313" s="14"/>
      <c r="F313" s="18">
        <f>3</f>
        <v>3</v>
      </c>
      <c r="G313" s="19"/>
      <c r="H313" s="20"/>
      <c r="I313" s="21"/>
      <c r="J313" s="14"/>
      <c r="K313" s="14">
        <f t="shared" si="8"/>
        <v>3</v>
      </c>
      <c r="L313" s="16">
        <f t="shared" si="9"/>
        <v>0</v>
      </c>
      <c r="M313" s="22">
        <v>44317</v>
      </c>
      <c r="N313" s="44"/>
      <c r="O313" s="23" t="s">
        <v>16</v>
      </c>
      <c r="P313" s="24" t="s">
        <v>17</v>
      </c>
      <c r="Q313" s="23" t="s">
        <v>452</v>
      </c>
    </row>
    <row r="314" spans="1:17" ht="25.5">
      <c r="A314" s="14">
        <v>310</v>
      </c>
      <c r="B314" s="29" t="s">
        <v>453</v>
      </c>
      <c r="C314" s="16">
        <f>'Медикаменты Февраль'!L312</f>
        <v>19</v>
      </c>
      <c r="D314" s="17"/>
      <c r="E314" s="14"/>
      <c r="F314" s="18"/>
      <c r="G314" s="19"/>
      <c r="H314" s="20"/>
      <c r="I314" s="21"/>
      <c r="J314" s="14"/>
      <c r="K314" s="14">
        <f t="shared" si="8"/>
        <v>0</v>
      </c>
      <c r="L314" s="16">
        <f t="shared" si="9"/>
        <v>19</v>
      </c>
      <c r="M314" s="22">
        <v>44470</v>
      </c>
      <c r="N314" s="44" t="s">
        <v>45</v>
      </c>
      <c r="O314" s="23" t="s">
        <v>16</v>
      </c>
      <c r="P314" s="24" t="s">
        <v>17</v>
      </c>
      <c r="Q314" s="28" t="s">
        <v>454</v>
      </c>
    </row>
    <row r="315" spans="1:17">
      <c r="A315" s="14">
        <v>311</v>
      </c>
      <c r="B315" s="29" t="s">
        <v>455</v>
      </c>
      <c r="C315" s="16">
        <f>'Медикаменты Февраль'!L313</f>
        <v>0</v>
      </c>
      <c r="D315" s="17"/>
      <c r="E315" s="14"/>
      <c r="F315" s="18"/>
      <c r="G315" s="19"/>
      <c r="H315" s="20"/>
      <c r="I315" s="21"/>
      <c r="J315" s="14"/>
      <c r="K315" s="14">
        <f t="shared" si="8"/>
        <v>0</v>
      </c>
      <c r="L315" s="16">
        <f t="shared" si="9"/>
        <v>0</v>
      </c>
      <c r="M315" s="22"/>
      <c r="N315" s="44"/>
      <c r="O315" s="23" t="s">
        <v>16</v>
      </c>
      <c r="P315" s="24"/>
      <c r="Q315" s="25"/>
    </row>
    <row r="316" spans="1:17">
      <c r="A316" s="14">
        <v>312</v>
      </c>
      <c r="B316" s="29" t="s">
        <v>456</v>
      </c>
      <c r="C316" s="16">
        <f>'Медикаменты Февраль'!L314</f>
        <v>0</v>
      </c>
      <c r="D316" s="17"/>
      <c r="E316" s="14"/>
      <c r="F316" s="18"/>
      <c r="G316" s="19"/>
      <c r="H316" s="20"/>
      <c r="I316" s="21"/>
      <c r="J316" s="14"/>
      <c r="K316" s="14">
        <f t="shared" si="8"/>
        <v>0</v>
      </c>
      <c r="L316" s="16">
        <f t="shared" si="9"/>
        <v>0</v>
      </c>
      <c r="M316" s="22">
        <v>44287</v>
      </c>
      <c r="N316" s="44"/>
      <c r="O316" s="23" t="s">
        <v>16</v>
      </c>
      <c r="P316" s="24"/>
      <c r="Q316" s="23" t="s">
        <v>457</v>
      </c>
    </row>
    <row r="317" spans="1:17">
      <c r="A317" s="14">
        <v>313</v>
      </c>
      <c r="B317" s="29" t="s">
        <v>458</v>
      </c>
      <c r="C317" s="16">
        <f>'Медикаменты Февраль'!L315</f>
        <v>5</v>
      </c>
      <c r="D317" s="17"/>
      <c r="E317" s="14"/>
      <c r="F317" s="18">
        <f>3</f>
        <v>3</v>
      </c>
      <c r="G317" s="19"/>
      <c r="H317" s="20"/>
      <c r="I317" s="21"/>
      <c r="J317" s="14"/>
      <c r="K317" s="14">
        <f t="shared" si="8"/>
        <v>3</v>
      </c>
      <c r="L317" s="16">
        <f t="shared" si="9"/>
        <v>2</v>
      </c>
      <c r="M317" s="22">
        <v>44287</v>
      </c>
      <c r="N317" s="44" t="s">
        <v>45</v>
      </c>
      <c r="O317" s="23" t="s">
        <v>16</v>
      </c>
      <c r="P317" s="24" t="s">
        <v>45</v>
      </c>
      <c r="Q317" s="28" t="s">
        <v>459</v>
      </c>
    </row>
    <row r="318" spans="1:17">
      <c r="A318" s="14">
        <v>314</v>
      </c>
      <c r="B318" s="29" t="s">
        <v>460</v>
      </c>
      <c r="C318" s="16">
        <f>'Медикаменты Февраль'!L316</f>
        <v>0</v>
      </c>
      <c r="D318" s="17"/>
      <c r="E318" s="14"/>
      <c r="F318" s="18"/>
      <c r="G318" s="19"/>
      <c r="H318" s="20"/>
      <c r="I318" s="21"/>
      <c r="J318" s="14"/>
      <c r="K318" s="14">
        <f t="shared" si="8"/>
        <v>0</v>
      </c>
      <c r="L318" s="16">
        <f t="shared" si="9"/>
        <v>0</v>
      </c>
      <c r="M318" s="22">
        <v>45597</v>
      </c>
      <c r="N318" s="44"/>
      <c r="O318" s="23" t="s">
        <v>16</v>
      </c>
      <c r="P318" s="24" t="s">
        <v>45</v>
      </c>
      <c r="Q318" s="23" t="s">
        <v>461</v>
      </c>
    </row>
    <row r="319" spans="1:17">
      <c r="A319" s="14">
        <v>315</v>
      </c>
      <c r="B319" s="29" t="s">
        <v>462</v>
      </c>
      <c r="C319" s="16">
        <f>'Медикаменты Февраль'!L317</f>
        <v>0</v>
      </c>
      <c r="D319" s="17"/>
      <c r="E319" s="14"/>
      <c r="F319" s="18"/>
      <c r="G319" s="19"/>
      <c r="H319" s="20"/>
      <c r="I319" s="21"/>
      <c r="J319" s="14"/>
      <c r="K319" s="14">
        <f t="shared" si="8"/>
        <v>0</v>
      </c>
      <c r="L319" s="16">
        <f t="shared" si="9"/>
        <v>0</v>
      </c>
      <c r="M319" s="22">
        <v>43952</v>
      </c>
      <c r="N319" s="44"/>
      <c r="O319" s="23" t="s">
        <v>16</v>
      </c>
      <c r="P319" s="24"/>
      <c r="Q319" s="25"/>
    </row>
    <row r="320" spans="1:17">
      <c r="A320" s="14">
        <v>316</v>
      </c>
      <c r="B320" s="29" t="s">
        <v>463</v>
      </c>
      <c r="C320" s="16">
        <f>'Медикаменты Февраль'!L318</f>
        <v>0</v>
      </c>
      <c r="D320" s="17"/>
      <c r="E320" s="14"/>
      <c r="F320" s="18"/>
      <c r="G320" s="19"/>
      <c r="H320" s="20"/>
      <c r="I320" s="21"/>
      <c r="J320" s="14"/>
      <c r="K320" s="14">
        <f t="shared" si="8"/>
        <v>0</v>
      </c>
      <c r="L320" s="16">
        <f t="shared" si="9"/>
        <v>0</v>
      </c>
      <c r="M320" s="22"/>
      <c r="N320" s="44"/>
      <c r="O320" s="23" t="s">
        <v>16</v>
      </c>
      <c r="P320" s="24"/>
      <c r="Q320" s="25"/>
    </row>
    <row r="321" spans="1:17">
      <c r="A321" s="14">
        <v>317</v>
      </c>
      <c r="B321" s="29" t="s">
        <v>464</v>
      </c>
      <c r="C321" s="16">
        <f>'Медикаменты Февраль'!L319</f>
        <v>0</v>
      </c>
      <c r="D321" s="17"/>
      <c r="E321" s="14"/>
      <c r="F321" s="18"/>
      <c r="G321" s="19"/>
      <c r="H321" s="20"/>
      <c r="I321" s="21"/>
      <c r="J321" s="14"/>
      <c r="K321" s="14">
        <f t="shared" si="8"/>
        <v>0</v>
      </c>
      <c r="L321" s="16">
        <f t="shared" si="9"/>
        <v>0</v>
      </c>
      <c r="M321" s="22"/>
      <c r="N321" s="44"/>
      <c r="O321" s="23" t="s">
        <v>16</v>
      </c>
      <c r="P321" s="24"/>
      <c r="Q321" s="25"/>
    </row>
    <row r="322" spans="1:17">
      <c r="A322" s="14">
        <v>318</v>
      </c>
      <c r="B322" s="29" t="s">
        <v>465</v>
      </c>
      <c r="C322" s="16">
        <f>'Медикаменты Февраль'!L320</f>
        <v>0</v>
      </c>
      <c r="D322" s="17"/>
      <c r="E322" s="14"/>
      <c r="F322" s="18"/>
      <c r="G322" s="19"/>
      <c r="H322" s="20"/>
      <c r="I322" s="21"/>
      <c r="J322" s="14"/>
      <c r="K322" s="14">
        <f t="shared" si="8"/>
        <v>0</v>
      </c>
      <c r="L322" s="16">
        <f t="shared" si="9"/>
        <v>0</v>
      </c>
      <c r="M322" s="22"/>
      <c r="N322" s="44"/>
      <c r="O322" s="23" t="s">
        <v>16</v>
      </c>
      <c r="P322" s="24"/>
      <c r="Q322" s="25"/>
    </row>
    <row r="323" spans="1:17">
      <c r="A323" s="14">
        <v>319</v>
      </c>
      <c r="B323" s="29" t="s">
        <v>466</v>
      </c>
      <c r="C323" s="16">
        <f>'Медикаменты Февраль'!L321</f>
        <v>0</v>
      </c>
      <c r="D323" s="17"/>
      <c r="E323" s="14"/>
      <c r="F323" s="18"/>
      <c r="G323" s="19"/>
      <c r="H323" s="20"/>
      <c r="I323" s="21"/>
      <c r="J323" s="14"/>
      <c r="K323" s="14">
        <f t="shared" si="8"/>
        <v>0</v>
      </c>
      <c r="L323" s="16">
        <f t="shared" si="9"/>
        <v>0</v>
      </c>
      <c r="M323" s="22">
        <v>44835</v>
      </c>
      <c r="N323" s="44"/>
      <c r="O323" s="23" t="s">
        <v>16</v>
      </c>
      <c r="P323" s="24"/>
      <c r="Q323" s="25"/>
    </row>
    <row r="324" spans="1:17">
      <c r="A324" s="14">
        <v>320</v>
      </c>
      <c r="B324" s="29" t="s">
        <v>467</v>
      </c>
      <c r="C324" s="16">
        <f>'Медикаменты Февраль'!L322</f>
        <v>0</v>
      </c>
      <c r="D324" s="26"/>
      <c r="E324" s="14"/>
      <c r="F324" s="18"/>
      <c r="G324" s="19"/>
      <c r="H324" s="20"/>
      <c r="I324" s="21"/>
      <c r="J324" s="14"/>
      <c r="K324" s="14">
        <f t="shared" si="8"/>
        <v>0</v>
      </c>
      <c r="L324" s="16">
        <f t="shared" si="9"/>
        <v>0</v>
      </c>
      <c r="M324" s="22"/>
      <c r="N324" s="44"/>
      <c r="O324" s="23" t="s">
        <v>16</v>
      </c>
      <c r="P324" s="24"/>
      <c r="Q324" s="25"/>
    </row>
    <row r="325" spans="1:17">
      <c r="A325" s="14">
        <v>321</v>
      </c>
      <c r="B325" s="29" t="s">
        <v>468</v>
      </c>
      <c r="C325" s="16">
        <f>'Медикаменты Февраль'!L323</f>
        <v>0</v>
      </c>
      <c r="D325" s="17"/>
      <c r="E325" s="14"/>
      <c r="F325" s="18"/>
      <c r="G325" s="19"/>
      <c r="H325" s="20"/>
      <c r="I325" s="21"/>
      <c r="J325" s="14"/>
      <c r="K325" s="14">
        <f t="shared" ref="K325:K388" si="10">SUM(F325:J325)</f>
        <v>0</v>
      </c>
      <c r="L325" s="16">
        <f t="shared" ref="L325:L388" si="11">(C325+E325)-K325</f>
        <v>0</v>
      </c>
      <c r="M325" s="22"/>
      <c r="N325" s="44"/>
      <c r="O325" s="23" t="s">
        <v>16</v>
      </c>
      <c r="P325" s="24"/>
      <c r="Q325" s="25"/>
    </row>
    <row r="326" spans="1:17">
      <c r="A326" s="14">
        <v>322</v>
      </c>
      <c r="B326" s="29" t="s">
        <v>469</v>
      </c>
      <c r="C326" s="16">
        <f>'Медикаменты Февраль'!L324</f>
        <v>32</v>
      </c>
      <c r="D326" s="17"/>
      <c r="E326" s="14"/>
      <c r="F326" s="18">
        <f>5</f>
        <v>5</v>
      </c>
      <c r="G326" s="19"/>
      <c r="H326" s="20"/>
      <c r="I326" s="21"/>
      <c r="J326" s="14"/>
      <c r="K326" s="14">
        <f t="shared" si="10"/>
        <v>5</v>
      </c>
      <c r="L326" s="16">
        <f t="shared" si="11"/>
        <v>27</v>
      </c>
      <c r="M326" s="22">
        <v>44652</v>
      </c>
      <c r="N326" s="44" t="s">
        <v>45</v>
      </c>
      <c r="O326" s="23" t="s">
        <v>16</v>
      </c>
      <c r="P326" s="24" t="s">
        <v>17</v>
      </c>
      <c r="Q326" s="28" t="s">
        <v>470</v>
      </c>
    </row>
    <row r="327" spans="1:17">
      <c r="A327" s="14">
        <v>323</v>
      </c>
      <c r="B327" s="29" t="s">
        <v>471</v>
      </c>
      <c r="C327" s="16">
        <f>'Медикаменты Февраль'!L325</f>
        <v>0</v>
      </c>
      <c r="D327" s="17"/>
      <c r="E327" s="14"/>
      <c r="F327" s="18"/>
      <c r="G327" s="19"/>
      <c r="H327" s="20"/>
      <c r="I327" s="21"/>
      <c r="J327" s="14"/>
      <c r="K327" s="14">
        <f t="shared" si="10"/>
        <v>0</v>
      </c>
      <c r="L327" s="16">
        <f t="shared" si="11"/>
        <v>0</v>
      </c>
      <c r="M327" s="22"/>
      <c r="N327" s="44"/>
      <c r="O327" s="23" t="s">
        <v>16</v>
      </c>
      <c r="P327" s="24"/>
      <c r="Q327" s="25"/>
    </row>
    <row r="328" spans="1:17">
      <c r="A328" s="14">
        <v>324</v>
      </c>
      <c r="B328" s="29" t="s">
        <v>472</v>
      </c>
      <c r="C328" s="16">
        <f>'Медикаменты Февраль'!L326</f>
        <v>0</v>
      </c>
      <c r="D328" s="17"/>
      <c r="E328" s="14"/>
      <c r="F328" s="18"/>
      <c r="G328" s="19"/>
      <c r="H328" s="20"/>
      <c r="I328" s="21"/>
      <c r="J328" s="14"/>
      <c r="K328" s="14">
        <f t="shared" si="10"/>
        <v>0</v>
      </c>
      <c r="L328" s="16">
        <f t="shared" si="11"/>
        <v>0</v>
      </c>
      <c r="M328" s="22">
        <v>44562</v>
      </c>
      <c r="N328" s="44"/>
      <c r="O328" s="23" t="s">
        <v>16</v>
      </c>
      <c r="P328" s="24"/>
      <c r="Q328" s="23" t="s">
        <v>473</v>
      </c>
    </row>
    <row r="329" spans="1:17">
      <c r="A329" s="14">
        <v>325</v>
      </c>
      <c r="B329" s="29" t="s">
        <v>474</v>
      </c>
      <c r="C329" s="16">
        <f>'Медикаменты Февраль'!L327</f>
        <v>0</v>
      </c>
      <c r="D329" s="17"/>
      <c r="E329" s="14"/>
      <c r="F329" s="18"/>
      <c r="G329" s="19"/>
      <c r="H329" s="20"/>
      <c r="I329" s="21"/>
      <c r="J329" s="14"/>
      <c r="K329" s="14">
        <f t="shared" si="10"/>
        <v>0</v>
      </c>
      <c r="L329" s="16">
        <f t="shared" si="11"/>
        <v>0</v>
      </c>
      <c r="M329" s="22">
        <v>44743</v>
      </c>
      <c r="N329" s="44"/>
      <c r="O329" s="23" t="s">
        <v>16</v>
      </c>
      <c r="P329" s="24"/>
      <c r="Q329" s="23" t="s">
        <v>475</v>
      </c>
    </row>
    <row r="330" spans="1:17">
      <c r="A330" s="14">
        <v>326</v>
      </c>
      <c r="B330" s="29" t="s">
        <v>476</v>
      </c>
      <c r="C330" s="16">
        <f>'Медикаменты Февраль'!L328</f>
        <v>0</v>
      </c>
      <c r="D330" s="17"/>
      <c r="E330" s="14"/>
      <c r="F330" s="18"/>
      <c r="G330" s="19"/>
      <c r="H330" s="20"/>
      <c r="I330" s="21"/>
      <c r="J330" s="14"/>
      <c r="K330" s="14">
        <f t="shared" si="10"/>
        <v>0</v>
      </c>
      <c r="L330" s="16">
        <f t="shared" si="11"/>
        <v>0</v>
      </c>
      <c r="M330" s="22">
        <v>44531</v>
      </c>
      <c r="N330" s="44"/>
      <c r="O330" s="23" t="s">
        <v>16</v>
      </c>
      <c r="P330" s="24" t="s">
        <v>45</v>
      </c>
      <c r="Q330" s="23" t="s">
        <v>477</v>
      </c>
    </row>
    <row r="331" spans="1:17">
      <c r="A331" s="14">
        <v>327</v>
      </c>
      <c r="B331" s="29" t="s">
        <v>478</v>
      </c>
      <c r="C331" s="16">
        <f>'Медикаменты Февраль'!L329</f>
        <v>0</v>
      </c>
      <c r="D331" s="17"/>
      <c r="E331" s="14"/>
      <c r="F331" s="18"/>
      <c r="G331" s="19"/>
      <c r="H331" s="20"/>
      <c r="I331" s="21"/>
      <c r="J331" s="14"/>
      <c r="K331" s="14">
        <f t="shared" si="10"/>
        <v>0</v>
      </c>
      <c r="L331" s="16">
        <f t="shared" si="11"/>
        <v>0</v>
      </c>
      <c r="M331" s="22"/>
      <c r="N331" s="44"/>
      <c r="O331" s="23" t="s">
        <v>16</v>
      </c>
      <c r="P331" s="24"/>
      <c r="Q331" s="25"/>
    </row>
    <row r="332" spans="1:17">
      <c r="A332" s="14">
        <v>328</v>
      </c>
      <c r="B332" s="29" t="s">
        <v>479</v>
      </c>
      <c r="C332" s="16">
        <f>'Медикаменты Февраль'!L330</f>
        <v>0</v>
      </c>
      <c r="D332" s="17"/>
      <c r="E332" s="14"/>
      <c r="F332" s="18"/>
      <c r="G332" s="19"/>
      <c r="H332" s="20"/>
      <c r="I332" s="21"/>
      <c r="J332" s="14"/>
      <c r="K332" s="14">
        <f t="shared" si="10"/>
        <v>0</v>
      </c>
      <c r="L332" s="16">
        <f t="shared" si="11"/>
        <v>0</v>
      </c>
      <c r="M332" s="22">
        <v>44743</v>
      </c>
      <c r="N332" s="44"/>
      <c r="O332" s="23" t="s">
        <v>16</v>
      </c>
      <c r="P332" s="24"/>
      <c r="Q332" s="28" t="s">
        <v>480</v>
      </c>
    </row>
    <row r="333" spans="1:17">
      <c r="A333" s="14">
        <v>329</v>
      </c>
      <c r="B333" s="29" t="s">
        <v>481</v>
      </c>
      <c r="C333" s="16">
        <f>'Медикаменты Февраль'!L331</f>
        <v>0</v>
      </c>
      <c r="D333" s="17"/>
      <c r="E333" s="14">
        <v>130</v>
      </c>
      <c r="F333" s="18">
        <f>20+5</f>
        <v>25</v>
      </c>
      <c r="G333" s="19"/>
      <c r="H333" s="20"/>
      <c r="I333" s="21"/>
      <c r="J333" s="14"/>
      <c r="K333" s="14">
        <f t="shared" si="10"/>
        <v>25</v>
      </c>
      <c r="L333" s="16">
        <f t="shared" si="11"/>
        <v>105</v>
      </c>
      <c r="M333" s="22">
        <v>45078</v>
      </c>
      <c r="N333" s="44" t="s">
        <v>45</v>
      </c>
      <c r="O333" s="23" t="s">
        <v>16</v>
      </c>
      <c r="P333" s="24" t="s">
        <v>17</v>
      </c>
      <c r="Q333" s="28" t="s">
        <v>558</v>
      </c>
    </row>
    <row r="334" spans="1:17">
      <c r="A334" s="14">
        <v>330</v>
      </c>
      <c r="B334" s="29" t="s">
        <v>481</v>
      </c>
      <c r="C334" s="16"/>
      <c r="D334" s="17"/>
      <c r="E334" s="14">
        <v>20</v>
      </c>
      <c r="F334" s="18"/>
      <c r="G334" s="19">
        <f>20</f>
        <v>20</v>
      </c>
      <c r="H334" s="20"/>
      <c r="I334" s="21"/>
      <c r="J334" s="14"/>
      <c r="K334" s="14">
        <f t="shared" si="10"/>
        <v>20</v>
      </c>
      <c r="L334" s="16">
        <f t="shared" si="11"/>
        <v>0</v>
      </c>
      <c r="M334" s="22">
        <v>45078</v>
      </c>
      <c r="N334" s="44" t="s">
        <v>45</v>
      </c>
      <c r="O334" s="23" t="s">
        <v>26</v>
      </c>
      <c r="P334" s="24" t="s">
        <v>17</v>
      </c>
      <c r="Q334" s="28" t="s">
        <v>558</v>
      </c>
    </row>
    <row r="335" spans="1:17">
      <c r="A335" s="14">
        <v>331</v>
      </c>
      <c r="B335" s="29" t="s">
        <v>483</v>
      </c>
      <c r="C335" s="16">
        <f>'Медикаменты Февраль'!L332</f>
        <v>0</v>
      </c>
      <c r="D335" s="17"/>
      <c r="E335" s="14">
        <f>60</f>
        <v>60</v>
      </c>
      <c r="F335" s="18">
        <f>15+10</f>
        <v>25</v>
      </c>
      <c r="G335" s="19"/>
      <c r="H335" s="20"/>
      <c r="I335" s="21"/>
      <c r="J335" s="14"/>
      <c r="K335" s="14">
        <f t="shared" si="10"/>
        <v>25</v>
      </c>
      <c r="L335" s="16">
        <f t="shared" si="11"/>
        <v>35</v>
      </c>
      <c r="M335" s="22">
        <v>45689</v>
      </c>
      <c r="N335" s="44" t="s">
        <v>45</v>
      </c>
      <c r="O335" s="23" t="s">
        <v>16</v>
      </c>
      <c r="P335" s="24" t="s">
        <v>17</v>
      </c>
      <c r="Q335" s="28" t="s">
        <v>484</v>
      </c>
    </row>
    <row r="336" spans="1:17">
      <c r="A336" s="14">
        <v>332</v>
      </c>
      <c r="B336" s="29" t="s">
        <v>483</v>
      </c>
      <c r="C336" s="16"/>
      <c r="D336" s="17"/>
      <c r="E336" s="14">
        <f>20</f>
        <v>20</v>
      </c>
      <c r="F336" s="18"/>
      <c r="G336" s="19">
        <f>20</f>
        <v>20</v>
      </c>
      <c r="H336" s="20"/>
      <c r="I336" s="21"/>
      <c r="J336" s="14"/>
      <c r="K336" s="14">
        <f t="shared" si="10"/>
        <v>20</v>
      </c>
      <c r="L336" s="16">
        <f t="shared" si="11"/>
        <v>0</v>
      </c>
      <c r="M336" s="22">
        <v>45689</v>
      </c>
      <c r="N336" s="44" t="s">
        <v>45</v>
      </c>
      <c r="O336" s="23" t="s">
        <v>26</v>
      </c>
      <c r="P336" s="24" t="s">
        <v>17</v>
      </c>
      <c r="Q336" s="28" t="s">
        <v>484</v>
      </c>
    </row>
    <row r="337" spans="1:17">
      <c r="A337" s="14">
        <v>333</v>
      </c>
      <c r="B337" s="29" t="s">
        <v>485</v>
      </c>
      <c r="C337" s="16">
        <f>'Медикаменты Февраль'!L333</f>
        <v>0</v>
      </c>
      <c r="D337" s="17"/>
      <c r="E337" s="14"/>
      <c r="F337" s="18"/>
      <c r="G337" s="19"/>
      <c r="H337" s="20"/>
      <c r="I337" s="21"/>
      <c r="J337" s="14"/>
      <c r="K337" s="14">
        <f t="shared" si="10"/>
        <v>0</v>
      </c>
      <c r="L337" s="16">
        <f t="shared" si="11"/>
        <v>0</v>
      </c>
      <c r="M337" s="22">
        <v>45597</v>
      </c>
      <c r="N337" s="44"/>
      <c r="O337" s="23" t="s">
        <v>16</v>
      </c>
      <c r="P337" s="24"/>
      <c r="Q337" s="28" t="s">
        <v>486</v>
      </c>
    </row>
    <row r="338" spans="1:17">
      <c r="A338" s="14">
        <v>334</v>
      </c>
      <c r="B338" s="29" t="s">
        <v>487</v>
      </c>
      <c r="C338" s="16">
        <f>'Медикаменты Февраль'!L334</f>
        <v>0</v>
      </c>
      <c r="D338" s="17"/>
      <c r="E338" s="14"/>
      <c r="F338" s="18"/>
      <c r="G338" s="19"/>
      <c r="H338" s="20"/>
      <c r="I338" s="21"/>
      <c r="J338" s="14"/>
      <c r="K338" s="14">
        <f t="shared" si="10"/>
        <v>0</v>
      </c>
      <c r="L338" s="16">
        <f t="shared" si="11"/>
        <v>0</v>
      </c>
      <c r="M338" s="22"/>
      <c r="N338" s="44"/>
      <c r="O338" s="23" t="s">
        <v>16</v>
      </c>
      <c r="P338" s="24"/>
      <c r="Q338" s="25"/>
    </row>
    <row r="339" spans="1:17">
      <c r="A339" s="14">
        <v>335</v>
      </c>
      <c r="B339" s="29" t="s">
        <v>488</v>
      </c>
      <c r="C339" s="16">
        <f>'Медикаменты Февраль'!L335</f>
        <v>0</v>
      </c>
      <c r="D339" s="17"/>
      <c r="E339" s="14">
        <f>58</f>
        <v>58</v>
      </c>
      <c r="F339" s="18"/>
      <c r="G339" s="19"/>
      <c r="H339" s="20"/>
      <c r="I339" s="21"/>
      <c r="J339" s="14"/>
      <c r="K339" s="14">
        <f t="shared" si="10"/>
        <v>0</v>
      </c>
      <c r="L339" s="16">
        <f t="shared" si="11"/>
        <v>58</v>
      </c>
      <c r="M339" s="22">
        <v>45200</v>
      </c>
      <c r="N339" s="44" t="s">
        <v>551</v>
      </c>
      <c r="O339" s="23" t="s">
        <v>16</v>
      </c>
      <c r="P339" s="24" t="s">
        <v>17</v>
      </c>
      <c r="Q339" s="23" t="s">
        <v>489</v>
      </c>
    </row>
    <row r="340" spans="1:17">
      <c r="A340" s="14">
        <v>336</v>
      </c>
      <c r="B340" s="29" t="s">
        <v>490</v>
      </c>
      <c r="C340" s="16">
        <f>'Медикаменты Февраль'!L336</f>
        <v>0</v>
      </c>
      <c r="D340" s="17"/>
      <c r="E340" s="14"/>
      <c r="F340" s="18"/>
      <c r="G340" s="19"/>
      <c r="H340" s="20"/>
      <c r="I340" s="21"/>
      <c r="J340" s="14"/>
      <c r="K340" s="14">
        <f t="shared" si="10"/>
        <v>0</v>
      </c>
      <c r="L340" s="16">
        <f t="shared" si="11"/>
        <v>0</v>
      </c>
      <c r="M340" s="22"/>
      <c r="N340" s="44"/>
      <c r="O340" s="23" t="s">
        <v>16</v>
      </c>
      <c r="P340" s="24"/>
      <c r="Q340" s="25"/>
    </row>
    <row r="341" spans="1:17" ht="25.5">
      <c r="A341" s="14">
        <v>337</v>
      </c>
      <c r="B341" s="29" t="s">
        <v>491</v>
      </c>
      <c r="C341" s="16">
        <f>'Медикаменты Февраль'!L337</f>
        <v>50</v>
      </c>
      <c r="D341" s="17"/>
      <c r="E341" s="14"/>
      <c r="F341" s="18"/>
      <c r="G341" s="19"/>
      <c r="H341" s="20"/>
      <c r="I341" s="21"/>
      <c r="J341" s="14"/>
      <c r="K341" s="14">
        <f t="shared" si="10"/>
        <v>0</v>
      </c>
      <c r="L341" s="16">
        <f t="shared" si="11"/>
        <v>50</v>
      </c>
      <c r="M341" s="22">
        <v>45231</v>
      </c>
      <c r="N341" s="44" t="s">
        <v>551</v>
      </c>
      <c r="O341" s="23" t="s">
        <v>16</v>
      </c>
      <c r="P341" s="24" t="s">
        <v>17</v>
      </c>
      <c r="Q341" s="23" t="s">
        <v>492</v>
      </c>
    </row>
    <row r="342" spans="1:17" ht="25.5">
      <c r="A342" s="14">
        <v>338</v>
      </c>
      <c r="B342" s="29" t="s">
        <v>491</v>
      </c>
      <c r="C342" s="16">
        <f>'Медикаменты Февраль'!L338</f>
        <v>350</v>
      </c>
      <c r="D342" s="17"/>
      <c r="E342" s="14"/>
      <c r="F342" s="18"/>
      <c r="G342" s="19"/>
      <c r="H342" s="20"/>
      <c r="I342" s="21"/>
      <c r="J342" s="14"/>
      <c r="K342" s="14">
        <f t="shared" si="10"/>
        <v>0</v>
      </c>
      <c r="L342" s="16">
        <f t="shared" si="11"/>
        <v>350</v>
      </c>
      <c r="M342" s="22">
        <v>44896</v>
      </c>
      <c r="N342" s="44" t="s">
        <v>551</v>
      </c>
      <c r="O342" s="23" t="s">
        <v>16</v>
      </c>
      <c r="P342" s="24" t="s">
        <v>17</v>
      </c>
      <c r="Q342" s="23" t="s">
        <v>492</v>
      </c>
    </row>
    <row r="343" spans="1:17">
      <c r="A343" s="14">
        <v>339</v>
      </c>
      <c r="B343" s="29" t="s">
        <v>493</v>
      </c>
      <c r="C343" s="16">
        <f>'Медикаменты Февраль'!L339</f>
        <v>100</v>
      </c>
      <c r="D343" s="17"/>
      <c r="E343" s="14"/>
      <c r="F343" s="18"/>
      <c r="G343" s="19"/>
      <c r="H343" s="20"/>
      <c r="I343" s="21"/>
      <c r="J343" s="14"/>
      <c r="K343" s="14">
        <f t="shared" si="10"/>
        <v>0</v>
      </c>
      <c r="L343" s="16">
        <f t="shared" si="11"/>
        <v>100</v>
      </c>
      <c r="M343" s="22">
        <v>44774</v>
      </c>
      <c r="N343" s="44" t="s">
        <v>551</v>
      </c>
      <c r="O343" s="23" t="s">
        <v>16</v>
      </c>
      <c r="P343" s="24" t="s">
        <v>17</v>
      </c>
      <c r="Q343" s="23" t="s">
        <v>494</v>
      </c>
    </row>
    <row r="344" spans="1:17">
      <c r="A344" s="14">
        <v>340</v>
      </c>
      <c r="B344" s="29" t="s">
        <v>495</v>
      </c>
      <c r="C344" s="16">
        <f>'Медикаменты Февраль'!L340</f>
        <v>0</v>
      </c>
      <c r="D344" s="17"/>
      <c r="E344" s="14"/>
      <c r="F344" s="18"/>
      <c r="G344" s="19"/>
      <c r="H344" s="20"/>
      <c r="I344" s="21"/>
      <c r="J344" s="14"/>
      <c r="K344" s="14">
        <f t="shared" si="10"/>
        <v>0</v>
      </c>
      <c r="L344" s="16">
        <f t="shared" si="11"/>
        <v>0</v>
      </c>
      <c r="M344" s="22"/>
      <c r="N344" s="44"/>
      <c r="O344" s="23" t="s">
        <v>16</v>
      </c>
      <c r="P344" s="24"/>
      <c r="Q344" s="25"/>
    </row>
    <row r="345" spans="1:17">
      <c r="A345" s="14">
        <v>341</v>
      </c>
      <c r="B345" s="29" t="s">
        <v>496</v>
      </c>
      <c r="C345" s="16">
        <f>'Медикаменты Февраль'!L341</f>
        <v>0</v>
      </c>
      <c r="D345" s="17"/>
      <c r="E345" s="14"/>
      <c r="F345" s="18"/>
      <c r="G345" s="19"/>
      <c r="H345" s="20"/>
      <c r="I345" s="21"/>
      <c r="J345" s="14"/>
      <c r="K345" s="14">
        <f t="shared" si="10"/>
        <v>0</v>
      </c>
      <c r="L345" s="16">
        <f t="shared" si="11"/>
        <v>0</v>
      </c>
      <c r="M345" s="22">
        <v>44256</v>
      </c>
      <c r="N345" s="44"/>
      <c r="O345" s="23" t="s">
        <v>16</v>
      </c>
      <c r="P345" s="24"/>
      <c r="Q345" s="28" t="s">
        <v>497</v>
      </c>
    </row>
    <row r="346" spans="1:17">
      <c r="A346" s="14">
        <v>342</v>
      </c>
      <c r="B346" s="29" t="s">
        <v>498</v>
      </c>
      <c r="C346" s="16">
        <f>'Медикаменты Февраль'!L342</f>
        <v>100</v>
      </c>
      <c r="D346" s="17"/>
      <c r="E346" s="14"/>
      <c r="F346" s="18"/>
      <c r="G346" s="19"/>
      <c r="H346" s="20"/>
      <c r="I346" s="21"/>
      <c r="J346" s="14"/>
      <c r="K346" s="14">
        <f t="shared" si="10"/>
        <v>0</v>
      </c>
      <c r="L346" s="16">
        <f t="shared" si="11"/>
        <v>100</v>
      </c>
      <c r="M346" s="22">
        <v>44805</v>
      </c>
      <c r="N346" s="44" t="s">
        <v>45</v>
      </c>
      <c r="O346" s="23" t="s">
        <v>16</v>
      </c>
      <c r="P346" s="24" t="s">
        <v>17</v>
      </c>
      <c r="Q346" s="23" t="s">
        <v>499</v>
      </c>
    </row>
    <row r="347" spans="1:17">
      <c r="A347" s="14">
        <v>343</v>
      </c>
      <c r="B347" s="29" t="s">
        <v>500</v>
      </c>
      <c r="C347" s="16">
        <f>'Медикаменты Февраль'!L343</f>
        <v>0</v>
      </c>
      <c r="D347" s="17"/>
      <c r="E347" s="14"/>
      <c r="F347" s="18"/>
      <c r="G347" s="19"/>
      <c r="H347" s="20"/>
      <c r="I347" s="21"/>
      <c r="J347" s="14"/>
      <c r="K347" s="14">
        <f t="shared" si="10"/>
        <v>0</v>
      </c>
      <c r="L347" s="16">
        <f t="shared" si="11"/>
        <v>0</v>
      </c>
      <c r="M347" s="22"/>
      <c r="N347" s="44"/>
      <c r="O347" s="23" t="s">
        <v>16</v>
      </c>
      <c r="P347" s="24"/>
      <c r="Q347" s="25"/>
    </row>
    <row r="348" spans="1:17">
      <c r="A348" s="14">
        <v>344</v>
      </c>
      <c r="B348" s="29" t="s">
        <v>501</v>
      </c>
      <c r="C348" s="16">
        <f>'Медикаменты Февраль'!L344</f>
        <v>0</v>
      </c>
      <c r="D348" s="17"/>
      <c r="E348" s="14"/>
      <c r="F348" s="18"/>
      <c r="G348" s="19"/>
      <c r="H348" s="20"/>
      <c r="I348" s="21"/>
      <c r="J348" s="14"/>
      <c r="K348" s="14">
        <f t="shared" si="10"/>
        <v>0</v>
      </c>
      <c r="L348" s="16">
        <f t="shared" si="11"/>
        <v>0</v>
      </c>
      <c r="M348" s="22"/>
      <c r="N348" s="44"/>
      <c r="O348" s="23" t="s">
        <v>16</v>
      </c>
      <c r="P348" s="24"/>
      <c r="Q348" s="25"/>
    </row>
    <row r="349" spans="1:17">
      <c r="A349" s="14">
        <v>345</v>
      </c>
      <c r="B349" s="29" t="s">
        <v>502</v>
      </c>
      <c r="C349" s="16">
        <f>'Медикаменты Февраль'!L345</f>
        <v>0</v>
      </c>
      <c r="D349" s="17"/>
      <c r="E349" s="14"/>
      <c r="F349" s="18"/>
      <c r="G349" s="19"/>
      <c r="H349" s="20"/>
      <c r="I349" s="21"/>
      <c r="J349" s="14"/>
      <c r="K349" s="14">
        <f t="shared" si="10"/>
        <v>0</v>
      </c>
      <c r="L349" s="16">
        <f t="shared" si="11"/>
        <v>0</v>
      </c>
      <c r="M349" s="22">
        <v>44866</v>
      </c>
      <c r="N349" s="44"/>
      <c r="O349" s="23" t="s">
        <v>26</v>
      </c>
      <c r="P349" s="24"/>
      <c r="Q349" s="25"/>
    </row>
    <row r="350" spans="1:17">
      <c r="A350" s="14">
        <v>346</v>
      </c>
      <c r="B350" s="29" t="s">
        <v>503</v>
      </c>
      <c r="C350" s="16">
        <f>'Медикаменты Февраль'!L346</f>
        <v>145</v>
      </c>
      <c r="D350" s="26"/>
      <c r="E350" s="14"/>
      <c r="F350" s="18">
        <f>5+3+3</f>
        <v>11</v>
      </c>
      <c r="G350" s="19"/>
      <c r="H350" s="20"/>
      <c r="I350" s="21"/>
      <c r="J350" s="14"/>
      <c r="K350" s="14">
        <f t="shared" si="10"/>
        <v>11</v>
      </c>
      <c r="L350" s="16">
        <f t="shared" si="11"/>
        <v>134</v>
      </c>
      <c r="M350" s="22">
        <v>44713</v>
      </c>
      <c r="N350" s="44" t="s">
        <v>45</v>
      </c>
      <c r="O350" s="23" t="s">
        <v>16</v>
      </c>
      <c r="P350" s="24" t="s">
        <v>17</v>
      </c>
      <c r="Q350" s="28" t="s">
        <v>504</v>
      </c>
    </row>
    <row r="351" spans="1:17">
      <c r="A351" s="14">
        <v>347</v>
      </c>
      <c r="B351" s="29" t="s">
        <v>505</v>
      </c>
      <c r="C351" s="16">
        <f>'Медикаменты Февраль'!L347</f>
        <v>0</v>
      </c>
      <c r="D351" s="17"/>
      <c r="E351" s="14"/>
      <c r="F351" s="18"/>
      <c r="G351" s="19"/>
      <c r="H351" s="20"/>
      <c r="I351" s="21"/>
      <c r="J351" s="14"/>
      <c r="K351" s="14">
        <f t="shared" si="10"/>
        <v>0</v>
      </c>
      <c r="L351" s="16">
        <f t="shared" si="11"/>
        <v>0</v>
      </c>
      <c r="M351" s="22"/>
      <c r="N351" s="44"/>
      <c r="O351" s="23" t="s">
        <v>16</v>
      </c>
      <c r="P351" s="24"/>
      <c r="Q351" s="25"/>
    </row>
    <row r="352" spans="1:17">
      <c r="A352" s="14">
        <v>348</v>
      </c>
      <c r="B352" s="29" t="s">
        <v>506</v>
      </c>
      <c r="C352" s="16">
        <f>'Медикаменты Февраль'!L348</f>
        <v>62</v>
      </c>
      <c r="D352" s="26"/>
      <c r="E352" s="14"/>
      <c r="F352" s="18">
        <f>3+10+3</f>
        <v>16</v>
      </c>
      <c r="G352" s="19"/>
      <c r="H352" s="20"/>
      <c r="I352" s="21"/>
      <c r="J352" s="14"/>
      <c r="K352" s="14">
        <f t="shared" si="10"/>
        <v>16</v>
      </c>
      <c r="L352" s="16">
        <f t="shared" si="11"/>
        <v>46</v>
      </c>
      <c r="M352" s="22">
        <v>44531</v>
      </c>
      <c r="N352" s="44" t="s">
        <v>45</v>
      </c>
      <c r="O352" s="23" t="s">
        <v>16</v>
      </c>
      <c r="P352" s="24" t="s">
        <v>17</v>
      </c>
      <c r="Q352" s="28" t="s">
        <v>507</v>
      </c>
    </row>
    <row r="353" spans="1:17" ht="25.5">
      <c r="A353" s="14">
        <v>349</v>
      </c>
      <c r="B353" s="29" t="s">
        <v>508</v>
      </c>
      <c r="C353" s="16">
        <f>'Медикаменты Февраль'!L349</f>
        <v>412</v>
      </c>
      <c r="D353" s="17"/>
      <c r="E353" s="14"/>
      <c r="F353" s="18"/>
      <c r="G353" s="19"/>
      <c r="H353" s="20"/>
      <c r="I353" s="21"/>
      <c r="J353" s="14"/>
      <c r="K353" s="14">
        <f t="shared" si="10"/>
        <v>0</v>
      </c>
      <c r="L353" s="16">
        <f t="shared" si="11"/>
        <v>412</v>
      </c>
      <c r="M353" s="22">
        <v>45108</v>
      </c>
      <c r="N353" s="44" t="s">
        <v>551</v>
      </c>
      <c r="O353" s="23" t="s">
        <v>16</v>
      </c>
      <c r="P353" s="24" t="s">
        <v>17</v>
      </c>
      <c r="Q353" s="28" t="s">
        <v>509</v>
      </c>
    </row>
    <row r="354" spans="1:17">
      <c r="A354" s="14">
        <v>350</v>
      </c>
      <c r="B354" s="29" t="s">
        <v>510</v>
      </c>
      <c r="C354" s="16">
        <f>'Медикаменты Февраль'!L350</f>
        <v>0</v>
      </c>
      <c r="D354" s="17"/>
      <c r="E354" s="14"/>
      <c r="F354" s="18"/>
      <c r="G354" s="19"/>
      <c r="H354" s="20"/>
      <c r="I354" s="21"/>
      <c r="J354" s="14"/>
      <c r="K354" s="14">
        <f t="shared" si="10"/>
        <v>0</v>
      </c>
      <c r="L354" s="16">
        <f t="shared" si="11"/>
        <v>0</v>
      </c>
      <c r="M354" s="22"/>
      <c r="N354" s="44"/>
      <c r="O354" s="23" t="s">
        <v>16</v>
      </c>
      <c r="P354" s="24"/>
      <c r="Q354" s="25"/>
    </row>
    <row r="355" spans="1:17">
      <c r="A355" s="14">
        <v>351</v>
      </c>
      <c r="B355" s="29" t="s">
        <v>511</v>
      </c>
      <c r="C355" s="16">
        <f>'Медикаменты Февраль'!L351</f>
        <v>0</v>
      </c>
      <c r="D355" s="17"/>
      <c r="E355" s="14"/>
      <c r="F355" s="18"/>
      <c r="G355" s="19"/>
      <c r="H355" s="20"/>
      <c r="I355" s="21"/>
      <c r="J355" s="14"/>
      <c r="K355" s="14">
        <f t="shared" si="10"/>
        <v>0</v>
      </c>
      <c r="L355" s="16">
        <f t="shared" si="11"/>
        <v>0</v>
      </c>
      <c r="M355" s="22"/>
      <c r="N355" s="44"/>
      <c r="O355" s="23" t="s">
        <v>16</v>
      </c>
      <c r="P355" s="24"/>
      <c r="Q355" s="25"/>
    </row>
    <row r="356" spans="1:17">
      <c r="A356" s="14">
        <v>352</v>
      </c>
      <c r="B356" s="29" t="s">
        <v>512</v>
      </c>
      <c r="C356" s="16">
        <f>'Медикаменты Февраль'!L352</f>
        <v>64</v>
      </c>
      <c r="D356" s="17"/>
      <c r="E356" s="14"/>
      <c r="F356" s="18">
        <f>10+3</f>
        <v>13</v>
      </c>
      <c r="G356" s="19"/>
      <c r="H356" s="20">
        <f>10</f>
        <v>10</v>
      </c>
      <c r="I356" s="21"/>
      <c r="J356" s="14"/>
      <c r="K356" s="14">
        <f t="shared" si="10"/>
        <v>23</v>
      </c>
      <c r="L356" s="16">
        <f t="shared" si="11"/>
        <v>41</v>
      </c>
      <c r="M356" s="22">
        <v>44682</v>
      </c>
      <c r="N356" s="44" t="s">
        <v>45</v>
      </c>
      <c r="O356" s="23" t="s">
        <v>16</v>
      </c>
      <c r="P356" s="24" t="s">
        <v>17</v>
      </c>
      <c r="Q356" s="23" t="s">
        <v>513</v>
      </c>
    </row>
    <row r="357" spans="1:17">
      <c r="A357" s="14">
        <v>353</v>
      </c>
      <c r="B357" s="29" t="s">
        <v>514</v>
      </c>
      <c r="C357" s="16">
        <f>'Медикаменты Февраль'!L353</f>
        <v>102</v>
      </c>
      <c r="D357" s="17"/>
      <c r="E357" s="14"/>
      <c r="F357" s="18">
        <f>10+3+4</f>
        <v>17</v>
      </c>
      <c r="G357" s="19"/>
      <c r="H357" s="20"/>
      <c r="I357" s="21"/>
      <c r="J357" s="14"/>
      <c r="K357" s="14">
        <f t="shared" si="10"/>
        <v>17</v>
      </c>
      <c r="L357" s="16">
        <f t="shared" si="11"/>
        <v>85</v>
      </c>
      <c r="M357" s="22">
        <v>44652</v>
      </c>
      <c r="N357" s="44" t="s">
        <v>45</v>
      </c>
      <c r="O357" s="23" t="s">
        <v>16</v>
      </c>
      <c r="P357" s="24" t="s">
        <v>17</v>
      </c>
      <c r="Q357" s="23" t="s">
        <v>515</v>
      </c>
    </row>
    <row r="358" spans="1:17">
      <c r="A358" s="14">
        <v>354</v>
      </c>
      <c r="B358" s="29" t="s">
        <v>516</v>
      </c>
      <c r="C358" s="16">
        <f>'Медикаменты Февраль'!L354</f>
        <v>0</v>
      </c>
      <c r="D358" s="17"/>
      <c r="E358" s="14"/>
      <c r="F358" s="18"/>
      <c r="G358" s="19"/>
      <c r="H358" s="20"/>
      <c r="I358" s="21"/>
      <c r="J358" s="14"/>
      <c r="K358" s="14">
        <f t="shared" si="10"/>
        <v>0</v>
      </c>
      <c r="L358" s="16">
        <f t="shared" si="11"/>
        <v>0</v>
      </c>
      <c r="M358" s="22"/>
      <c r="N358" s="44"/>
      <c r="O358" s="23" t="s">
        <v>16</v>
      </c>
      <c r="P358" s="24"/>
      <c r="Q358" s="25"/>
    </row>
    <row r="359" spans="1:17">
      <c r="A359" s="14">
        <v>355</v>
      </c>
      <c r="B359" s="29" t="s">
        <v>517</v>
      </c>
      <c r="C359" s="16">
        <f>'Медикаменты Февраль'!L355</f>
        <v>0</v>
      </c>
      <c r="D359" s="17"/>
      <c r="E359" s="14"/>
      <c r="F359" s="18"/>
      <c r="G359" s="19"/>
      <c r="H359" s="20"/>
      <c r="I359" s="21"/>
      <c r="J359" s="14"/>
      <c r="K359" s="14">
        <f t="shared" si="10"/>
        <v>0</v>
      </c>
      <c r="L359" s="16">
        <f t="shared" si="11"/>
        <v>0</v>
      </c>
      <c r="M359" s="22">
        <v>44682</v>
      </c>
      <c r="N359" s="44"/>
      <c r="O359" s="23" t="s">
        <v>26</v>
      </c>
      <c r="P359" s="24" t="s">
        <v>17</v>
      </c>
      <c r="Q359" s="23" t="s">
        <v>518</v>
      </c>
    </row>
    <row r="360" spans="1:17">
      <c r="A360" s="14">
        <v>356</v>
      </c>
      <c r="B360" s="29" t="s">
        <v>519</v>
      </c>
      <c r="C360" s="16">
        <f>'Медикаменты Февраль'!L356</f>
        <v>0</v>
      </c>
      <c r="D360" s="17"/>
      <c r="E360" s="14"/>
      <c r="F360" s="18"/>
      <c r="G360" s="19"/>
      <c r="H360" s="20"/>
      <c r="I360" s="21"/>
      <c r="J360" s="14"/>
      <c r="K360" s="14">
        <f t="shared" si="10"/>
        <v>0</v>
      </c>
      <c r="L360" s="16">
        <f t="shared" si="11"/>
        <v>0</v>
      </c>
      <c r="M360" s="22">
        <v>44409</v>
      </c>
      <c r="N360" s="44"/>
      <c r="O360" s="23" t="s">
        <v>16</v>
      </c>
      <c r="P360" s="24"/>
      <c r="Q360" s="25"/>
    </row>
    <row r="361" spans="1:17">
      <c r="A361" s="14">
        <v>357</v>
      </c>
      <c r="B361" s="29" t="s">
        <v>520</v>
      </c>
      <c r="C361" s="16">
        <f>'Медикаменты Февраль'!L357</f>
        <v>17</v>
      </c>
      <c r="D361" s="17"/>
      <c r="E361" s="14"/>
      <c r="F361" s="18">
        <f>5+5+7</f>
        <v>17</v>
      </c>
      <c r="G361" s="19"/>
      <c r="H361" s="20"/>
      <c r="I361" s="21"/>
      <c r="J361" s="14"/>
      <c r="K361" s="14">
        <f t="shared" si="10"/>
        <v>17</v>
      </c>
      <c r="L361" s="16">
        <f t="shared" si="11"/>
        <v>0</v>
      </c>
      <c r="M361" s="22">
        <v>44805</v>
      </c>
      <c r="N361" s="44"/>
      <c r="O361" s="23" t="s">
        <v>26</v>
      </c>
      <c r="P361" s="24" t="s">
        <v>17</v>
      </c>
      <c r="Q361" s="23" t="s">
        <v>521</v>
      </c>
    </row>
    <row r="362" spans="1:17">
      <c r="A362" s="14">
        <v>358</v>
      </c>
      <c r="B362" s="29" t="s">
        <v>522</v>
      </c>
      <c r="C362" s="16">
        <f>'Медикаменты Февраль'!L358</f>
        <v>0</v>
      </c>
      <c r="D362" s="17"/>
      <c r="E362" s="14"/>
      <c r="F362" s="18"/>
      <c r="G362" s="19"/>
      <c r="H362" s="20"/>
      <c r="I362" s="21"/>
      <c r="J362" s="14"/>
      <c r="K362" s="14">
        <f t="shared" si="10"/>
        <v>0</v>
      </c>
      <c r="L362" s="16">
        <f t="shared" si="11"/>
        <v>0</v>
      </c>
      <c r="M362" s="22"/>
      <c r="N362" s="44"/>
      <c r="O362" s="23" t="s">
        <v>16</v>
      </c>
      <c r="P362" s="24"/>
      <c r="Q362" s="25"/>
    </row>
    <row r="363" spans="1:17">
      <c r="A363" s="14">
        <v>359</v>
      </c>
      <c r="B363" s="29" t="s">
        <v>523</v>
      </c>
      <c r="C363" s="16">
        <f>'Медикаменты Февраль'!L359</f>
        <v>0</v>
      </c>
      <c r="D363" s="17"/>
      <c r="E363" s="14"/>
      <c r="F363" s="18"/>
      <c r="G363" s="19"/>
      <c r="H363" s="20"/>
      <c r="I363" s="21"/>
      <c r="J363" s="14"/>
      <c r="K363" s="14">
        <f t="shared" si="10"/>
        <v>0</v>
      </c>
      <c r="L363" s="16">
        <f t="shared" si="11"/>
        <v>0</v>
      </c>
      <c r="M363" s="22">
        <v>44228</v>
      </c>
      <c r="N363" s="44"/>
      <c r="O363" s="23" t="s">
        <v>16</v>
      </c>
      <c r="P363" s="24"/>
      <c r="Q363" s="23" t="s">
        <v>524</v>
      </c>
    </row>
    <row r="364" spans="1:17">
      <c r="A364" s="14">
        <v>360</v>
      </c>
      <c r="B364" s="29" t="s">
        <v>525</v>
      </c>
      <c r="C364" s="16">
        <f>'Медикаменты Февраль'!L360</f>
        <v>86</v>
      </c>
      <c r="D364" s="17"/>
      <c r="E364" s="14"/>
      <c r="F364" s="18"/>
      <c r="G364" s="19"/>
      <c r="H364" s="20"/>
      <c r="I364" s="21"/>
      <c r="J364" s="14"/>
      <c r="K364" s="14">
        <f t="shared" si="10"/>
        <v>0</v>
      </c>
      <c r="L364" s="16">
        <f t="shared" si="11"/>
        <v>86</v>
      </c>
      <c r="M364" s="22">
        <v>44958</v>
      </c>
      <c r="N364" s="44" t="s">
        <v>45</v>
      </c>
      <c r="O364" s="23" t="s">
        <v>16</v>
      </c>
      <c r="P364" s="24" t="s">
        <v>17</v>
      </c>
      <c r="Q364" s="23" t="s">
        <v>526</v>
      </c>
    </row>
    <row r="365" spans="1:17">
      <c r="A365" s="14">
        <v>361</v>
      </c>
      <c r="B365" s="29" t="s">
        <v>527</v>
      </c>
      <c r="C365" s="16">
        <f>'Медикаменты Февраль'!L361</f>
        <v>6</v>
      </c>
      <c r="D365" s="17"/>
      <c r="E365" s="14"/>
      <c r="F365" s="18"/>
      <c r="G365" s="19"/>
      <c r="H365" s="20"/>
      <c r="I365" s="21"/>
      <c r="J365" s="14"/>
      <c r="K365" s="14">
        <f t="shared" si="10"/>
        <v>0</v>
      </c>
      <c r="L365" s="16">
        <f t="shared" si="11"/>
        <v>6</v>
      </c>
      <c r="M365" s="22">
        <v>44652</v>
      </c>
      <c r="N365" s="44" t="s">
        <v>45</v>
      </c>
      <c r="O365" s="23" t="s">
        <v>16</v>
      </c>
      <c r="P365" s="24" t="s">
        <v>17</v>
      </c>
      <c r="Q365" s="28" t="s">
        <v>528</v>
      </c>
    </row>
    <row r="366" spans="1:17">
      <c r="A366" s="14">
        <v>362</v>
      </c>
      <c r="B366" s="29" t="s">
        <v>527</v>
      </c>
      <c r="C366" s="16">
        <f>'Медикаменты Февраль'!L362</f>
        <v>25</v>
      </c>
      <c r="D366" s="17"/>
      <c r="E366" s="14"/>
      <c r="F366" s="18"/>
      <c r="G366" s="19"/>
      <c r="H366" s="20"/>
      <c r="I366" s="21"/>
      <c r="J366" s="14"/>
      <c r="K366" s="14">
        <f t="shared" si="10"/>
        <v>0</v>
      </c>
      <c r="L366" s="16">
        <f t="shared" si="11"/>
        <v>25</v>
      </c>
      <c r="M366" s="22">
        <v>44896</v>
      </c>
      <c r="N366" s="44" t="s">
        <v>45</v>
      </c>
      <c r="O366" s="23" t="s">
        <v>16</v>
      </c>
      <c r="P366" s="24" t="s">
        <v>17</v>
      </c>
      <c r="Q366" s="28" t="s">
        <v>528</v>
      </c>
    </row>
  </sheetData>
  <autoFilter ref="A2:Q366"/>
  <mergeCells count="18">
    <mergeCell ref="P2:P4"/>
    <mergeCell ref="Q2:Q4"/>
    <mergeCell ref="A1:Q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2:M4"/>
    <mergeCell ref="N2:N4"/>
    <mergeCell ref="O2:O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2A6099"/>
  </sheetPr>
  <dimension ref="A1:O21"/>
  <sheetViews>
    <sheetView zoomScaleNormal="100" workbookViewId="0">
      <pane ySplit="4" topLeftCell="A5" activePane="bottomLeft" state="frozen"/>
      <selection pane="bottomLeft" activeCell="C15" sqref="C15"/>
    </sheetView>
  </sheetViews>
  <sheetFormatPr defaultRowHeight="15"/>
  <cols>
    <col min="1" max="1" width="12.5703125" customWidth="1"/>
    <col min="2" max="2" width="45.85546875" customWidth="1"/>
    <col min="3" max="13" width="13.28515625" customWidth="1"/>
    <col min="14" max="14" width="13.7109375" customWidth="1"/>
    <col min="15" max="1022" width="9.140625" customWidth="1"/>
    <col min="1023" max="1025" width="11.5703125" customWidth="1"/>
  </cols>
  <sheetData>
    <row r="1" spans="1:15" ht="51.75" customHeight="1">
      <c r="A1" s="3" t="s">
        <v>529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s="33" customFormat="1" ht="13.9" customHeight="1">
      <c r="A2" s="11" t="s">
        <v>1</v>
      </c>
      <c r="B2" s="10" t="s">
        <v>2</v>
      </c>
      <c r="C2" s="9">
        <v>44256</v>
      </c>
      <c r="D2" s="11" t="s">
        <v>3</v>
      </c>
      <c r="E2" s="11" t="s">
        <v>4</v>
      </c>
      <c r="F2" s="8" t="s">
        <v>5</v>
      </c>
      <c r="G2" s="2" t="s">
        <v>6</v>
      </c>
      <c r="H2" s="6" t="s">
        <v>7</v>
      </c>
      <c r="I2" s="5" t="s">
        <v>8</v>
      </c>
      <c r="J2" s="11" t="s">
        <v>9</v>
      </c>
      <c r="K2" s="11" t="s">
        <v>10</v>
      </c>
      <c r="L2" s="9">
        <v>44286</v>
      </c>
      <c r="M2" s="1" t="s">
        <v>11</v>
      </c>
      <c r="N2" s="1" t="s">
        <v>12</v>
      </c>
      <c r="O2" s="32"/>
    </row>
    <row r="3" spans="1:15" s="33" customFormat="1" ht="14.25">
      <c r="A3" s="11"/>
      <c r="B3" s="10"/>
      <c r="C3" s="9"/>
      <c r="D3" s="9"/>
      <c r="E3" s="9"/>
      <c r="F3" s="8"/>
      <c r="G3" s="2"/>
      <c r="H3" s="6"/>
      <c r="I3" s="5"/>
      <c r="J3" s="11"/>
      <c r="K3" s="11"/>
      <c r="L3" s="11"/>
      <c r="M3" s="1"/>
      <c r="N3" s="1"/>
      <c r="O3" s="32"/>
    </row>
    <row r="4" spans="1:15" s="33" customFormat="1" ht="24.75" customHeight="1">
      <c r="A4" s="11"/>
      <c r="B4" s="10"/>
      <c r="C4" s="9"/>
      <c r="D4" s="9"/>
      <c r="E4" s="9"/>
      <c r="F4" s="8"/>
      <c r="G4" s="2"/>
      <c r="H4" s="6"/>
      <c r="I4" s="5"/>
      <c r="J4" s="11"/>
      <c r="K4" s="11"/>
      <c r="L4" s="11"/>
      <c r="M4" s="1"/>
      <c r="N4" s="1"/>
      <c r="O4" s="32"/>
    </row>
    <row r="5" spans="1:15">
      <c r="A5" s="34">
        <v>1</v>
      </c>
      <c r="B5" s="35" t="s">
        <v>530</v>
      </c>
      <c r="C5" s="14">
        <f>'Перевязочные Февраль'!L5</f>
        <v>580</v>
      </c>
      <c r="D5" s="36"/>
      <c r="E5" s="36"/>
      <c r="F5" s="37"/>
      <c r="G5" s="38"/>
      <c r="H5" s="39"/>
      <c r="I5" s="40"/>
      <c r="J5" s="36"/>
      <c r="K5" s="14">
        <f t="shared" ref="K5:K21" si="0">SUM(F5:J5)</f>
        <v>0</v>
      </c>
      <c r="L5" s="16">
        <f t="shared" ref="L5:L21" si="1">(C5+E5)-K5</f>
        <v>580</v>
      </c>
      <c r="M5" s="41">
        <v>44652</v>
      </c>
      <c r="N5" s="42" t="s">
        <v>16</v>
      </c>
      <c r="O5" s="43"/>
    </row>
    <row r="6" spans="1:15">
      <c r="A6" s="34">
        <v>2</v>
      </c>
      <c r="B6" s="35" t="s">
        <v>531</v>
      </c>
      <c r="C6" s="14">
        <f>'Перевязочные Февраль'!L6</f>
        <v>85</v>
      </c>
      <c r="D6" s="36"/>
      <c r="E6" s="36"/>
      <c r="F6" s="37"/>
      <c r="G6" s="38"/>
      <c r="H6" s="39"/>
      <c r="I6" s="40"/>
      <c r="J6" s="36"/>
      <c r="K6" s="14">
        <f t="shared" si="0"/>
        <v>0</v>
      </c>
      <c r="L6" s="16">
        <f t="shared" si="1"/>
        <v>85</v>
      </c>
      <c r="M6" s="41">
        <v>45200</v>
      </c>
      <c r="N6" s="42" t="s">
        <v>16</v>
      </c>
      <c r="O6" s="43"/>
    </row>
    <row r="7" spans="1:15">
      <c r="A7" s="34">
        <v>3</v>
      </c>
      <c r="B7" s="35" t="s">
        <v>532</v>
      </c>
      <c r="C7" s="14">
        <f>'Перевязочные Февраль'!L7</f>
        <v>10</v>
      </c>
      <c r="D7" s="36"/>
      <c r="E7" s="36"/>
      <c r="F7" s="37"/>
      <c r="G7" s="38"/>
      <c r="H7" s="39"/>
      <c r="I7" s="40"/>
      <c r="J7" s="36"/>
      <c r="K7" s="14">
        <f t="shared" si="0"/>
        <v>0</v>
      </c>
      <c r="L7" s="16">
        <f t="shared" si="1"/>
        <v>10</v>
      </c>
      <c r="M7" s="41">
        <v>44958</v>
      </c>
      <c r="N7" s="42" t="s">
        <v>16</v>
      </c>
      <c r="O7" s="43"/>
    </row>
    <row r="8" spans="1:15">
      <c r="A8" s="34">
        <v>4</v>
      </c>
      <c r="B8" s="35" t="s">
        <v>533</v>
      </c>
      <c r="C8" s="14">
        <f>'Перевязочные Февраль'!L8</f>
        <v>0</v>
      </c>
      <c r="D8" s="36"/>
      <c r="E8" s="36"/>
      <c r="F8" s="37"/>
      <c r="G8" s="38"/>
      <c r="H8" s="39"/>
      <c r="I8" s="40"/>
      <c r="J8" s="36"/>
      <c r="K8" s="14">
        <f t="shared" si="0"/>
        <v>0</v>
      </c>
      <c r="L8" s="16">
        <f t="shared" si="1"/>
        <v>0</v>
      </c>
      <c r="M8" s="41"/>
      <c r="N8" s="42" t="s">
        <v>16</v>
      </c>
      <c r="O8" s="43"/>
    </row>
    <row r="9" spans="1:15">
      <c r="A9" s="34">
        <v>5</v>
      </c>
      <c r="B9" s="35" t="s">
        <v>534</v>
      </c>
      <c r="C9" s="14">
        <f>'Перевязочные Февраль'!L9</f>
        <v>0</v>
      </c>
      <c r="D9" s="36"/>
      <c r="E9" s="36"/>
      <c r="F9" s="37"/>
      <c r="G9" s="38"/>
      <c r="H9" s="39"/>
      <c r="I9" s="40"/>
      <c r="J9" s="36"/>
      <c r="K9" s="14">
        <f t="shared" si="0"/>
        <v>0</v>
      </c>
      <c r="L9" s="16">
        <f t="shared" si="1"/>
        <v>0</v>
      </c>
      <c r="M9" s="41"/>
      <c r="N9" s="42" t="s">
        <v>16</v>
      </c>
      <c r="O9" s="43"/>
    </row>
    <row r="10" spans="1:15">
      <c r="A10" s="34">
        <v>6</v>
      </c>
      <c r="B10" s="35" t="s">
        <v>535</v>
      </c>
      <c r="C10" s="14">
        <f>'Перевязочные Февраль'!L10</f>
        <v>10</v>
      </c>
      <c r="D10" s="36"/>
      <c r="E10" s="36"/>
      <c r="F10" s="37"/>
      <c r="G10" s="38"/>
      <c r="H10" s="39"/>
      <c r="I10" s="40"/>
      <c r="J10" s="36"/>
      <c r="K10" s="14">
        <f t="shared" si="0"/>
        <v>0</v>
      </c>
      <c r="L10" s="16">
        <f t="shared" si="1"/>
        <v>10</v>
      </c>
      <c r="M10" s="41">
        <v>45231</v>
      </c>
      <c r="N10" s="42" t="s">
        <v>16</v>
      </c>
      <c r="O10" s="43"/>
    </row>
    <row r="11" spans="1:15">
      <c r="A11" s="34">
        <v>7</v>
      </c>
      <c r="B11" s="35" t="s">
        <v>536</v>
      </c>
      <c r="C11" s="14">
        <f>'Перевязочные Февраль'!L11</f>
        <v>0</v>
      </c>
      <c r="D11" s="36"/>
      <c r="E11" s="36"/>
      <c r="F11" s="37"/>
      <c r="G11" s="38"/>
      <c r="H11" s="39"/>
      <c r="I11" s="40"/>
      <c r="J11" s="36"/>
      <c r="K11" s="14">
        <f t="shared" si="0"/>
        <v>0</v>
      </c>
      <c r="L11" s="16">
        <f t="shared" si="1"/>
        <v>0</v>
      </c>
      <c r="M11" s="41"/>
      <c r="N11" s="42" t="s">
        <v>16</v>
      </c>
      <c r="O11" s="43"/>
    </row>
    <row r="12" spans="1:15">
      <c r="A12" s="34">
        <v>8</v>
      </c>
      <c r="B12" s="35" t="s">
        <v>537</v>
      </c>
      <c r="C12" s="14">
        <f>'Перевязочные Февраль'!L12</f>
        <v>21</v>
      </c>
      <c r="D12" s="36"/>
      <c r="E12" s="36"/>
      <c r="F12" s="37"/>
      <c r="G12" s="38"/>
      <c r="H12" s="39"/>
      <c r="I12" s="40"/>
      <c r="J12" s="36"/>
      <c r="K12" s="14">
        <f t="shared" si="0"/>
        <v>0</v>
      </c>
      <c r="L12" s="16">
        <f t="shared" si="1"/>
        <v>21</v>
      </c>
      <c r="M12" s="41">
        <v>45658</v>
      </c>
      <c r="N12" s="42" t="s">
        <v>16</v>
      </c>
      <c r="O12" s="43"/>
    </row>
    <row r="13" spans="1:15">
      <c r="A13" s="34">
        <v>9</v>
      </c>
      <c r="B13" s="35" t="s">
        <v>538</v>
      </c>
      <c r="C13" s="14">
        <f>'Перевязочные Февраль'!L13</f>
        <v>1000</v>
      </c>
      <c r="D13" s="36"/>
      <c r="E13" s="36"/>
      <c r="F13" s="37"/>
      <c r="G13" s="38"/>
      <c r="H13" s="39"/>
      <c r="I13" s="40"/>
      <c r="J13" s="36"/>
      <c r="K13" s="14">
        <f t="shared" si="0"/>
        <v>0</v>
      </c>
      <c r="L13" s="16">
        <f t="shared" si="1"/>
        <v>1000</v>
      </c>
      <c r="M13" s="41">
        <v>44682</v>
      </c>
      <c r="N13" s="42" t="s">
        <v>16</v>
      </c>
      <c r="O13" s="43"/>
    </row>
    <row r="14" spans="1:15">
      <c r="A14" s="34">
        <v>10</v>
      </c>
      <c r="B14" s="35" t="s">
        <v>539</v>
      </c>
      <c r="C14" s="14">
        <f>'Перевязочные Февраль'!L14</f>
        <v>458</v>
      </c>
      <c r="D14" s="36"/>
      <c r="E14" s="36"/>
      <c r="F14" s="37"/>
      <c r="G14" s="38"/>
      <c r="H14" s="39"/>
      <c r="I14" s="40"/>
      <c r="J14" s="36"/>
      <c r="K14" s="14">
        <f t="shared" si="0"/>
        <v>0</v>
      </c>
      <c r="L14" s="16">
        <f t="shared" si="1"/>
        <v>458</v>
      </c>
      <c r="M14" s="41">
        <v>45261</v>
      </c>
      <c r="N14" s="42" t="s">
        <v>16</v>
      </c>
      <c r="O14" s="43"/>
    </row>
    <row r="15" spans="1:15">
      <c r="A15" s="34">
        <v>11</v>
      </c>
      <c r="B15" s="35" t="s">
        <v>540</v>
      </c>
      <c r="C15" s="14">
        <f>'Перевязочные Февраль'!L15</f>
        <v>141</v>
      </c>
      <c r="D15" s="36"/>
      <c r="E15" s="36"/>
      <c r="F15" s="37"/>
      <c r="G15" s="38"/>
      <c r="H15" s="39"/>
      <c r="I15" s="40"/>
      <c r="J15" s="36"/>
      <c r="K15" s="14">
        <f t="shared" si="0"/>
        <v>0</v>
      </c>
      <c r="L15" s="16">
        <f t="shared" si="1"/>
        <v>141</v>
      </c>
      <c r="M15" s="41">
        <v>44835</v>
      </c>
      <c r="N15" s="42" t="s">
        <v>16</v>
      </c>
      <c r="O15" s="43"/>
    </row>
    <row r="16" spans="1:15" ht="30">
      <c r="A16" s="34">
        <v>12</v>
      </c>
      <c r="B16" s="35" t="s">
        <v>541</v>
      </c>
      <c r="C16" s="14">
        <f>'Перевязочные Февраль'!L16</f>
        <v>285</v>
      </c>
      <c r="D16" s="36"/>
      <c r="E16" s="36"/>
      <c r="F16" s="37"/>
      <c r="G16" s="38"/>
      <c r="H16" s="39"/>
      <c r="I16" s="40"/>
      <c r="J16" s="36"/>
      <c r="K16" s="14">
        <f t="shared" si="0"/>
        <v>0</v>
      </c>
      <c r="L16" s="16">
        <f t="shared" si="1"/>
        <v>285</v>
      </c>
      <c r="M16" s="41">
        <v>45616</v>
      </c>
      <c r="N16" s="42" t="s">
        <v>16</v>
      </c>
      <c r="O16" s="43"/>
    </row>
    <row r="17" spans="1:15" ht="45">
      <c r="A17" s="34">
        <v>13</v>
      </c>
      <c r="B17" s="35" t="s">
        <v>542</v>
      </c>
      <c r="C17" s="14">
        <f>'Перевязочные Февраль'!L17</f>
        <v>480</v>
      </c>
      <c r="D17" s="36"/>
      <c r="E17" s="36"/>
      <c r="F17" s="37"/>
      <c r="G17" s="38"/>
      <c r="H17" s="39"/>
      <c r="I17" s="40"/>
      <c r="J17" s="36"/>
      <c r="K17" s="14">
        <f t="shared" si="0"/>
        <v>0</v>
      </c>
      <c r="L17" s="16">
        <f t="shared" si="1"/>
        <v>480</v>
      </c>
      <c r="M17" s="41">
        <v>44682</v>
      </c>
      <c r="N17" s="42" t="s">
        <v>16</v>
      </c>
      <c r="O17" s="43"/>
    </row>
    <row r="18" spans="1:15" ht="30">
      <c r="A18" s="34">
        <v>14</v>
      </c>
      <c r="B18" s="35" t="s">
        <v>543</v>
      </c>
      <c r="C18" s="14">
        <f>'Перевязочные Февраль'!L18</f>
        <v>28</v>
      </c>
      <c r="D18" s="36"/>
      <c r="E18" s="36"/>
      <c r="F18" s="37"/>
      <c r="G18" s="38">
        <f>5</f>
        <v>5</v>
      </c>
      <c r="H18" s="39"/>
      <c r="I18" s="40"/>
      <c r="J18" s="36"/>
      <c r="K18" s="14">
        <f t="shared" si="0"/>
        <v>5</v>
      </c>
      <c r="L18" s="16">
        <f t="shared" si="1"/>
        <v>23</v>
      </c>
      <c r="M18" s="41">
        <v>45778</v>
      </c>
      <c r="N18" s="42" t="s">
        <v>16</v>
      </c>
      <c r="O18" s="43"/>
    </row>
    <row r="19" spans="1:15" ht="30">
      <c r="A19" s="34">
        <v>15</v>
      </c>
      <c r="B19" s="35" t="s">
        <v>544</v>
      </c>
      <c r="C19" s="14">
        <f>'Перевязочные Февраль'!L19</f>
        <v>38</v>
      </c>
      <c r="D19" s="36"/>
      <c r="E19" s="36"/>
      <c r="F19" s="37"/>
      <c r="G19" s="38"/>
      <c r="H19" s="39"/>
      <c r="I19" s="40"/>
      <c r="J19" s="36"/>
      <c r="K19" s="14">
        <f t="shared" si="0"/>
        <v>0</v>
      </c>
      <c r="L19" s="16">
        <f t="shared" si="1"/>
        <v>38</v>
      </c>
      <c r="M19" s="41"/>
      <c r="N19" s="42" t="s">
        <v>16</v>
      </c>
      <c r="O19" s="43"/>
    </row>
    <row r="20" spans="1:15">
      <c r="A20" s="34">
        <v>16</v>
      </c>
      <c r="B20" s="35" t="s">
        <v>545</v>
      </c>
      <c r="C20" s="14">
        <f>'Перевязочные Февраль'!L20</f>
        <v>19</v>
      </c>
      <c r="D20" s="36"/>
      <c r="E20" s="36"/>
      <c r="F20" s="37"/>
      <c r="G20" s="38"/>
      <c r="H20" s="39"/>
      <c r="I20" s="40"/>
      <c r="J20" s="36"/>
      <c r="K20" s="14">
        <f t="shared" si="0"/>
        <v>0</v>
      </c>
      <c r="L20" s="16">
        <f t="shared" si="1"/>
        <v>19</v>
      </c>
      <c r="M20" s="41">
        <v>45292</v>
      </c>
      <c r="N20" s="42" t="s">
        <v>16</v>
      </c>
      <c r="O20" s="43"/>
    </row>
    <row r="21" spans="1:15" ht="30">
      <c r="A21" s="34">
        <v>17</v>
      </c>
      <c r="B21" s="35" t="s">
        <v>546</v>
      </c>
      <c r="C21" s="14">
        <f>'Перевязочные Февраль'!L21</f>
        <v>14</v>
      </c>
      <c r="D21" s="36"/>
      <c r="E21" s="36"/>
      <c r="F21" s="37"/>
      <c r="G21" s="38"/>
      <c r="H21" s="39"/>
      <c r="I21" s="40"/>
      <c r="J21" s="36"/>
      <c r="K21" s="14">
        <f t="shared" si="0"/>
        <v>0</v>
      </c>
      <c r="L21" s="16">
        <f t="shared" si="1"/>
        <v>14</v>
      </c>
      <c r="M21" s="41">
        <v>44682</v>
      </c>
      <c r="N21" s="42" t="s">
        <v>16</v>
      </c>
      <c r="O21" s="43"/>
    </row>
  </sheetData>
  <autoFilter ref="A2:N4"/>
  <mergeCells count="15">
    <mergeCell ref="A1:N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2:M4"/>
    <mergeCell ref="N2:N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55308D"/>
  </sheetPr>
  <dimension ref="A1:Q368"/>
  <sheetViews>
    <sheetView zoomScaleNormal="100" workbookViewId="0">
      <pane ySplit="4" topLeftCell="A218" activePane="bottomLeft" state="frozen"/>
      <selection pane="bottomLeft" activeCell="C203" sqref="C203"/>
    </sheetView>
  </sheetViews>
  <sheetFormatPr defaultRowHeight="15"/>
  <cols>
    <col min="1" max="1" width="9.140625" customWidth="1"/>
    <col min="2" max="2" width="40.85546875" customWidth="1"/>
    <col min="3" max="13" width="13.28515625" customWidth="1"/>
    <col min="14" max="14" width="13.28515625" style="13" customWidth="1"/>
    <col min="15" max="15" width="13.28515625" customWidth="1"/>
    <col min="16" max="16" width="13.28515625" style="13" customWidth="1"/>
    <col min="17" max="17" width="43.5703125" customWidth="1"/>
    <col min="18" max="1025" width="9.140625" customWidth="1"/>
  </cols>
  <sheetData>
    <row r="1" spans="1:17" ht="52.5" customHeight="1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ht="13.9" customHeight="1">
      <c r="A2" s="11" t="s">
        <v>1</v>
      </c>
      <c r="B2" s="10" t="s">
        <v>2</v>
      </c>
      <c r="C2" s="9">
        <v>44287</v>
      </c>
      <c r="D2" s="11" t="s">
        <v>3</v>
      </c>
      <c r="E2" s="11" t="s">
        <v>4</v>
      </c>
      <c r="F2" s="8" t="s">
        <v>5</v>
      </c>
      <c r="G2" s="7" t="s">
        <v>6</v>
      </c>
      <c r="H2" s="6" t="s">
        <v>7</v>
      </c>
      <c r="I2" s="5" t="s">
        <v>8</v>
      </c>
      <c r="J2" s="11" t="s">
        <v>9</v>
      </c>
      <c r="K2" s="11" t="s">
        <v>10</v>
      </c>
      <c r="L2" s="9">
        <v>44316</v>
      </c>
      <c r="M2" s="4" t="s">
        <v>11</v>
      </c>
      <c r="N2" s="4" t="s">
        <v>550</v>
      </c>
      <c r="O2" s="4" t="s">
        <v>12</v>
      </c>
      <c r="P2" s="4" t="s">
        <v>13</v>
      </c>
      <c r="Q2" s="4" t="s">
        <v>14</v>
      </c>
    </row>
    <row r="3" spans="1:17">
      <c r="A3" s="11"/>
      <c r="B3" s="10"/>
      <c r="C3" s="9"/>
      <c r="D3" s="9"/>
      <c r="E3" s="9"/>
      <c r="F3" s="8"/>
      <c r="G3" s="7"/>
      <c r="H3" s="6"/>
      <c r="I3" s="5"/>
      <c r="J3" s="11"/>
      <c r="K3" s="11"/>
      <c r="L3" s="11"/>
      <c r="M3" s="4"/>
      <c r="N3" s="4"/>
      <c r="O3" s="4"/>
      <c r="P3" s="4"/>
      <c r="Q3" s="4"/>
    </row>
    <row r="4" spans="1:17" ht="34.5" customHeight="1">
      <c r="A4" s="11"/>
      <c r="B4" s="10"/>
      <c r="C4" s="9"/>
      <c r="D4" s="9"/>
      <c r="E4" s="9"/>
      <c r="F4" s="8"/>
      <c r="G4" s="7"/>
      <c r="H4" s="6"/>
      <c r="I4" s="5"/>
      <c r="J4" s="11"/>
      <c r="K4" s="11"/>
      <c r="L4" s="11"/>
      <c r="M4" s="4"/>
      <c r="N4" s="4"/>
      <c r="O4" s="4"/>
      <c r="P4" s="4"/>
      <c r="Q4" s="4"/>
    </row>
    <row r="5" spans="1:17">
      <c r="A5" s="14">
        <v>1</v>
      </c>
      <c r="B5" s="15" t="s">
        <v>15</v>
      </c>
      <c r="C5" s="16">
        <f>'Медикаменты Март'!L5</f>
        <v>18</v>
      </c>
      <c r="D5" s="17"/>
      <c r="E5" s="14"/>
      <c r="F5" s="18"/>
      <c r="G5" s="19"/>
      <c r="H5" s="20"/>
      <c r="I5" s="21"/>
      <c r="J5" s="14"/>
      <c r="K5" s="14">
        <f t="shared" ref="K5:K68" si="0">SUM(F5:J5)</f>
        <v>0</v>
      </c>
      <c r="L5" s="16">
        <f t="shared" ref="L5:L68" si="1">(C5+E5)-K5</f>
        <v>18</v>
      </c>
      <c r="M5" s="22">
        <v>44531</v>
      </c>
      <c r="N5" s="44" t="s">
        <v>45</v>
      </c>
      <c r="O5" s="23" t="s">
        <v>16</v>
      </c>
      <c r="P5" s="24" t="s">
        <v>17</v>
      </c>
      <c r="Q5" s="23" t="s">
        <v>18</v>
      </c>
    </row>
    <row r="6" spans="1:17">
      <c r="A6" s="14">
        <v>2</v>
      </c>
      <c r="B6" s="15" t="s">
        <v>19</v>
      </c>
      <c r="C6" s="16">
        <f>'Медикаменты Март'!L6</f>
        <v>11</v>
      </c>
      <c r="D6" s="17"/>
      <c r="E6" s="14"/>
      <c r="F6" s="18"/>
      <c r="G6" s="19"/>
      <c r="H6" s="20"/>
      <c r="I6" s="21"/>
      <c r="J6" s="14"/>
      <c r="K6" s="14">
        <f t="shared" si="0"/>
        <v>0</v>
      </c>
      <c r="L6" s="16">
        <f t="shared" si="1"/>
        <v>11</v>
      </c>
      <c r="M6" s="22">
        <v>44593</v>
      </c>
      <c r="N6" s="44" t="s">
        <v>45</v>
      </c>
      <c r="O6" s="23" t="s">
        <v>16</v>
      </c>
      <c r="P6" s="24" t="s">
        <v>17</v>
      </c>
      <c r="Q6" s="23" t="s">
        <v>20</v>
      </c>
    </row>
    <row r="7" spans="1:17">
      <c r="A7" s="14">
        <v>3</v>
      </c>
      <c r="B7" s="15" t="s">
        <v>21</v>
      </c>
      <c r="C7" s="16">
        <f>'Медикаменты Март'!L7</f>
        <v>254</v>
      </c>
      <c r="D7" s="17"/>
      <c r="E7" s="14"/>
      <c r="F7" s="18">
        <f>5+10+20</f>
        <v>35</v>
      </c>
      <c r="G7" s="19"/>
      <c r="H7" s="20"/>
      <c r="I7" s="21"/>
      <c r="J7" s="14"/>
      <c r="K7" s="14">
        <f t="shared" si="0"/>
        <v>35</v>
      </c>
      <c r="L7" s="16">
        <f t="shared" si="1"/>
        <v>219</v>
      </c>
      <c r="M7" s="22">
        <v>45566</v>
      </c>
      <c r="N7" s="44" t="s">
        <v>45</v>
      </c>
      <c r="O7" s="23" t="s">
        <v>16</v>
      </c>
      <c r="P7" s="24" t="s">
        <v>17</v>
      </c>
      <c r="Q7" s="23" t="s">
        <v>22</v>
      </c>
    </row>
    <row r="8" spans="1:17">
      <c r="A8" s="14">
        <v>4</v>
      </c>
      <c r="B8" s="15" t="s">
        <v>23</v>
      </c>
      <c r="C8" s="16">
        <f>'Медикаменты Март'!L8</f>
        <v>0</v>
      </c>
      <c r="D8" s="17"/>
      <c r="E8" s="14"/>
      <c r="F8" s="18"/>
      <c r="G8" s="19"/>
      <c r="H8" s="20"/>
      <c r="I8" s="21"/>
      <c r="J8" s="14"/>
      <c r="K8" s="14">
        <f t="shared" si="0"/>
        <v>0</v>
      </c>
      <c r="L8" s="16">
        <f t="shared" si="1"/>
        <v>0</v>
      </c>
      <c r="M8" s="22"/>
      <c r="N8" s="44"/>
      <c r="O8" s="23" t="s">
        <v>16</v>
      </c>
      <c r="P8" s="24"/>
      <c r="Q8" s="23"/>
    </row>
    <row r="9" spans="1:17">
      <c r="A9" s="14">
        <v>5</v>
      </c>
      <c r="B9" s="15" t="s">
        <v>24</v>
      </c>
      <c r="C9" s="16">
        <f>'Медикаменты Март'!L9</f>
        <v>0</v>
      </c>
      <c r="D9" s="17"/>
      <c r="E9" s="14"/>
      <c r="F9" s="18"/>
      <c r="G9" s="19"/>
      <c r="H9" s="20"/>
      <c r="I9" s="21"/>
      <c r="J9" s="14"/>
      <c r="K9" s="14">
        <f t="shared" si="0"/>
        <v>0</v>
      </c>
      <c r="L9" s="16">
        <f t="shared" si="1"/>
        <v>0</v>
      </c>
      <c r="M9" s="22">
        <v>44866</v>
      </c>
      <c r="N9" s="44"/>
      <c r="O9" s="23" t="s">
        <v>16</v>
      </c>
      <c r="P9" s="24" t="s">
        <v>17</v>
      </c>
      <c r="Q9" s="23" t="s">
        <v>25</v>
      </c>
    </row>
    <row r="10" spans="1:17">
      <c r="A10" s="14">
        <v>6</v>
      </c>
      <c r="B10" s="15" t="s">
        <v>24</v>
      </c>
      <c r="C10" s="16">
        <f>'Медикаменты Март'!L10</f>
        <v>0</v>
      </c>
      <c r="D10" s="17"/>
      <c r="E10" s="14"/>
      <c r="F10" s="18"/>
      <c r="G10" s="19"/>
      <c r="H10" s="20"/>
      <c r="I10" s="21"/>
      <c r="J10" s="14"/>
      <c r="K10" s="14">
        <f t="shared" si="0"/>
        <v>0</v>
      </c>
      <c r="L10" s="16">
        <f t="shared" si="1"/>
        <v>0</v>
      </c>
      <c r="M10" s="22"/>
      <c r="N10" s="44"/>
      <c r="O10" s="23" t="s">
        <v>26</v>
      </c>
      <c r="P10" s="24"/>
      <c r="Q10" s="25"/>
    </row>
    <row r="11" spans="1:17">
      <c r="A11" s="14">
        <v>7</v>
      </c>
      <c r="B11" s="15" t="s">
        <v>27</v>
      </c>
      <c r="C11" s="16">
        <f>'Медикаменты Март'!L11</f>
        <v>235</v>
      </c>
      <c r="D11" s="17"/>
      <c r="E11" s="14"/>
      <c r="F11" s="18">
        <f>10+18+24+10+54</f>
        <v>116</v>
      </c>
      <c r="G11" s="19"/>
      <c r="H11" s="20">
        <f>48</f>
        <v>48</v>
      </c>
      <c r="I11" s="21"/>
      <c r="J11" s="14"/>
      <c r="K11" s="14">
        <f t="shared" si="0"/>
        <v>164</v>
      </c>
      <c r="L11" s="16">
        <f t="shared" si="1"/>
        <v>71</v>
      </c>
      <c r="M11" s="22">
        <v>44805</v>
      </c>
      <c r="N11" s="44" t="s">
        <v>45</v>
      </c>
      <c r="O11" s="23" t="s">
        <v>16</v>
      </c>
      <c r="P11" s="24" t="s">
        <v>17</v>
      </c>
      <c r="Q11" s="23" t="s">
        <v>28</v>
      </c>
    </row>
    <row r="12" spans="1:17">
      <c r="A12" s="14">
        <v>8</v>
      </c>
      <c r="B12" s="15" t="s">
        <v>27</v>
      </c>
      <c r="C12" s="16">
        <f>'Медикаменты Март'!L12</f>
        <v>0</v>
      </c>
      <c r="D12" s="17"/>
      <c r="E12" s="14"/>
      <c r="F12" s="18"/>
      <c r="G12" s="19"/>
      <c r="H12" s="20"/>
      <c r="I12" s="21"/>
      <c r="J12" s="14"/>
      <c r="K12" s="14">
        <f t="shared" si="0"/>
        <v>0</v>
      </c>
      <c r="L12" s="16">
        <f t="shared" si="1"/>
        <v>0</v>
      </c>
      <c r="M12" s="22"/>
      <c r="N12" s="44"/>
      <c r="O12" s="23" t="s">
        <v>26</v>
      </c>
      <c r="P12" s="24"/>
      <c r="Q12" s="25"/>
    </row>
    <row r="13" spans="1:17">
      <c r="A13" s="14">
        <v>9</v>
      </c>
      <c r="B13" s="15" t="s">
        <v>29</v>
      </c>
      <c r="C13" s="16">
        <f>'Медикаменты Март'!L13</f>
        <v>17</v>
      </c>
      <c r="D13" s="17"/>
      <c r="E13" s="14"/>
      <c r="F13" s="18"/>
      <c r="G13" s="19"/>
      <c r="H13" s="20"/>
      <c r="I13" s="21"/>
      <c r="J13" s="14"/>
      <c r="K13" s="14">
        <f t="shared" si="0"/>
        <v>0</v>
      </c>
      <c r="L13" s="16">
        <f t="shared" si="1"/>
        <v>17</v>
      </c>
      <c r="M13" s="22">
        <v>44835</v>
      </c>
      <c r="N13" s="44" t="s">
        <v>45</v>
      </c>
      <c r="O13" s="23" t="s">
        <v>16</v>
      </c>
      <c r="P13" s="24" t="s">
        <v>17</v>
      </c>
      <c r="Q13" s="23" t="s">
        <v>30</v>
      </c>
    </row>
    <row r="14" spans="1:17">
      <c r="A14" s="14">
        <v>10</v>
      </c>
      <c r="B14" s="15" t="s">
        <v>31</v>
      </c>
      <c r="C14" s="16">
        <f>'Медикаменты Март'!L14</f>
        <v>131</v>
      </c>
      <c r="D14" s="26"/>
      <c r="E14" s="14"/>
      <c r="F14" s="18">
        <f>5+10+5+10</f>
        <v>30</v>
      </c>
      <c r="G14" s="19"/>
      <c r="H14" s="20"/>
      <c r="I14" s="21"/>
      <c r="J14" s="14"/>
      <c r="K14" s="14">
        <f t="shared" si="0"/>
        <v>30</v>
      </c>
      <c r="L14" s="16">
        <f t="shared" si="1"/>
        <v>101</v>
      </c>
      <c r="M14" s="22">
        <v>44621</v>
      </c>
      <c r="N14" s="44" t="s">
        <v>45</v>
      </c>
      <c r="O14" s="23" t="s">
        <v>16</v>
      </c>
      <c r="P14" s="24" t="s">
        <v>17</v>
      </c>
      <c r="Q14" s="23" t="s">
        <v>32</v>
      </c>
    </row>
    <row r="15" spans="1:17">
      <c r="A15" s="14">
        <v>11</v>
      </c>
      <c r="B15" s="15" t="s">
        <v>31</v>
      </c>
      <c r="C15" s="16">
        <f>'Медикаменты Март'!L15</f>
        <v>0</v>
      </c>
      <c r="D15" s="17"/>
      <c r="E15" s="14"/>
      <c r="F15" s="18"/>
      <c r="G15" s="19"/>
      <c r="H15" s="20"/>
      <c r="I15" s="21"/>
      <c r="J15" s="14"/>
      <c r="K15" s="14">
        <f t="shared" si="0"/>
        <v>0</v>
      </c>
      <c r="L15" s="16">
        <f t="shared" si="1"/>
        <v>0</v>
      </c>
      <c r="M15" s="22"/>
      <c r="N15" s="44"/>
      <c r="O15" s="23" t="s">
        <v>26</v>
      </c>
      <c r="P15" s="24"/>
      <c r="Q15" s="25"/>
    </row>
    <row r="16" spans="1:17" ht="25.5">
      <c r="A16" s="14">
        <v>12</v>
      </c>
      <c r="B16" s="15" t="s">
        <v>33</v>
      </c>
      <c r="C16" s="16">
        <f>'Медикаменты Март'!L16</f>
        <v>3</v>
      </c>
      <c r="D16" s="17"/>
      <c r="E16" s="14"/>
      <c r="F16" s="18"/>
      <c r="G16" s="19"/>
      <c r="H16" s="20"/>
      <c r="I16" s="21"/>
      <c r="J16" s="14"/>
      <c r="K16" s="14">
        <f t="shared" si="0"/>
        <v>0</v>
      </c>
      <c r="L16" s="16">
        <f t="shared" si="1"/>
        <v>3</v>
      </c>
      <c r="M16" s="22">
        <v>44501</v>
      </c>
      <c r="N16" s="44" t="s">
        <v>45</v>
      </c>
      <c r="O16" s="23" t="s">
        <v>16</v>
      </c>
      <c r="P16" s="24" t="s">
        <v>17</v>
      </c>
      <c r="Q16" s="23" t="s">
        <v>34</v>
      </c>
    </row>
    <row r="17" spans="1:17">
      <c r="A17" s="14">
        <v>13</v>
      </c>
      <c r="B17" s="15" t="s">
        <v>35</v>
      </c>
      <c r="C17" s="16">
        <f>'Медикаменты Март'!L17</f>
        <v>45</v>
      </c>
      <c r="D17" s="17"/>
      <c r="E17" s="14"/>
      <c r="F17" s="18"/>
      <c r="G17" s="19"/>
      <c r="H17" s="20"/>
      <c r="I17" s="21"/>
      <c r="J17" s="14"/>
      <c r="K17" s="14">
        <f t="shared" si="0"/>
        <v>0</v>
      </c>
      <c r="L17" s="16">
        <f t="shared" si="1"/>
        <v>45</v>
      </c>
      <c r="M17" s="22">
        <v>44621</v>
      </c>
      <c r="N17" s="44" t="s">
        <v>45</v>
      </c>
      <c r="O17" s="23" t="s">
        <v>16</v>
      </c>
      <c r="P17" s="24" t="s">
        <v>17</v>
      </c>
      <c r="Q17" s="23" t="s">
        <v>36</v>
      </c>
    </row>
    <row r="18" spans="1:17">
      <c r="A18" s="14">
        <v>14</v>
      </c>
      <c r="B18" s="15" t="s">
        <v>37</v>
      </c>
      <c r="C18" s="16">
        <f>'Медикаменты Март'!L18</f>
        <v>134</v>
      </c>
      <c r="D18" s="17"/>
      <c r="E18" s="14"/>
      <c r="F18" s="18">
        <f>5</f>
        <v>5</v>
      </c>
      <c r="G18" s="19"/>
      <c r="H18" s="20"/>
      <c r="I18" s="21"/>
      <c r="J18" s="14"/>
      <c r="K18" s="14">
        <f t="shared" si="0"/>
        <v>5</v>
      </c>
      <c r="L18" s="16">
        <f t="shared" si="1"/>
        <v>129</v>
      </c>
      <c r="M18" s="22">
        <v>44348</v>
      </c>
      <c r="N18" s="44" t="s">
        <v>45</v>
      </c>
      <c r="O18" s="23" t="s">
        <v>16</v>
      </c>
      <c r="P18" s="24" t="s">
        <v>17</v>
      </c>
      <c r="Q18" s="23" t="s">
        <v>38</v>
      </c>
    </row>
    <row r="19" spans="1:17">
      <c r="A19" s="14">
        <v>15</v>
      </c>
      <c r="B19" s="15" t="s">
        <v>39</v>
      </c>
      <c r="C19" s="16">
        <f>'Медикаменты Март'!L19</f>
        <v>3</v>
      </c>
      <c r="D19" s="17"/>
      <c r="E19" s="14"/>
      <c r="F19" s="18"/>
      <c r="G19" s="19"/>
      <c r="H19" s="20"/>
      <c r="I19" s="21"/>
      <c r="J19" s="14"/>
      <c r="K19" s="14">
        <f t="shared" si="0"/>
        <v>0</v>
      </c>
      <c r="L19" s="16">
        <f t="shared" si="1"/>
        <v>3</v>
      </c>
      <c r="M19" s="22">
        <v>44409</v>
      </c>
      <c r="N19" s="44" t="s">
        <v>45</v>
      </c>
      <c r="O19" s="23" t="s">
        <v>16</v>
      </c>
      <c r="P19" s="24" t="s">
        <v>17</v>
      </c>
      <c r="Q19" s="23" t="s">
        <v>40</v>
      </c>
    </row>
    <row r="20" spans="1:17" ht="25.5">
      <c r="A20" s="14">
        <v>16</v>
      </c>
      <c r="B20" s="15" t="s">
        <v>41</v>
      </c>
      <c r="C20" s="16">
        <f>'Медикаменты Март'!L20</f>
        <v>10</v>
      </c>
      <c r="D20" s="17"/>
      <c r="E20" s="14"/>
      <c r="F20" s="18">
        <f>1+1</f>
        <v>2</v>
      </c>
      <c r="G20" s="19"/>
      <c r="H20" s="20"/>
      <c r="I20" s="21"/>
      <c r="J20" s="14"/>
      <c r="K20" s="14">
        <f t="shared" si="0"/>
        <v>2</v>
      </c>
      <c r="L20" s="16">
        <f t="shared" si="1"/>
        <v>8</v>
      </c>
      <c r="M20" s="22">
        <v>44743</v>
      </c>
      <c r="N20" s="44" t="s">
        <v>551</v>
      </c>
      <c r="O20" s="23" t="s">
        <v>16</v>
      </c>
      <c r="P20" s="24" t="s">
        <v>17</v>
      </c>
      <c r="Q20" s="23" t="s">
        <v>42</v>
      </c>
    </row>
    <row r="21" spans="1:17">
      <c r="A21" s="14">
        <v>17</v>
      </c>
      <c r="B21" s="15" t="s">
        <v>43</v>
      </c>
      <c r="C21" s="16">
        <f>'Медикаменты Март'!L21</f>
        <v>0</v>
      </c>
      <c r="D21" s="17"/>
      <c r="E21" s="14"/>
      <c r="F21" s="18"/>
      <c r="G21" s="19"/>
      <c r="H21" s="20"/>
      <c r="I21" s="21"/>
      <c r="J21" s="14"/>
      <c r="K21" s="14">
        <f t="shared" si="0"/>
        <v>0</v>
      </c>
      <c r="L21" s="16">
        <f t="shared" si="1"/>
        <v>0</v>
      </c>
      <c r="M21" s="22"/>
      <c r="N21" s="44"/>
      <c r="O21" s="23" t="s">
        <v>16</v>
      </c>
      <c r="P21" s="24"/>
      <c r="Q21" s="25"/>
    </row>
    <row r="22" spans="1:17">
      <c r="A22" s="14">
        <v>18</v>
      </c>
      <c r="B22" s="15" t="s">
        <v>44</v>
      </c>
      <c r="C22" s="16">
        <f>'Медикаменты Март'!L22</f>
        <v>4</v>
      </c>
      <c r="D22" s="17"/>
      <c r="E22" s="14"/>
      <c r="F22" s="18"/>
      <c r="G22" s="19"/>
      <c r="H22" s="20"/>
      <c r="I22" s="21"/>
      <c r="J22" s="14"/>
      <c r="K22" s="14">
        <f t="shared" si="0"/>
        <v>0</v>
      </c>
      <c r="L22" s="16">
        <f t="shared" si="1"/>
        <v>4</v>
      </c>
      <c r="M22" s="22">
        <v>44621</v>
      </c>
      <c r="N22" s="44" t="s">
        <v>45</v>
      </c>
      <c r="O22" s="23" t="s">
        <v>16</v>
      </c>
      <c r="P22" s="24" t="s">
        <v>45</v>
      </c>
      <c r="Q22" s="23" t="s">
        <v>46</v>
      </c>
    </row>
    <row r="23" spans="1:17">
      <c r="A23" s="14">
        <v>19</v>
      </c>
      <c r="B23" s="15" t="s">
        <v>44</v>
      </c>
      <c r="C23" s="16">
        <f>'Медикаменты Март'!L23</f>
        <v>0</v>
      </c>
      <c r="D23" s="17"/>
      <c r="E23" s="14"/>
      <c r="F23" s="18"/>
      <c r="G23" s="19"/>
      <c r="H23" s="20"/>
      <c r="I23" s="21"/>
      <c r="J23" s="14"/>
      <c r="K23" s="14">
        <f t="shared" si="0"/>
        <v>0</v>
      </c>
      <c r="L23" s="16">
        <f t="shared" si="1"/>
        <v>0</v>
      </c>
      <c r="M23" s="22">
        <v>44621</v>
      </c>
      <c r="N23" s="44"/>
      <c r="O23" s="23" t="s">
        <v>26</v>
      </c>
      <c r="P23" s="24"/>
      <c r="Q23" s="23" t="s">
        <v>46</v>
      </c>
    </row>
    <row r="24" spans="1:17">
      <c r="A24" s="14">
        <v>20</v>
      </c>
      <c r="B24" s="15" t="s">
        <v>47</v>
      </c>
      <c r="C24" s="16">
        <f>'Медикаменты Март'!L24</f>
        <v>179</v>
      </c>
      <c r="D24" s="17"/>
      <c r="E24" s="14"/>
      <c r="F24" s="18"/>
      <c r="G24" s="19">
        <f>9</f>
        <v>9</v>
      </c>
      <c r="H24" s="20"/>
      <c r="I24" s="21"/>
      <c r="J24" s="14"/>
      <c r="K24" s="14">
        <f t="shared" si="0"/>
        <v>9</v>
      </c>
      <c r="L24" s="16">
        <f t="shared" si="1"/>
        <v>170</v>
      </c>
      <c r="M24" s="22">
        <v>44348</v>
      </c>
      <c r="N24" s="44" t="s">
        <v>45</v>
      </c>
      <c r="O24" s="23" t="s">
        <v>16</v>
      </c>
      <c r="P24" s="24" t="s">
        <v>45</v>
      </c>
      <c r="Q24" s="23" t="s">
        <v>48</v>
      </c>
    </row>
    <row r="25" spans="1:17">
      <c r="A25" s="14">
        <v>21</v>
      </c>
      <c r="B25" s="15" t="s">
        <v>49</v>
      </c>
      <c r="C25" s="16">
        <f>'Медикаменты Март'!L25</f>
        <v>0</v>
      </c>
      <c r="D25" s="17"/>
      <c r="E25" s="14"/>
      <c r="F25" s="18"/>
      <c r="G25" s="19"/>
      <c r="H25" s="20"/>
      <c r="I25" s="21"/>
      <c r="J25" s="14"/>
      <c r="K25" s="14">
        <f t="shared" si="0"/>
        <v>0</v>
      </c>
      <c r="L25" s="16">
        <f t="shared" si="1"/>
        <v>0</v>
      </c>
      <c r="M25" s="22">
        <v>44652</v>
      </c>
      <c r="N25" s="44"/>
      <c r="O25" s="23" t="s">
        <v>16</v>
      </c>
      <c r="P25" s="24"/>
      <c r="Q25" s="23" t="s">
        <v>50</v>
      </c>
    </row>
    <row r="26" spans="1:17">
      <c r="A26" s="14">
        <v>22</v>
      </c>
      <c r="B26" s="15" t="s">
        <v>51</v>
      </c>
      <c r="C26" s="16">
        <f>'Медикаменты Март'!L26</f>
        <v>0</v>
      </c>
      <c r="D26" s="17"/>
      <c r="E26" s="14"/>
      <c r="F26" s="18"/>
      <c r="G26" s="19"/>
      <c r="H26" s="20"/>
      <c r="I26" s="21"/>
      <c r="J26" s="14"/>
      <c r="K26" s="14">
        <f t="shared" si="0"/>
        <v>0</v>
      </c>
      <c r="L26" s="16">
        <f t="shared" si="1"/>
        <v>0</v>
      </c>
      <c r="M26" s="22">
        <v>44317</v>
      </c>
      <c r="N26" s="44"/>
      <c r="O26" s="23" t="s">
        <v>16</v>
      </c>
      <c r="P26" s="24" t="s">
        <v>17</v>
      </c>
      <c r="Q26" s="23" t="s">
        <v>52</v>
      </c>
    </row>
    <row r="27" spans="1:17">
      <c r="A27" s="14">
        <v>23</v>
      </c>
      <c r="B27" s="15" t="s">
        <v>53</v>
      </c>
      <c r="C27" s="16">
        <f>'Медикаменты Март'!L27</f>
        <v>0</v>
      </c>
      <c r="D27" s="17"/>
      <c r="E27" s="14"/>
      <c r="F27" s="18"/>
      <c r="G27" s="19"/>
      <c r="H27" s="20"/>
      <c r="I27" s="21"/>
      <c r="J27" s="14"/>
      <c r="K27" s="14">
        <f t="shared" si="0"/>
        <v>0</v>
      </c>
      <c r="L27" s="16">
        <f t="shared" si="1"/>
        <v>0</v>
      </c>
      <c r="M27" s="22"/>
      <c r="N27" s="44"/>
      <c r="O27" s="23" t="s">
        <v>16</v>
      </c>
      <c r="P27" s="24"/>
      <c r="Q27" s="25"/>
    </row>
    <row r="28" spans="1:17">
      <c r="A28" s="14">
        <v>24</v>
      </c>
      <c r="B28" s="15" t="s">
        <v>54</v>
      </c>
      <c r="C28" s="16">
        <f>'Медикаменты Март'!L28</f>
        <v>0</v>
      </c>
      <c r="D28" s="17"/>
      <c r="E28" s="14"/>
      <c r="F28" s="18"/>
      <c r="G28" s="19"/>
      <c r="H28" s="20"/>
      <c r="I28" s="21"/>
      <c r="J28" s="14"/>
      <c r="K28" s="14">
        <f t="shared" si="0"/>
        <v>0</v>
      </c>
      <c r="L28" s="16">
        <f t="shared" si="1"/>
        <v>0</v>
      </c>
      <c r="M28" s="22"/>
      <c r="N28" s="44"/>
      <c r="O28" s="23" t="s">
        <v>16</v>
      </c>
      <c r="P28" s="24"/>
      <c r="Q28" s="25"/>
    </row>
    <row r="29" spans="1:17">
      <c r="A29" s="14">
        <v>25</v>
      </c>
      <c r="B29" s="15" t="s">
        <v>55</v>
      </c>
      <c r="C29" s="16">
        <f>'Медикаменты Март'!L29</f>
        <v>0</v>
      </c>
      <c r="D29" s="17"/>
      <c r="E29" s="14"/>
      <c r="F29" s="18"/>
      <c r="G29" s="19"/>
      <c r="H29" s="20"/>
      <c r="I29" s="21"/>
      <c r="J29" s="14"/>
      <c r="K29" s="14">
        <f t="shared" si="0"/>
        <v>0</v>
      </c>
      <c r="L29" s="16">
        <f t="shared" si="1"/>
        <v>0</v>
      </c>
      <c r="M29" s="22"/>
      <c r="N29" s="44"/>
      <c r="O29" s="23" t="s">
        <v>16</v>
      </c>
      <c r="P29" s="24"/>
      <c r="Q29" s="25"/>
    </row>
    <row r="30" spans="1:17">
      <c r="A30" s="14">
        <v>26</v>
      </c>
      <c r="B30" s="15" t="s">
        <v>56</v>
      </c>
      <c r="C30" s="16">
        <f>'Медикаменты Март'!L30</f>
        <v>0</v>
      </c>
      <c r="D30" s="17"/>
      <c r="E30" s="14"/>
      <c r="F30" s="18"/>
      <c r="G30" s="19"/>
      <c r="H30" s="20"/>
      <c r="I30" s="21"/>
      <c r="J30" s="14"/>
      <c r="K30" s="14">
        <f t="shared" si="0"/>
        <v>0</v>
      </c>
      <c r="L30" s="16">
        <f t="shared" si="1"/>
        <v>0</v>
      </c>
      <c r="M30" s="22">
        <v>44743</v>
      </c>
      <c r="N30" s="44"/>
      <c r="O30" s="23" t="s">
        <v>16</v>
      </c>
      <c r="P30" s="24"/>
      <c r="Q30" s="25"/>
    </row>
    <row r="31" spans="1:17">
      <c r="A31" s="14">
        <v>27</v>
      </c>
      <c r="B31" s="15" t="s">
        <v>57</v>
      </c>
      <c r="C31" s="16">
        <f>'Медикаменты Март'!L31</f>
        <v>0</v>
      </c>
      <c r="D31" s="17"/>
      <c r="E31" s="14"/>
      <c r="F31" s="18"/>
      <c r="G31" s="19"/>
      <c r="H31" s="20"/>
      <c r="I31" s="21"/>
      <c r="J31" s="14"/>
      <c r="K31" s="14">
        <f t="shared" si="0"/>
        <v>0</v>
      </c>
      <c r="L31" s="16">
        <f t="shared" si="1"/>
        <v>0</v>
      </c>
      <c r="M31" s="22">
        <v>44958</v>
      </c>
      <c r="N31" s="44"/>
      <c r="O31" s="23" t="s">
        <v>16</v>
      </c>
      <c r="P31" s="24"/>
      <c r="Q31" s="23" t="s">
        <v>58</v>
      </c>
    </row>
    <row r="32" spans="1:17" ht="25.5">
      <c r="A32" s="14">
        <v>28</v>
      </c>
      <c r="B32" s="15" t="s">
        <v>59</v>
      </c>
      <c r="C32" s="16">
        <f>'Медикаменты Март'!L32</f>
        <v>0</v>
      </c>
      <c r="D32" s="17"/>
      <c r="E32" s="14"/>
      <c r="F32" s="18"/>
      <c r="G32" s="19"/>
      <c r="H32" s="20"/>
      <c r="I32" s="21"/>
      <c r="J32" s="14"/>
      <c r="K32" s="14">
        <f t="shared" si="0"/>
        <v>0</v>
      </c>
      <c r="L32" s="16">
        <f t="shared" si="1"/>
        <v>0</v>
      </c>
      <c r="M32" s="22">
        <v>44044</v>
      </c>
      <c r="N32" s="44"/>
      <c r="O32" s="23" t="s">
        <v>16</v>
      </c>
      <c r="P32" s="24"/>
      <c r="Q32" s="23" t="s">
        <v>60</v>
      </c>
    </row>
    <row r="33" spans="1:17">
      <c r="A33" s="14">
        <v>29</v>
      </c>
      <c r="B33" s="15" t="s">
        <v>61</v>
      </c>
      <c r="C33" s="16">
        <f>'Медикаменты Март'!L33</f>
        <v>0</v>
      </c>
      <c r="D33" s="17"/>
      <c r="E33" s="14"/>
      <c r="F33" s="18"/>
      <c r="G33" s="19"/>
      <c r="H33" s="20"/>
      <c r="I33" s="21"/>
      <c r="J33" s="14"/>
      <c r="K33" s="14">
        <f t="shared" si="0"/>
        <v>0</v>
      </c>
      <c r="L33" s="16">
        <f t="shared" si="1"/>
        <v>0</v>
      </c>
      <c r="M33" s="22">
        <v>44713</v>
      </c>
      <c r="N33" s="44"/>
      <c r="O33" s="23" t="s">
        <v>16</v>
      </c>
      <c r="P33" s="24"/>
      <c r="Q33" s="23" t="s">
        <v>62</v>
      </c>
    </row>
    <row r="34" spans="1:17">
      <c r="A34" s="14">
        <v>30</v>
      </c>
      <c r="B34" s="15" t="s">
        <v>63</v>
      </c>
      <c r="C34" s="16">
        <f>'Медикаменты Март'!L34</f>
        <v>0</v>
      </c>
      <c r="D34" s="17"/>
      <c r="E34" s="14"/>
      <c r="F34" s="18"/>
      <c r="G34" s="19"/>
      <c r="H34" s="20"/>
      <c r="I34" s="21"/>
      <c r="J34" s="14"/>
      <c r="K34" s="14">
        <f t="shared" si="0"/>
        <v>0</v>
      </c>
      <c r="L34" s="16">
        <f t="shared" si="1"/>
        <v>0</v>
      </c>
      <c r="M34" s="22"/>
      <c r="N34" s="44"/>
      <c r="O34" s="23" t="s">
        <v>16</v>
      </c>
      <c r="P34" s="24"/>
      <c r="Q34" s="25"/>
    </row>
    <row r="35" spans="1:17">
      <c r="A35" s="14">
        <v>31</v>
      </c>
      <c r="B35" s="15" t="s">
        <v>64</v>
      </c>
      <c r="C35" s="16">
        <f>'Медикаменты Март'!L35</f>
        <v>0</v>
      </c>
      <c r="D35" s="17"/>
      <c r="E35" s="14"/>
      <c r="F35" s="18"/>
      <c r="G35" s="19"/>
      <c r="H35" s="20"/>
      <c r="I35" s="21"/>
      <c r="J35" s="14"/>
      <c r="K35" s="14">
        <f t="shared" si="0"/>
        <v>0</v>
      </c>
      <c r="L35" s="16">
        <f t="shared" si="1"/>
        <v>0</v>
      </c>
      <c r="M35" s="22"/>
      <c r="N35" s="44"/>
      <c r="O35" s="23" t="s">
        <v>16</v>
      </c>
      <c r="P35" s="24"/>
      <c r="Q35" s="25"/>
    </row>
    <row r="36" spans="1:17">
      <c r="A36" s="14">
        <v>32</v>
      </c>
      <c r="B36" s="15" t="s">
        <v>65</v>
      </c>
      <c r="C36" s="16">
        <f>'Медикаменты Март'!L36</f>
        <v>86</v>
      </c>
      <c r="D36" s="17"/>
      <c r="E36" s="14"/>
      <c r="F36" s="18"/>
      <c r="G36" s="19"/>
      <c r="H36" s="20"/>
      <c r="I36" s="21"/>
      <c r="J36" s="14"/>
      <c r="K36" s="14">
        <f t="shared" si="0"/>
        <v>0</v>
      </c>
      <c r="L36" s="16">
        <f t="shared" si="1"/>
        <v>86</v>
      </c>
      <c r="M36" s="22">
        <v>45261</v>
      </c>
      <c r="N36" s="44" t="s">
        <v>45</v>
      </c>
      <c r="O36" s="23" t="s">
        <v>16</v>
      </c>
      <c r="P36" s="24" t="s">
        <v>17</v>
      </c>
      <c r="Q36" s="23" t="s">
        <v>66</v>
      </c>
    </row>
    <row r="37" spans="1:17">
      <c r="A37" s="14">
        <v>33</v>
      </c>
      <c r="B37" s="15" t="s">
        <v>67</v>
      </c>
      <c r="C37" s="16">
        <f>'Медикаменты Март'!L37</f>
        <v>0</v>
      </c>
      <c r="D37" s="17"/>
      <c r="E37" s="14"/>
      <c r="F37" s="18"/>
      <c r="G37" s="19"/>
      <c r="H37" s="20"/>
      <c r="I37" s="21"/>
      <c r="J37" s="14"/>
      <c r="K37" s="14">
        <f t="shared" si="0"/>
        <v>0</v>
      </c>
      <c r="L37" s="16">
        <f t="shared" si="1"/>
        <v>0</v>
      </c>
      <c r="M37" s="22">
        <v>44013</v>
      </c>
      <c r="N37" s="44"/>
      <c r="O37" s="23" t="s">
        <v>16</v>
      </c>
      <c r="P37" s="24"/>
      <c r="Q37" s="27" t="s">
        <v>68</v>
      </c>
    </row>
    <row r="38" spans="1:17">
      <c r="A38" s="14">
        <v>34</v>
      </c>
      <c r="B38" s="15" t="s">
        <v>69</v>
      </c>
      <c r="C38" s="16">
        <f>'Медикаменты Март'!L38</f>
        <v>24</v>
      </c>
      <c r="D38" s="17"/>
      <c r="E38" s="14"/>
      <c r="F38" s="18">
        <f>5</f>
        <v>5</v>
      </c>
      <c r="G38" s="19"/>
      <c r="H38" s="20">
        <f>10</f>
        <v>10</v>
      </c>
      <c r="I38" s="21"/>
      <c r="J38" s="14"/>
      <c r="K38" s="14">
        <f t="shared" si="0"/>
        <v>15</v>
      </c>
      <c r="L38" s="16">
        <f t="shared" si="1"/>
        <v>9</v>
      </c>
      <c r="M38" s="22">
        <v>45383</v>
      </c>
      <c r="N38" s="44" t="s">
        <v>45</v>
      </c>
      <c r="O38" s="23" t="s">
        <v>16</v>
      </c>
      <c r="P38" s="24" t="s">
        <v>17</v>
      </c>
      <c r="Q38" s="23" t="s">
        <v>70</v>
      </c>
    </row>
    <row r="39" spans="1:17">
      <c r="A39" s="14">
        <v>35</v>
      </c>
      <c r="B39" s="15" t="s">
        <v>71</v>
      </c>
      <c r="C39" s="16">
        <f>'Медикаменты Март'!L39</f>
        <v>0</v>
      </c>
      <c r="D39" s="17"/>
      <c r="E39" s="14"/>
      <c r="F39" s="18"/>
      <c r="G39" s="19"/>
      <c r="H39" s="20"/>
      <c r="I39" s="21"/>
      <c r="J39" s="14"/>
      <c r="K39" s="14">
        <f t="shared" si="0"/>
        <v>0</v>
      </c>
      <c r="L39" s="16">
        <f t="shared" si="1"/>
        <v>0</v>
      </c>
      <c r="M39" s="22"/>
      <c r="N39" s="44"/>
      <c r="O39" s="23" t="s">
        <v>16</v>
      </c>
      <c r="P39" s="24"/>
      <c r="Q39" s="25"/>
    </row>
    <row r="40" spans="1:17">
      <c r="A40" s="14">
        <v>36</v>
      </c>
      <c r="B40" s="15" t="s">
        <v>72</v>
      </c>
      <c r="C40" s="16">
        <f>'Медикаменты Март'!L40</f>
        <v>15</v>
      </c>
      <c r="D40" s="17"/>
      <c r="E40" s="14"/>
      <c r="F40" s="18"/>
      <c r="G40" s="19"/>
      <c r="H40" s="20"/>
      <c r="I40" s="21"/>
      <c r="J40" s="14"/>
      <c r="K40" s="14">
        <f t="shared" si="0"/>
        <v>0</v>
      </c>
      <c r="L40" s="16">
        <f t="shared" si="1"/>
        <v>15</v>
      </c>
      <c r="M40" s="22">
        <v>44652</v>
      </c>
      <c r="N40" s="44" t="s">
        <v>45</v>
      </c>
      <c r="O40" s="23" t="s">
        <v>16</v>
      </c>
      <c r="P40" s="24" t="s">
        <v>17</v>
      </c>
      <c r="Q40" s="23" t="s">
        <v>73</v>
      </c>
    </row>
    <row r="41" spans="1:17">
      <c r="A41" s="14">
        <v>37</v>
      </c>
      <c r="B41" s="15" t="s">
        <v>74</v>
      </c>
      <c r="C41" s="16">
        <f>'Медикаменты Март'!L41</f>
        <v>4</v>
      </c>
      <c r="D41" s="17"/>
      <c r="E41" s="14"/>
      <c r="F41" s="18">
        <f>4</f>
        <v>4</v>
      </c>
      <c r="G41" s="19"/>
      <c r="H41" s="20"/>
      <c r="I41" s="21"/>
      <c r="J41" s="14"/>
      <c r="K41" s="14">
        <f t="shared" si="0"/>
        <v>4</v>
      </c>
      <c r="L41" s="16">
        <f t="shared" si="1"/>
        <v>0</v>
      </c>
      <c r="M41" s="22">
        <v>45108</v>
      </c>
      <c r="N41" s="44" t="s">
        <v>45</v>
      </c>
      <c r="O41" s="23" t="s">
        <v>16</v>
      </c>
      <c r="P41" s="24" t="s">
        <v>17</v>
      </c>
      <c r="Q41" s="23" t="s">
        <v>75</v>
      </c>
    </row>
    <row r="42" spans="1:17">
      <c r="A42" s="14">
        <v>38</v>
      </c>
      <c r="B42" s="15" t="s">
        <v>76</v>
      </c>
      <c r="C42" s="16">
        <f>'Медикаменты Март'!L42</f>
        <v>0</v>
      </c>
      <c r="D42" s="17"/>
      <c r="E42" s="14"/>
      <c r="F42" s="18"/>
      <c r="G42" s="19"/>
      <c r="H42" s="20"/>
      <c r="I42" s="21"/>
      <c r="J42" s="14"/>
      <c r="K42" s="14">
        <f t="shared" si="0"/>
        <v>0</v>
      </c>
      <c r="L42" s="16">
        <f t="shared" si="1"/>
        <v>0</v>
      </c>
      <c r="M42" s="22"/>
      <c r="N42" s="44"/>
      <c r="O42" s="23" t="s">
        <v>16</v>
      </c>
      <c r="P42" s="24"/>
      <c r="Q42" s="25"/>
    </row>
    <row r="43" spans="1:17">
      <c r="A43" s="14">
        <v>39</v>
      </c>
      <c r="B43" s="15" t="s">
        <v>77</v>
      </c>
      <c r="C43" s="16">
        <f>'Медикаменты Март'!L43</f>
        <v>0</v>
      </c>
      <c r="D43" s="17"/>
      <c r="E43" s="14"/>
      <c r="F43" s="18"/>
      <c r="G43" s="19"/>
      <c r="H43" s="20"/>
      <c r="I43" s="21"/>
      <c r="J43" s="14"/>
      <c r="K43" s="14">
        <f t="shared" si="0"/>
        <v>0</v>
      </c>
      <c r="L43" s="16">
        <f t="shared" si="1"/>
        <v>0</v>
      </c>
      <c r="M43" s="22"/>
      <c r="N43" s="44"/>
      <c r="O43" s="23" t="s">
        <v>16</v>
      </c>
      <c r="P43" s="24"/>
      <c r="Q43" s="25"/>
    </row>
    <row r="44" spans="1:17">
      <c r="A44" s="14">
        <v>40</v>
      </c>
      <c r="B44" s="15" t="s">
        <v>78</v>
      </c>
      <c r="C44" s="16">
        <f>'Медикаменты Март'!L44</f>
        <v>0</v>
      </c>
      <c r="D44" s="17"/>
      <c r="E44" s="14"/>
      <c r="F44" s="18"/>
      <c r="G44" s="19"/>
      <c r="H44" s="20"/>
      <c r="I44" s="21"/>
      <c r="J44" s="14"/>
      <c r="K44" s="14">
        <f t="shared" si="0"/>
        <v>0</v>
      </c>
      <c r="L44" s="16">
        <f t="shared" si="1"/>
        <v>0</v>
      </c>
      <c r="M44" s="22">
        <v>44136</v>
      </c>
      <c r="N44" s="44"/>
      <c r="O44" s="23" t="s">
        <v>16</v>
      </c>
      <c r="P44" s="24"/>
      <c r="Q44" s="23" t="s">
        <v>79</v>
      </c>
    </row>
    <row r="45" spans="1:17">
      <c r="A45" s="14">
        <v>41</v>
      </c>
      <c r="B45" s="15" t="s">
        <v>80</v>
      </c>
      <c r="C45" s="16">
        <f>'Медикаменты Март'!L45</f>
        <v>0</v>
      </c>
      <c r="D45" s="17"/>
      <c r="E45" s="14"/>
      <c r="F45" s="18"/>
      <c r="G45" s="19"/>
      <c r="H45" s="20"/>
      <c r="I45" s="21"/>
      <c r="J45" s="14"/>
      <c r="K45" s="14">
        <f t="shared" si="0"/>
        <v>0</v>
      </c>
      <c r="L45" s="16">
        <f t="shared" si="1"/>
        <v>0</v>
      </c>
      <c r="M45" s="22">
        <v>44317</v>
      </c>
      <c r="N45" s="44"/>
      <c r="O45" s="23" t="s">
        <v>16</v>
      </c>
      <c r="P45" s="24" t="s">
        <v>17</v>
      </c>
      <c r="Q45" s="23" t="s">
        <v>81</v>
      </c>
    </row>
    <row r="46" spans="1:17">
      <c r="A46" s="14">
        <v>42</v>
      </c>
      <c r="B46" s="15" t="s">
        <v>82</v>
      </c>
      <c r="C46" s="16">
        <f>'Медикаменты Март'!L46</f>
        <v>0</v>
      </c>
      <c r="D46" s="17"/>
      <c r="E46" s="14"/>
      <c r="F46" s="18"/>
      <c r="G46" s="19"/>
      <c r="H46" s="20"/>
      <c r="I46" s="21"/>
      <c r="J46" s="14"/>
      <c r="K46" s="14">
        <f t="shared" si="0"/>
        <v>0</v>
      </c>
      <c r="L46" s="16">
        <f t="shared" si="1"/>
        <v>0</v>
      </c>
      <c r="M46" s="22"/>
      <c r="N46" s="44"/>
      <c r="O46" s="23" t="s">
        <v>16</v>
      </c>
      <c r="P46" s="24"/>
      <c r="Q46" s="25"/>
    </row>
    <row r="47" spans="1:17">
      <c r="A47" s="14">
        <v>43</v>
      </c>
      <c r="B47" s="15" t="s">
        <v>83</v>
      </c>
      <c r="C47" s="16">
        <f>'Медикаменты Март'!L47</f>
        <v>21</v>
      </c>
      <c r="D47" s="17"/>
      <c r="E47" s="14"/>
      <c r="F47" s="18">
        <f>3+18</f>
        <v>21</v>
      </c>
      <c r="G47" s="19"/>
      <c r="H47" s="20"/>
      <c r="I47" s="21"/>
      <c r="J47" s="14"/>
      <c r="K47" s="14">
        <f t="shared" si="0"/>
        <v>21</v>
      </c>
      <c r="L47" s="16">
        <f t="shared" si="1"/>
        <v>0</v>
      </c>
      <c r="M47" s="22">
        <v>44317</v>
      </c>
      <c r="N47" s="44" t="s">
        <v>45</v>
      </c>
      <c r="O47" s="23" t="s">
        <v>16</v>
      </c>
      <c r="P47" s="24" t="s">
        <v>17</v>
      </c>
      <c r="Q47" s="23" t="s">
        <v>84</v>
      </c>
    </row>
    <row r="48" spans="1:17">
      <c r="A48" s="14">
        <v>44</v>
      </c>
      <c r="B48" s="15" t="s">
        <v>85</v>
      </c>
      <c r="C48" s="16">
        <f>'Медикаменты Март'!L48</f>
        <v>84</v>
      </c>
      <c r="D48" s="17"/>
      <c r="E48" s="14"/>
      <c r="F48" s="18">
        <f>5+10</f>
        <v>15</v>
      </c>
      <c r="G48" s="19"/>
      <c r="H48" s="20"/>
      <c r="I48" s="21"/>
      <c r="J48" s="14"/>
      <c r="K48" s="14">
        <f t="shared" si="0"/>
        <v>15</v>
      </c>
      <c r="L48" s="16">
        <f t="shared" si="1"/>
        <v>69</v>
      </c>
      <c r="M48" s="22">
        <v>44409</v>
      </c>
      <c r="N48" s="44" t="s">
        <v>45</v>
      </c>
      <c r="O48" s="23" t="s">
        <v>16</v>
      </c>
      <c r="P48" s="24" t="s">
        <v>17</v>
      </c>
      <c r="Q48" s="23" t="s">
        <v>86</v>
      </c>
    </row>
    <row r="49" spans="1:17">
      <c r="A49" s="14">
        <v>45</v>
      </c>
      <c r="B49" s="15" t="s">
        <v>87</v>
      </c>
      <c r="C49" s="16">
        <f>'Медикаменты Март'!L49</f>
        <v>0</v>
      </c>
      <c r="D49" s="17"/>
      <c r="E49" s="14"/>
      <c r="F49" s="18"/>
      <c r="G49" s="19"/>
      <c r="H49" s="20"/>
      <c r="I49" s="21"/>
      <c r="J49" s="14"/>
      <c r="K49" s="14">
        <f t="shared" si="0"/>
        <v>0</v>
      </c>
      <c r="L49" s="16">
        <f t="shared" si="1"/>
        <v>0</v>
      </c>
      <c r="M49" s="22">
        <v>44136</v>
      </c>
      <c r="N49" s="44"/>
      <c r="O49" s="23" t="s">
        <v>16</v>
      </c>
      <c r="P49" s="24"/>
      <c r="Q49" s="23" t="s">
        <v>88</v>
      </c>
    </row>
    <row r="50" spans="1:17">
      <c r="A50" s="14">
        <v>46</v>
      </c>
      <c r="B50" s="15" t="s">
        <v>89</v>
      </c>
      <c r="C50" s="16">
        <f>'Медикаменты Март'!L50</f>
        <v>0</v>
      </c>
      <c r="D50" s="17"/>
      <c r="E50" s="14"/>
      <c r="F50" s="18"/>
      <c r="G50" s="19"/>
      <c r="H50" s="20"/>
      <c r="I50" s="21"/>
      <c r="J50" s="14"/>
      <c r="K50" s="14">
        <f t="shared" si="0"/>
        <v>0</v>
      </c>
      <c r="L50" s="16">
        <f t="shared" si="1"/>
        <v>0</v>
      </c>
      <c r="M50" s="22">
        <v>44256</v>
      </c>
      <c r="N50" s="44"/>
      <c r="O50" s="23" t="s">
        <v>16</v>
      </c>
      <c r="P50" s="24" t="s">
        <v>17</v>
      </c>
      <c r="Q50" s="23" t="s">
        <v>90</v>
      </c>
    </row>
    <row r="51" spans="1:17">
      <c r="A51" s="14">
        <v>47</v>
      </c>
      <c r="B51" s="15" t="s">
        <v>91</v>
      </c>
      <c r="C51" s="16">
        <f>'Медикаменты Март'!L51</f>
        <v>69</v>
      </c>
      <c r="D51" s="17"/>
      <c r="E51" s="14"/>
      <c r="F51" s="18">
        <f>30</f>
        <v>30</v>
      </c>
      <c r="G51" s="19"/>
      <c r="H51" s="20"/>
      <c r="I51" s="21"/>
      <c r="J51" s="14"/>
      <c r="K51" s="14">
        <f t="shared" si="0"/>
        <v>30</v>
      </c>
      <c r="L51" s="16">
        <f t="shared" si="1"/>
        <v>39</v>
      </c>
      <c r="M51" s="22">
        <v>44317</v>
      </c>
      <c r="N51" s="44" t="s">
        <v>45</v>
      </c>
      <c r="O51" s="23" t="s">
        <v>16</v>
      </c>
      <c r="P51" s="24" t="s">
        <v>17</v>
      </c>
      <c r="Q51" s="23" t="s">
        <v>92</v>
      </c>
    </row>
    <row r="52" spans="1:17">
      <c r="A52" s="14">
        <v>48</v>
      </c>
      <c r="B52" s="15" t="s">
        <v>93</v>
      </c>
      <c r="C52" s="16">
        <f>'Медикаменты Март'!L52</f>
        <v>0</v>
      </c>
      <c r="D52" s="17"/>
      <c r="E52" s="14"/>
      <c r="F52" s="18"/>
      <c r="G52" s="19"/>
      <c r="H52" s="20"/>
      <c r="I52" s="21"/>
      <c r="J52" s="14"/>
      <c r="K52" s="14">
        <f t="shared" si="0"/>
        <v>0</v>
      </c>
      <c r="L52" s="16">
        <f t="shared" si="1"/>
        <v>0</v>
      </c>
      <c r="M52" s="22">
        <v>44013</v>
      </c>
      <c r="N52" s="44"/>
      <c r="O52" s="23" t="s">
        <v>16</v>
      </c>
      <c r="P52" s="24"/>
      <c r="Q52" s="23" t="s">
        <v>94</v>
      </c>
    </row>
    <row r="53" spans="1:17">
      <c r="A53" s="14">
        <v>49</v>
      </c>
      <c r="B53" s="15" t="s">
        <v>95</v>
      </c>
      <c r="C53" s="16">
        <f>'Медикаменты Март'!L53</f>
        <v>34</v>
      </c>
      <c r="D53" s="17"/>
      <c r="E53" s="14"/>
      <c r="F53" s="18"/>
      <c r="G53" s="19"/>
      <c r="H53" s="20"/>
      <c r="I53" s="21"/>
      <c r="J53" s="14"/>
      <c r="K53" s="14">
        <f t="shared" si="0"/>
        <v>0</v>
      </c>
      <c r="L53" s="16">
        <f t="shared" si="1"/>
        <v>34</v>
      </c>
      <c r="M53" s="22">
        <v>44986</v>
      </c>
      <c r="N53" s="44" t="s">
        <v>45</v>
      </c>
      <c r="O53" s="23" t="s">
        <v>16</v>
      </c>
      <c r="P53" s="24" t="s">
        <v>45</v>
      </c>
      <c r="Q53" s="23" t="s">
        <v>96</v>
      </c>
    </row>
    <row r="54" spans="1:17">
      <c r="A54" s="14">
        <v>50</v>
      </c>
      <c r="B54" s="15" t="s">
        <v>97</v>
      </c>
      <c r="C54" s="16">
        <f>'Медикаменты Март'!L54</f>
        <v>0</v>
      </c>
      <c r="D54" s="17"/>
      <c r="E54" s="14"/>
      <c r="F54" s="18"/>
      <c r="G54" s="19"/>
      <c r="H54" s="20"/>
      <c r="I54" s="21"/>
      <c r="J54" s="14"/>
      <c r="K54" s="14">
        <f t="shared" si="0"/>
        <v>0</v>
      </c>
      <c r="L54" s="16">
        <f t="shared" si="1"/>
        <v>0</v>
      </c>
      <c r="M54" s="22">
        <v>44866</v>
      </c>
      <c r="N54" s="44"/>
      <c r="O54" s="23" t="s">
        <v>16</v>
      </c>
      <c r="P54" s="24"/>
      <c r="Q54" s="23" t="s">
        <v>98</v>
      </c>
    </row>
    <row r="55" spans="1:17">
      <c r="A55" s="14">
        <v>51</v>
      </c>
      <c r="B55" s="15" t="s">
        <v>99</v>
      </c>
      <c r="C55" s="16">
        <f>'Медикаменты Март'!L55</f>
        <v>0</v>
      </c>
      <c r="D55" s="17"/>
      <c r="E55" s="14"/>
      <c r="F55" s="18"/>
      <c r="G55" s="19"/>
      <c r="H55" s="20"/>
      <c r="I55" s="21"/>
      <c r="J55" s="14"/>
      <c r="K55" s="14">
        <f t="shared" si="0"/>
        <v>0</v>
      </c>
      <c r="L55" s="16">
        <f t="shared" si="1"/>
        <v>0</v>
      </c>
      <c r="M55" s="22"/>
      <c r="N55" s="44"/>
      <c r="O55" s="23" t="s">
        <v>16</v>
      </c>
      <c r="P55" s="24"/>
      <c r="Q55" s="25"/>
    </row>
    <row r="56" spans="1:17">
      <c r="A56" s="14">
        <v>52</v>
      </c>
      <c r="B56" s="15" t="s">
        <v>100</v>
      </c>
      <c r="C56" s="16">
        <f>'Медикаменты Март'!L56</f>
        <v>0</v>
      </c>
      <c r="D56" s="17"/>
      <c r="E56" s="14"/>
      <c r="F56" s="18"/>
      <c r="G56" s="19"/>
      <c r="H56" s="20"/>
      <c r="I56" s="21"/>
      <c r="J56" s="14"/>
      <c r="K56" s="14">
        <f t="shared" si="0"/>
        <v>0</v>
      </c>
      <c r="L56" s="16">
        <f t="shared" si="1"/>
        <v>0</v>
      </c>
      <c r="M56" s="22"/>
      <c r="N56" s="44"/>
      <c r="O56" s="23" t="s">
        <v>26</v>
      </c>
      <c r="P56" s="24" t="s">
        <v>17</v>
      </c>
      <c r="Q56" s="23" t="s">
        <v>101</v>
      </c>
    </row>
    <row r="57" spans="1:17">
      <c r="A57" s="14">
        <v>53</v>
      </c>
      <c r="B57" s="15" t="s">
        <v>102</v>
      </c>
      <c r="C57" s="16">
        <f>'Медикаменты Март'!L57</f>
        <v>32</v>
      </c>
      <c r="D57" s="17"/>
      <c r="E57" s="14"/>
      <c r="F57" s="18"/>
      <c r="G57" s="19"/>
      <c r="H57" s="20"/>
      <c r="I57" s="21"/>
      <c r="J57" s="14"/>
      <c r="K57" s="14">
        <f t="shared" si="0"/>
        <v>0</v>
      </c>
      <c r="L57" s="16">
        <f t="shared" si="1"/>
        <v>32</v>
      </c>
      <c r="M57" s="22">
        <v>44866</v>
      </c>
      <c r="N57" s="44" t="s">
        <v>45</v>
      </c>
      <c r="O57" s="23" t="s">
        <v>16</v>
      </c>
      <c r="P57" s="24" t="s">
        <v>45</v>
      </c>
      <c r="Q57" s="23" t="s">
        <v>103</v>
      </c>
    </row>
    <row r="58" spans="1:17">
      <c r="A58" s="14">
        <v>54</v>
      </c>
      <c r="B58" s="15" t="s">
        <v>102</v>
      </c>
      <c r="C58" s="16">
        <f>'Медикаменты Март'!L58</f>
        <v>0</v>
      </c>
      <c r="D58" s="17"/>
      <c r="E58" s="14"/>
      <c r="F58" s="18"/>
      <c r="G58" s="19"/>
      <c r="H58" s="20"/>
      <c r="I58" s="21"/>
      <c r="J58" s="14"/>
      <c r="K58" s="14">
        <f t="shared" si="0"/>
        <v>0</v>
      </c>
      <c r="L58" s="16">
        <f t="shared" si="1"/>
        <v>0</v>
      </c>
      <c r="M58" s="22">
        <v>44866</v>
      </c>
      <c r="N58" s="44"/>
      <c r="O58" s="23" t="s">
        <v>26</v>
      </c>
      <c r="P58" s="24"/>
      <c r="Q58" s="23" t="s">
        <v>103</v>
      </c>
    </row>
    <row r="59" spans="1:17">
      <c r="A59" s="14">
        <v>55</v>
      </c>
      <c r="B59" s="15" t="s">
        <v>104</v>
      </c>
      <c r="C59" s="16">
        <f>'Медикаменты Март'!L59</f>
        <v>0</v>
      </c>
      <c r="D59" s="17"/>
      <c r="E59" s="14"/>
      <c r="F59" s="18"/>
      <c r="G59" s="19"/>
      <c r="H59" s="20"/>
      <c r="I59" s="21"/>
      <c r="J59" s="14"/>
      <c r="K59" s="14">
        <f t="shared" si="0"/>
        <v>0</v>
      </c>
      <c r="L59" s="16">
        <f t="shared" si="1"/>
        <v>0</v>
      </c>
      <c r="M59" s="22"/>
      <c r="N59" s="44"/>
      <c r="O59" s="23" t="s">
        <v>16</v>
      </c>
      <c r="P59" s="24"/>
      <c r="Q59" s="25"/>
    </row>
    <row r="60" spans="1:17">
      <c r="A60" s="14">
        <v>56</v>
      </c>
      <c r="B60" s="15" t="s">
        <v>104</v>
      </c>
      <c r="C60" s="16">
        <f>'Медикаменты Март'!L60</f>
        <v>0</v>
      </c>
      <c r="D60" s="17"/>
      <c r="E60" s="14"/>
      <c r="F60" s="18"/>
      <c r="G60" s="19"/>
      <c r="H60" s="20"/>
      <c r="I60" s="21"/>
      <c r="J60" s="14"/>
      <c r="K60" s="14">
        <f t="shared" si="0"/>
        <v>0</v>
      </c>
      <c r="L60" s="16">
        <f t="shared" si="1"/>
        <v>0</v>
      </c>
      <c r="M60" s="22"/>
      <c r="N60" s="44"/>
      <c r="O60" s="23" t="s">
        <v>26</v>
      </c>
      <c r="P60" s="24"/>
      <c r="Q60" s="25"/>
    </row>
    <row r="61" spans="1:17">
      <c r="A61" s="14">
        <v>57</v>
      </c>
      <c r="B61" s="15" t="s">
        <v>105</v>
      </c>
      <c r="C61" s="16">
        <f>'Медикаменты Март'!L61</f>
        <v>0</v>
      </c>
      <c r="D61" s="17"/>
      <c r="E61" s="14"/>
      <c r="F61" s="18"/>
      <c r="G61" s="19"/>
      <c r="H61" s="20"/>
      <c r="I61" s="21"/>
      <c r="J61" s="14"/>
      <c r="K61" s="14">
        <f t="shared" si="0"/>
        <v>0</v>
      </c>
      <c r="L61" s="16">
        <f t="shared" si="1"/>
        <v>0</v>
      </c>
      <c r="M61" s="22"/>
      <c r="N61" s="44"/>
      <c r="O61" s="23" t="s">
        <v>16</v>
      </c>
      <c r="P61" s="24"/>
      <c r="Q61" s="23" t="s">
        <v>106</v>
      </c>
    </row>
    <row r="62" spans="1:17">
      <c r="A62" s="14">
        <v>58</v>
      </c>
      <c r="B62" s="15" t="s">
        <v>105</v>
      </c>
      <c r="C62" s="16">
        <f>'Медикаменты Март'!L62</f>
        <v>25</v>
      </c>
      <c r="D62" s="17"/>
      <c r="E62" s="14"/>
      <c r="F62" s="18">
        <f>5</f>
        <v>5</v>
      </c>
      <c r="G62" s="19"/>
      <c r="H62" s="20"/>
      <c r="I62" s="21"/>
      <c r="J62" s="14"/>
      <c r="K62" s="14">
        <f t="shared" si="0"/>
        <v>5</v>
      </c>
      <c r="L62" s="16">
        <f t="shared" si="1"/>
        <v>20</v>
      </c>
      <c r="M62" s="22">
        <v>44531</v>
      </c>
      <c r="N62" s="44" t="s">
        <v>45</v>
      </c>
      <c r="O62" s="23" t="s">
        <v>16</v>
      </c>
      <c r="P62" s="24" t="s">
        <v>17</v>
      </c>
      <c r="Q62" s="23" t="s">
        <v>106</v>
      </c>
    </row>
    <row r="63" spans="1:17">
      <c r="A63" s="14">
        <v>59</v>
      </c>
      <c r="B63" s="15" t="s">
        <v>107</v>
      </c>
      <c r="C63" s="16">
        <f>'Медикаменты Март'!L63</f>
        <v>2</v>
      </c>
      <c r="D63" s="17"/>
      <c r="E63" s="14"/>
      <c r="F63" s="18">
        <f>2</f>
        <v>2</v>
      </c>
      <c r="G63" s="19"/>
      <c r="H63" s="20"/>
      <c r="I63" s="21"/>
      <c r="J63" s="14"/>
      <c r="K63" s="14">
        <f t="shared" si="0"/>
        <v>2</v>
      </c>
      <c r="L63" s="16">
        <f t="shared" si="1"/>
        <v>0</v>
      </c>
      <c r="M63" s="22">
        <v>44501</v>
      </c>
      <c r="N63" s="44" t="s">
        <v>45</v>
      </c>
      <c r="O63" s="23" t="s">
        <v>16</v>
      </c>
      <c r="P63" s="24" t="s">
        <v>17</v>
      </c>
      <c r="Q63" s="23" t="s">
        <v>108</v>
      </c>
    </row>
    <row r="64" spans="1:17">
      <c r="A64" s="14">
        <v>60</v>
      </c>
      <c r="B64" s="15" t="s">
        <v>109</v>
      </c>
      <c r="C64" s="16">
        <f>'Медикаменты Март'!L64</f>
        <v>0</v>
      </c>
      <c r="D64" s="17"/>
      <c r="E64" s="14"/>
      <c r="F64" s="18"/>
      <c r="G64" s="19"/>
      <c r="H64" s="20"/>
      <c r="I64" s="21"/>
      <c r="J64" s="14"/>
      <c r="K64" s="14">
        <f t="shared" si="0"/>
        <v>0</v>
      </c>
      <c r="L64" s="16">
        <f t="shared" si="1"/>
        <v>0</v>
      </c>
      <c r="M64" s="22"/>
      <c r="N64" s="44"/>
      <c r="O64" s="23" t="s">
        <v>16</v>
      </c>
      <c r="P64" s="24"/>
      <c r="Q64" s="25"/>
    </row>
    <row r="65" spans="1:17">
      <c r="A65" s="14">
        <v>61</v>
      </c>
      <c r="B65" s="15" t="s">
        <v>110</v>
      </c>
      <c r="C65" s="16">
        <f>'Медикаменты Март'!L65</f>
        <v>0</v>
      </c>
      <c r="D65" s="17"/>
      <c r="E65" s="14"/>
      <c r="F65" s="18"/>
      <c r="G65" s="19"/>
      <c r="H65" s="20"/>
      <c r="I65" s="21"/>
      <c r="J65" s="14"/>
      <c r="K65" s="14">
        <f t="shared" si="0"/>
        <v>0</v>
      </c>
      <c r="L65" s="16">
        <f t="shared" si="1"/>
        <v>0</v>
      </c>
      <c r="M65" s="22">
        <v>44682</v>
      </c>
      <c r="N65" s="44"/>
      <c r="O65" s="23" t="s">
        <v>16</v>
      </c>
      <c r="P65" s="24"/>
      <c r="Q65" s="25"/>
    </row>
    <row r="66" spans="1:17">
      <c r="A66" s="14">
        <v>62</v>
      </c>
      <c r="B66" s="15" t="s">
        <v>111</v>
      </c>
      <c r="C66" s="16">
        <f>'Медикаменты Март'!L66</f>
        <v>180</v>
      </c>
      <c r="D66" s="17"/>
      <c r="E66" s="14"/>
      <c r="F66" s="18">
        <f>10+10+5+5</f>
        <v>30</v>
      </c>
      <c r="G66" s="19"/>
      <c r="H66" s="20">
        <f>10</f>
        <v>10</v>
      </c>
      <c r="I66" s="21"/>
      <c r="J66" s="14"/>
      <c r="K66" s="14">
        <f t="shared" si="0"/>
        <v>40</v>
      </c>
      <c r="L66" s="16">
        <f t="shared" si="1"/>
        <v>140</v>
      </c>
      <c r="M66" s="22">
        <v>44958</v>
      </c>
      <c r="N66" s="44" t="s">
        <v>45</v>
      </c>
      <c r="O66" s="23" t="s">
        <v>16</v>
      </c>
      <c r="P66" s="24" t="s">
        <v>17</v>
      </c>
      <c r="Q66" s="23" t="s">
        <v>112</v>
      </c>
    </row>
    <row r="67" spans="1:17">
      <c r="A67" s="14">
        <v>63</v>
      </c>
      <c r="B67" s="15" t="s">
        <v>111</v>
      </c>
      <c r="C67" s="16">
        <f>'Медикаменты Март'!L67</f>
        <v>0</v>
      </c>
      <c r="D67" s="17"/>
      <c r="E67" s="14"/>
      <c r="F67" s="18"/>
      <c r="G67" s="19"/>
      <c r="H67" s="20"/>
      <c r="I67" s="21"/>
      <c r="J67" s="14"/>
      <c r="K67" s="14">
        <f t="shared" si="0"/>
        <v>0</v>
      </c>
      <c r="L67" s="16">
        <f t="shared" si="1"/>
        <v>0</v>
      </c>
      <c r="M67" s="22">
        <v>44958</v>
      </c>
      <c r="N67" s="44"/>
      <c r="O67" s="23" t="s">
        <v>26</v>
      </c>
      <c r="P67" s="24"/>
      <c r="Q67" s="25"/>
    </row>
    <row r="68" spans="1:17">
      <c r="A68" s="14">
        <v>64</v>
      </c>
      <c r="B68" s="15" t="s">
        <v>113</v>
      </c>
      <c r="C68" s="16">
        <f>'Медикаменты Март'!L68</f>
        <v>90</v>
      </c>
      <c r="D68" s="17"/>
      <c r="E68" s="14"/>
      <c r="F68" s="18"/>
      <c r="G68" s="19"/>
      <c r="H68" s="20">
        <f>5</f>
        <v>5</v>
      </c>
      <c r="I68" s="21"/>
      <c r="J68" s="14"/>
      <c r="K68" s="14">
        <f t="shared" si="0"/>
        <v>5</v>
      </c>
      <c r="L68" s="16">
        <f t="shared" si="1"/>
        <v>85</v>
      </c>
      <c r="M68" s="22">
        <v>44986</v>
      </c>
      <c r="N68" s="44" t="s">
        <v>45</v>
      </c>
      <c r="O68" s="23" t="s">
        <v>16</v>
      </c>
      <c r="P68" s="24" t="s">
        <v>17</v>
      </c>
      <c r="Q68" s="23" t="s">
        <v>114</v>
      </c>
    </row>
    <row r="69" spans="1:17">
      <c r="A69" s="14">
        <v>65</v>
      </c>
      <c r="B69" s="15" t="s">
        <v>113</v>
      </c>
      <c r="C69" s="16">
        <f>'Медикаменты Март'!L69</f>
        <v>0</v>
      </c>
      <c r="D69" s="17"/>
      <c r="E69" s="14"/>
      <c r="F69" s="18"/>
      <c r="G69" s="19"/>
      <c r="H69" s="20"/>
      <c r="I69" s="21"/>
      <c r="J69" s="14"/>
      <c r="K69" s="14">
        <f t="shared" ref="K69:K132" si="2">SUM(F69:J69)</f>
        <v>0</v>
      </c>
      <c r="L69" s="16">
        <f t="shared" ref="L69:L132" si="3">(C69+E69)-K69</f>
        <v>0</v>
      </c>
      <c r="M69" s="22">
        <v>44986</v>
      </c>
      <c r="N69" s="44"/>
      <c r="O69" s="23" t="s">
        <v>26</v>
      </c>
      <c r="P69" s="24"/>
      <c r="Q69" s="23" t="s">
        <v>114</v>
      </c>
    </row>
    <row r="70" spans="1:17" ht="26.25">
      <c r="A70" s="14">
        <v>66</v>
      </c>
      <c r="B70" s="15" t="s">
        <v>115</v>
      </c>
      <c r="C70" s="16">
        <f>'Медикаменты Март'!L70</f>
        <v>17</v>
      </c>
      <c r="D70" s="17"/>
      <c r="E70" s="14"/>
      <c r="F70" s="18"/>
      <c r="G70" s="19"/>
      <c r="H70" s="20"/>
      <c r="I70" s="21"/>
      <c r="J70" s="14"/>
      <c r="K70" s="14">
        <f t="shared" si="2"/>
        <v>0</v>
      </c>
      <c r="L70" s="16">
        <f t="shared" si="3"/>
        <v>17</v>
      </c>
      <c r="M70" s="22">
        <v>44835</v>
      </c>
      <c r="N70" s="44" t="s">
        <v>45</v>
      </c>
      <c r="O70" s="23" t="s">
        <v>16</v>
      </c>
      <c r="P70" s="24" t="s">
        <v>17</v>
      </c>
      <c r="Q70" s="28" t="s">
        <v>116</v>
      </c>
    </row>
    <row r="71" spans="1:17">
      <c r="A71" s="14">
        <v>67</v>
      </c>
      <c r="B71" s="15" t="s">
        <v>117</v>
      </c>
      <c r="C71" s="16">
        <f>'Медикаменты Март'!L71</f>
        <v>0</v>
      </c>
      <c r="D71" s="17"/>
      <c r="E71" s="14"/>
      <c r="F71" s="18"/>
      <c r="G71" s="19"/>
      <c r="H71" s="20"/>
      <c r="I71" s="21"/>
      <c r="J71" s="14"/>
      <c r="K71" s="14">
        <f t="shared" si="2"/>
        <v>0</v>
      </c>
      <c r="L71" s="16">
        <f t="shared" si="3"/>
        <v>0</v>
      </c>
      <c r="M71" s="22">
        <v>44440</v>
      </c>
      <c r="N71" s="44"/>
      <c r="O71" s="23" t="s">
        <v>16</v>
      </c>
      <c r="P71" s="24"/>
      <c r="Q71" s="28" t="s">
        <v>118</v>
      </c>
    </row>
    <row r="72" spans="1:17">
      <c r="A72" s="14">
        <v>68</v>
      </c>
      <c r="B72" s="15" t="s">
        <v>117</v>
      </c>
      <c r="C72" s="16">
        <f>'Медикаменты Март'!L72</f>
        <v>145</v>
      </c>
      <c r="D72" s="17"/>
      <c r="E72" s="14"/>
      <c r="F72" s="18">
        <f>10+15+5+10</f>
        <v>40</v>
      </c>
      <c r="G72" s="19"/>
      <c r="H72" s="20"/>
      <c r="I72" s="21"/>
      <c r="J72" s="14"/>
      <c r="K72" s="14">
        <f t="shared" si="2"/>
        <v>40</v>
      </c>
      <c r="L72" s="16">
        <f t="shared" si="3"/>
        <v>105</v>
      </c>
      <c r="M72" s="22">
        <v>44682</v>
      </c>
      <c r="N72" s="44" t="s">
        <v>45</v>
      </c>
      <c r="O72" s="23" t="s">
        <v>16</v>
      </c>
      <c r="P72" s="24" t="s">
        <v>17</v>
      </c>
      <c r="Q72" s="28" t="s">
        <v>118</v>
      </c>
    </row>
    <row r="73" spans="1:17">
      <c r="A73" s="14">
        <v>69</v>
      </c>
      <c r="B73" s="15" t="s">
        <v>117</v>
      </c>
      <c r="C73" s="16">
        <f>'Медикаменты Март'!L73</f>
        <v>0</v>
      </c>
      <c r="D73" s="17"/>
      <c r="E73" s="14"/>
      <c r="F73" s="18"/>
      <c r="G73" s="19"/>
      <c r="H73" s="20"/>
      <c r="I73" s="21"/>
      <c r="J73" s="14"/>
      <c r="K73" s="14">
        <f t="shared" si="2"/>
        <v>0</v>
      </c>
      <c r="L73" s="16">
        <f t="shared" si="3"/>
        <v>0</v>
      </c>
      <c r="M73" s="22">
        <v>44682</v>
      </c>
      <c r="N73" s="44"/>
      <c r="O73" s="23" t="s">
        <v>26</v>
      </c>
      <c r="P73" s="24"/>
      <c r="Q73" s="28" t="s">
        <v>118</v>
      </c>
    </row>
    <row r="74" spans="1:17">
      <c r="A74" s="14">
        <v>70</v>
      </c>
      <c r="B74" s="15" t="s">
        <v>119</v>
      </c>
      <c r="C74" s="16">
        <f>'Медикаменты Март'!L74</f>
        <v>0</v>
      </c>
      <c r="D74" s="17"/>
      <c r="E74" s="14"/>
      <c r="F74" s="18"/>
      <c r="G74" s="19"/>
      <c r="H74" s="20"/>
      <c r="I74" s="21"/>
      <c r="J74" s="14"/>
      <c r="K74" s="14">
        <f t="shared" si="2"/>
        <v>0</v>
      </c>
      <c r="L74" s="16">
        <f t="shared" si="3"/>
        <v>0</v>
      </c>
      <c r="M74" s="22"/>
      <c r="N74" s="44"/>
      <c r="O74" s="23" t="s">
        <v>16</v>
      </c>
      <c r="P74" s="24"/>
      <c r="Q74" s="25"/>
    </row>
    <row r="75" spans="1:17">
      <c r="A75" s="14">
        <v>71</v>
      </c>
      <c r="B75" s="15" t="s">
        <v>120</v>
      </c>
      <c r="C75" s="16">
        <f>'Медикаменты Март'!L75</f>
        <v>0</v>
      </c>
      <c r="D75" s="17"/>
      <c r="E75" s="14"/>
      <c r="F75" s="18"/>
      <c r="G75" s="19"/>
      <c r="H75" s="20"/>
      <c r="I75" s="21"/>
      <c r="J75" s="14"/>
      <c r="K75" s="14">
        <f t="shared" si="2"/>
        <v>0</v>
      </c>
      <c r="L75" s="16">
        <f t="shared" si="3"/>
        <v>0</v>
      </c>
      <c r="M75" s="22">
        <v>45444</v>
      </c>
      <c r="N75" s="44"/>
      <c r="O75" s="23" t="s">
        <v>26</v>
      </c>
      <c r="P75" s="24"/>
      <c r="Q75" s="28" t="s">
        <v>121</v>
      </c>
    </row>
    <row r="76" spans="1:17">
      <c r="A76" s="14">
        <v>72</v>
      </c>
      <c r="B76" s="29" t="s">
        <v>122</v>
      </c>
      <c r="C76" s="16">
        <f>'Медикаменты Март'!L76</f>
        <v>98</v>
      </c>
      <c r="D76" s="17"/>
      <c r="E76" s="14"/>
      <c r="F76" s="18">
        <f>5+6+5+20</f>
        <v>36</v>
      </c>
      <c r="G76" s="19"/>
      <c r="H76" s="20"/>
      <c r="I76" s="21"/>
      <c r="J76" s="14"/>
      <c r="K76" s="14">
        <f t="shared" si="2"/>
        <v>36</v>
      </c>
      <c r="L76" s="16">
        <f t="shared" si="3"/>
        <v>62</v>
      </c>
      <c r="M76" s="22">
        <v>44986</v>
      </c>
      <c r="N76" s="44" t="s">
        <v>45</v>
      </c>
      <c r="O76" s="23" t="s">
        <v>16</v>
      </c>
      <c r="P76" s="24" t="s">
        <v>17</v>
      </c>
      <c r="Q76" s="23" t="s">
        <v>123</v>
      </c>
    </row>
    <row r="77" spans="1:17">
      <c r="A77" s="14">
        <v>73</v>
      </c>
      <c r="B77" s="15" t="s">
        <v>124</v>
      </c>
      <c r="C77" s="16">
        <f>'Медикаменты Март'!L77</f>
        <v>0</v>
      </c>
      <c r="D77" s="17"/>
      <c r="E77" s="14"/>
      <c r="F77" s="18"/>
      <c r="G77" s="19"/>
      <c r="H77" s="20"/>
      <c r="I77" s="21"/>
      <c r="J77" s="14"/>
      <c r="K77" s="14">
        <f t="shared" si="2"/>
        <v>0</v>
      </c>
      <c r="L77" s="16">
        <f t="shared" si="3"/>
        <v>0</v>
      </c>
      <c r="M77" s="22"/>
      <c r="N77" s="44"/>
      <c r="O77" s="23" t="s">
        <v>16</v>
      </c>
      <c r="P77" s="24"/>
      <c r="Q77" s="25"/>
    </row>
    <row r="78" spans="1:17">
      <c r="A78" s="14">
        <v>74</v>
      </c>
      <c r="B78" s="15" t="s">
        <v>125</v>
      </c>
      <c r="C78" s="16">
        <f>'Медикаменты Март'!L78</f>
        <v>5</v>
      </c>
      <c r="D78" s="17"/>
      <c r="E78" s="14"/>
      <c r="F78" s="18"/>
      <c r="G78" s="19"/>
      <c r="H78" s="20"/>
      <c r="I78" s="21"/>
      <c r="J78" s="14"/>
      <c r="K78" s="14">
        <f t="shared" si="2"/>
        <v>0</v>
      </c>
      <c r="L78" s="16">
        <f t="shared" si="3"/>
        <v>5</v>
      </c>
      <c r="M78" s="22">
        <v>44531</v>
      </c>
      <c r="N78" s="44" t="s">
        <v>45</v>
      </c>
      <c r="O78" s="23" t="s">
        <v>16</v>
      </c>
      <c r="P78" s="24" t="s">
        <v>17</v>
      </c>
      <c r="Q78" s="28" t="s">
        <v>126</v>
      </c>
    </row>
    <row r="79" spans="1:17">
      <c r="A79" s="14">
        <v>75</v>
      </c>
      <c r="B79" s="15" t="s">
        <v>127</v>
      </c>
      <c r="C79" s="16">
        <f>'Медикаменты Март'!L79</f>
        <v>10</v>
      </c>
      <c r="D79" s="17"/>
      <c r="E79" s="14"/>
      <c r="F79" s="18"/>
      <c r="G79" s="19"/>
      <c r="H79" s="20"/>
      <c r="I79" s="21"/>
      <c r="J79" s="14"/>
      <c r="K79" s="14">
        <f t="shared" si="2"/>
        <v>0</v>
      </c>
      <c r="L79" s="16">
        <f t="shared" si="3"/>
        <v>10</v>
      </c>
      <c r="M79" s="22">
        <v>44501</v>
      </c>
      <c r="N79" s="44" t="s">
        <v>45</v>
      </c>
      <c r="O79" s="23" t="s">
        <v>16</v>
      </c>
      <c r="P79" s="24" t="s">
        <v>45</v>
      </c>
      <c r="Q79" s="23" t="s">
        <v>128</v>
      </c>
    </row>
    <row r="80" spans="1:17" ht="25.5">
      <c r="A80" s="14">
        <v>76</v>
      </c>
      <c r="B80" s="15" t="s">
        <v>129</v>
      </c>
      <c r="C80" s="16">
        <f>'Медикаменты Март'!L80</f>
        <v>12</v>
      </c>
      <c r="D80" s="17"/>
      <c r="E80" s="14"/>
      <c r="F80" s="18"/>
      <c r="G80" s="19"/>
      <c r="H80" s="20"/>
      <c r="I80" s="21"/>
      <c r="J80" s="14"/>
      <c r="K80" s="14">
        <f t="shared" si="2"/>
        <v>0</v>
      </c>
      <c r="L80" s="16">
        <f t="shared" si="3"/>
        <v>12</v>
      </c>
      <c r="M80" s="22">
        <v>44713</v>
      </c>
      <c r="N80" s="44" t="s">
        <v>45</v>
      </c>
      <c r="O80" s="23" t="s">
        <v>16</v>
      </c>
      <c r="P80" s="24" t="s">
        <v>17</v>
      </c>
      <c r="Q80" s="28" t="s">
        <v>130</v>
      </c>
    </row>
    <row r="81" spans="1:17" ht="25.5">
      <c r="A81" s="14">
        <v>77</v>
      </c>
      <c r="B81" s="15" t="s">
        <v>129</v>
      </c>
      <c r="C81" s="16">
        <f>'Медикаменты Март'!L81</f>
        <v>0</v>
      </c>
      <c r="D81" s="17"/>
      <c r="E81" s="14"/>
      <c r="F81" s="18"/>
      <c r="G81" s="19"/>
      <c r="H81" s="20"/>
      <c r="I81" s="21"/>
      <c r="J81" s="14"/>
      <c r="K81" s="14">
        <f t="shared" si="2"/>
        <v>0</v>
      </c>
      <c r="L81" s="16">
        <f t="shared" si="3"/>
        <v>0</v>
      </c>
      <c r="M81" s="22">
        <v>44713</v>
      </c>
      <c r="N81" s="44"/>
      <c r="O81" s="23" t="s">
        <v>26</v>
      </c>
      <c r="P81" s="24"/>
      <c r="Q81" s="28" t="s">
        <v>130</v>
      </c>
    </row>
    <row r="82" spans="1:17" ht="25.5">
      <c r="A82" s="14">
        <v>78</v>
      </c>
      <c r="B82" s="15" t="s">
        <v>131</v>
      </c>
      <c r="C82" s="16">
        <f>'Медикаменты Март'!L82</f>
        <v>0</v>
      </c>
      <c r="D82" s="17"/>
      <c r="E82" s="14"/>
      <c r="F82" s="18"/>
      <c r="G82" s="19"/>
      <c r="H82" s="20"/>
      <c r="I82" s="21"/>
      <c r="J82" s="14"/>
      <c r="K82" s="14">
        <f t="shared" si="2"/>
        <v>0</v>
      </c>
      <c r="L82" s="16">
        <f t="shared" si="3"/>
        <v>0</v>
      </c>
      <c r="M82" s="22"/>
      <c r="N82" s="44"/>
      <c r="O82" s="23" t="s">
        <v>16</v>
      </c>
      <c r="P82" s="24"/>
      <c r="Q82" s="25"/>
    </row>
    <row r="83" spans="1:17">
      <c r="A83" s="14">
        <v>79</v>
      </c>
      <c r="B83" s="15" t="s">
        <v>132</v>
      </c>
      <c r="C83" s="16">
        <f>'Медикаменты Март'!L83</f>
        <v>115</v>
      </c>
      <c r="D83" s="17"/>
      <c r="E83" s="14"/>
      <c r="F83" s="18">
        <f>25+10+15+10</f>
        <v>60</v>
      </c>
      <c r="G83" s="19"/>
      <c r="H83" s="20"/>
      <c r="I83" s="21"/>
      <c r="J83" s="14"/>
      <c r="K83" s="14">
        <f t="shared" si="2"/>
        <v>60</v>
      </c>
      <c r="L83" s="16">
        <f t="shared" si="3"/>
        <v>55</v>
      </c>
      <c r="M83" s="22">
        <v>44713</v>
      </c>
      <c r="N83" s="44" t="s">
        <v>45</v>
      </c>
      <c r="O83" s="23" t="s">
        <v>16</v>
      </c>
      <c r="P83" s="24" t="s">
        <v>17</v>
      </c>
      <c r="Q83" s="23" t="s">
        <v>133</v>
      </c>
    </row>
    <row r="84" spans="1:17">
      <c r="A84" s="14">
        <v>80</v>
      </c>
      <c r="B84" s="15" t="s">
        <v>132</v>
      </c>
      <c r="C84" s="16">
        <f>'Медикаменты Март'!L84</f>
        <v>0</v>
      </c>
      <c r="D84" s="17"/>
      <c r="E84" s="14"/>
      <c r="F84" s="18"/>
      <c r="G84" s="19"/>
      <c r="H84" s="20"/>
      <c r="I84" s="21"/>
      <c r="J84" s="14"/>
      <c r="K84" s="14">
        <f t="shared" si="2"/>
        <v>0</v>
      </c>
      <c r="L84" s="16">
        <f t="shared" si="3"/>
        <v>0</v>
      </c>
      <c r="M84" s="22">
        <v>44409</v>
      </c>
      <c r="N84" s="44"/>
      <c r="O84" s="23" t="s">
        <v>16</v>
      </c>
      <c r="P84" s="24" t="s">
        <v>17</v>
      </c>
      <c r="Q84" s="23" t="s">
        <v>133</v>
      </c>
    </row>
    <row r="85" spans="1:17">
      <c r="A85" s="14">
        <v>81</v>
      </c>
      <c r="B85" s="15" t="s">
        <v>134</v>
      </c>
      <c r="C85" s="16">
        <f>'Медикаменты Март'!L85</f>
        <v>0</v>
      </c>
      <c r="D85" s="17"/>
      <c r="E85" s="14"/>
      <c r="F85" s="18"/>
      <c r="G85" s="19"/>
      <c r="H85" s="20"/>
      <c r="I85" s="21"/>
      <c r="J85" s="14"/>
      <c r="K85" s="14">
        <f t="shared" si="2"/>
        <v>0</v>
      </c>
      <c r="L85" s="16">
        <f t="shared" si="3"/>
        <v>0</v>
      </c>
      <c r="M85" s="22">
        <v>44228</v>
      </c>
      <c r="N85" s="44"/>
      <c r="O85" s="23" t="s">
        <v>16</v>
      </c>
      <c r="P85" s="24" t="s">
        <v>17</v>
      </c>
      <c r="Q85" s="23" t="s">
        <v>135</v>
      </c>
    </row>
    <row r="86" spans="1:17">
      <c r="A86" s="14">
        <v>82</v>
      </c>
      <c r="B86" s="15" t="s">
        <v>136</v>
      </c>
      <c r="C86" s="16">
        <f>'Медикаменты Март'!L86</f>
        <v>84</v>
      </c>
      <c r="D86" s="17"/>
      <c r="E86" s="14"/>
      <c r="F86" s="18">
        <f>5+5+10+10+5</f>
        <v>35</v>
      </c>
      <c r="G86" s="19"/>
      <c r="H86" s="20"/>
      <c r="I86" s="21"/>
      <c r="J86" s="14"/>
      <c r="K86" s="14">
        <f t="shared" si="2"/>
        <v>35</v>
      </c>
      <c r="L86" s="16">
        <f t="shared" si="3"/>
        <v>49</v>
      </c>
      <c r="M86" s="22">
        <v>45778</v>
      </c>
      <c r="N86" s="44" t="s">
        <v>45</v>
      </c>
      <c r="O86" s="23" t="s">
        <v>16</v>
      </c>
      <c r="P86" s="24" t="s">
        <v>17</v>
      </c>
      <c r="Q86" s="28" t="s">
        <v>137</v>
      </c>
    </row>
    <row r="87" spans="1:17">
      <c r="A87" s="14">
        <v>83</v>
      </c>
      <c r="B87" s="15" t="s">
        <v>138</v>
      </c>
      <c r="C87" s="16">
        <f>'Медикаменты Март'!L87</f>
        <v>0</v>
      </c>
      <c r="D87" s="30"/>
      <c r="E87" s="14"/>
      <c r="F87" s="18"/>
      <c r="G87" s="19"/>
      <c r="H87" s="20"/>
      <c r="I87" s="21"/>
      <c r="J87" s="14"/>
      <c r="K87" s="14">
        <f t="shared" si="2"/>
        <v>0</v>
      </c>
      <c r="L87" s="16">
        <f t="shared" si="3"/>
        <v>0</v>
      </c>
      <c r="M87" s="22"/>
      <c r="N87" s="44"/>
      <c r="O87" s="23" t="s">
        <v>16</v>
      </c>
      <c r="P87" s="24"/>
      <c r="Q87" s="25"/>
    </row>
    <row r="88" spans="1:17">
      <c r="A88" s="14">
        <v>84</v>
      </c>
      <c r="B88" s="15" t="s">
        <v>139</v>
      </c>
      <c r="C88" s="16">
        <f>'Медикаменты Март'!L88</f>
        <v>0</v>
      </c>
      <c r="D88" s="17"/>
      <c r="E88" s="14"/>
      <c r="F88" s="18"/>
      <c r="G88" s="19"/>
      <c r="H88" s="20"/>
      <c r="I88" s="21"/>
      <c r="J88" s="14"/>
      <c r="K88" s="14">
        <f t="shared" si="2"/>
        <v>0</v>
      </c>
      <c r="L88" s="16">
        <f t="shared" si="3"/>
        <v>0</v>
      </c>
      <c r="M88" s="22"/>
      <c r="N88" s="44"/>
      <c r="O88" s="23" t="s">
        <v>16</v>
      </c>
      <c r="P88" s="24"/>
      <c r="Q88" s="25"/>
    </row>
    <row r="89" spans="1:17">
      <c r="A89" s="14">
        <v>85</v>
      </c>
      <c r="B89" s="15" t="s">
        <v>140</v>
      </c>
      <c r="C89" s="16">
        <f>'Медикаменты Март'!L89</f>
        <v>44</v>
      </c>
      <c r="D89" s="17"/>
      <c r="E89" s="14"/>
      <c r="F89" s="18">
        <f>3+3+10+5+5</f>
        <v>26</v>
      </c>
      <c r="G89" s="19"/>
      <c r="H89" s="20"/>
      <c r="I89" s="21"/>
      <c r="J89" s="14"/>
      <c r="K89" s="14">
        <f t="shared" si="2"/>
        <v>26</v>
      </c>
      <c r="L89" s="16">
        <f t="shared" si="3"/>
        <v>18</v>
      </c>
      <c r="M89" s="22">
        <v>44682</v>
      </c>
      <c r="N89" s="44" t="s">
        <v>45</v>
      </c>
      <c r="O89" s="23" t="s">
        <v>16</v>
      </c>
      <c r="P89" s="24" t="s">
        <v>45</v>
      </c>
      <c r="Q89" s="23" t="s">
        <v>141</v>
      </c>
    </row>
    <row r="90" spans="1:17">
      <c r="A90" s="14">
        <v>86</v>
      </c>
      <c r="B90" s="15" t="s">
        <v>142</v>
      </c>
      <c r="C90" s="16">
        <f>'Медикаменты Март'!L90</f>
        <v>0</v>
      </c>
      <c r="D90" s="17"/>
      <c r="E90" s="14"/>
      <c r="F90" s="18"/>
      <c r="G90" s="19"/>
      <c r="H90" s="20"/>
      <c r="I90" s="21"/>
      <c r="J90" s="14"/>
      <c r="K90" s="14">
        <f t="shared" si="2"/>
        <v>0</v>
      </c>
      <c r="L90" s="16">
        <f t="shared" si="3"/>
        <v>0</v>
      </c>
      <c r="M90" s="22">
        <v>45352</v>
      </c>
      <c r="N90" s="44"/>
      <c r="O90" s="23" t="s">
        <v>16</v>
      </c>
      <c r="P90" s="24"/>
      <c r="Q90" s="23" t="s">
        <v>143</v>
      </c>
    </row>
    <row r="91" spans="1:17">
      <c r="A91" s="14">
        <v>87</v>
      </c>
      <c r="B91" s="15" t="s">
        <v>144</v>
      </c>
      <c r="C91" s="16">
        <f>'Медикаменты Март'!L91</f>
        <v>0</v>
      </c>
      <c r="D91" s="17"/>
      <c r="E91" s="14"/>
      <c r="F91" s="18"/>
      <c r="G91" s="19"/>
      <c r="H91" s="20"/>
      <c r="I91" s="21"/>
      <c r="J91" s="14"/>
      <c r="K91" s="14">
        <f t="shared" si="2"/>
        <v>0</v>
      </c>
      <c r="L91" s="16">
        <f t="shared" si="3"/>
        <v>0</v>
      </c>
      <c r="M91" s="22">
        <v>44228</v>
      </c>
      <c r="N91" s="44"/>
      <c r="O91" s="23" t="s">
        <v>16</v>
      </c>
      <c r="P91" s="24"/>
      <c r="Q91" s="28" t="s">
        <v>145</v>
      </c>
    </row>
    <row r="92" spans="1:17">
      <c r="A92" s="14">
        <v>88</v>
      </c>
      <c r="B92" s="15" t="s">
        <v>146</v>
      </c>
      <c r="C92" s="16">
        <f>'Медикаменты Март'!L92</f>
        <v>0</v>
      </c>
      <c r="D92" s="17"/>
      <c r="E92" s="14"/>
      <c r="F92" s="18"/>
      <c r="G92" s="19"/>
      <c r="H92" s="20"/>
      <c r="I92" s="21"/>
      <c r="J92" s="14"/>
      <c r="K92" s="14">
        <f t="shared" si="2"/>
        <v>0</v>
      </c>
      <c r="L92" s="16">
        <f t="shared" si="3"/>
        <v>0</v>
      </c>
      <c r="M92" s="22">
        <v>45474</v>
      </c>
      <c r="N92" s="44"/>
      <c r="O92" s="23" t="s">
        <v>16</v>
      </c>
      <c r="P92" s="24" t="s">
        <v>45</v>
      </c>
      <c r="Q92" s="23" t="s">
        <v>147</v>
      </c>
    </row>
    <row r="93" spans="1:17">
      <c r="A93" s="14">
        <v>89</v>
      </c>
      <c r="B93" s="15" t="s">
        <v>148</v>
      </c>
      <c r="C93" s="16">
        <f>'Медикаменты Март'!L93</f>
        <v>0</v>
      </c>
      <c r="D93" s="17"/>
      <c r="E93" s="14"/>
      <c r="F93" s="18"/>
      <c r="G93" s="19"/>
      <c r="H93" s="20"/>
      <c r="I93" s="21"/>
      <c r="J93" s="14"/>
      <c r="K93" s="14">
        <f t="shared" si="2"/>
        <v>0</v>
      </c>
      <c r="L93" s="16">
        <f t="shared" si="3"/>
        <v>0</v>
      </c>
      <c r="M93" s="22"/>
      <c r="N93" s="44"/>
      <c r="O93" s="23" t="s">
        <v>16</v>
      </c>
      <c r="P93" s="24"/>
      <c r="Q93" s="25"/>
    </row>
    <row r="94" spans="1:17">
      <c r="A94" s="14">
        <v>90</v>
      </c>
      <c r="B94" s="15" t="s">
        <v>149</v>
      </c>
      <c r="C94" s="16">
        <f>'Медикаменты Март'!L94</f>
        <v>0</v>
      </c>
      <c r="D94" s="17"/>
      <c r="E94" s="14"/>
      <c r="F94" s="18"/>
      <c r="G94" s="19"/>
      <c r="H94" s="20"/>
      <c r="I94" s="21"/>
      <c r="J94" s="14"/>
      <c r="K94" s="14">
        <f t="shared" si="2"/>
        <v>0</v>
      </c>
      <c r="L94" s="16">
        <f t="shared" si="3"/>
        <v>0</v>
      </c>
      <c r="M94" s="22">
        <v>44348</v>
      </c>
      <c r="N94" s="44"/>
      <c r="O94" s="23" t="s">
        <v>16</v>
      </c>
      <c r="P94" s="24"/>
      <c r="Q94" s="23" t="s">
        <v>150</v>
      </c>
    </row>
    <row r="95" spans="1:17">
      <c r="A95" s="14">
        <v>91</v>
      </c>
      <c r="B95" s="15" t="s">
        <v>151</v>
      </c>
      <c r="C95" s="16">
        <f>'Медикаменты Март'!L95</f>
        <v>2</v>
      </c>
      <c r="D95" s="17"/>
      <c r="E95" s="14"/>
      <c r="F95" s="18"/>
      <c r="G95" s="19"/>
      <c r="H95" s="20"/>
      <c r="I95" s="21"/>
      <c r="J95" s="14"/>
      <c r="K95" s="14">
        <f t="shared" si="2"/>
        <v>0</v>
      </c>
      <c r="L95" s="16">
        <f t="shared" si="3"/>
        <v>2</v>
      </c>
      <c r="M95" s="22">
        <v>44743</v>
      </c>
      <c r="N95" s="44" t="s">
        <v>45</v>
      </c>
      <c r="O95" s="23" t="s">
        <v>16</v>
      </c>
      <c r="P95" s="24" t="s">
        <v>45</v>
      </c>
      <c r="Q95" s="28" t="s">
        <v>152</v>
      </c>
    </row>
    <row r="96" spans="1:17">
      <c r="A96" s="14">
        <v>92</v>
      </c>
      <c r="B96" s="15" t="s">
        <v>153</v>
      </c>
      <c r="C96" s="16">
        <f>'Медикаменты Март'!L96</f>
        <v>0</v>
      </c>
      <c r="D96" s="17"/>
      <c r="E96" s="14"/>
      <c r="F96" s="18"/>
      <c r="G96" s="19"/>
      <c r="H96" s="20"/>
      <c r="I96" s="21"/>
      <c r="J96" s="14"/>
      <c r="K96" s="14">
        <f t="shared" si="2"/>
        <v>0</v>
      </c>
      <c r="L96" s="16">
        <f t="shared" si="3"/>
        <v>0</v>
      </c>
      <c r="M96" s="22">
        <v>44256</v>
      </c>
      <c r="N96" s="44"/>
      <c r="O96" s="23" t="s">
        <v>16</v>
      </c>
      <c r="P96" s="24"/>
      <c r="Q96" s="23" t="s">
        <v>154</v>
      </c>
    </row>
    <row r="97" spans="1:17">
      <c r="A97" s="14">
        <v>93</v>
      </c>
      <c r="B97" s="15" t="s">
        <v>155</v>
      </c>
      <c r="C97" s="16">
        <f>'Медикаменты Март'!L97</f>
        <v>0</v>
      </c>
      <c r="D97" s="17"/>
      <c r="E97" s="14"/>
      <c r="F97" s="18"/>
      <c r="G97" s="19"/>
      <c r="H97" s="20"/>
      <c r="I97" s="21"/>
      <c r="J97" s="14"/>
      <c r="K97" s="14">
        <f t="shared" si="2"/>
        <v>0</v>
      </c>
      <c r="L97" s="16">
        <f t="shared" si="3"/>
        <v>0</v>
      </c>
      <c r="M97" s="22"/>
      <c r="N97" s="44"/>
      <c r="O97" s="23" t="s">
        <v>16</v>
      </c>
      <c r="P97" s="24"/>
      <c r="Q97" s="25"/>
    </row>
    <row r="98" spans="1:17">
      <c r="A98" s="14">
        <v>94</v>
      </c>
      <c r="B98" s="15" t="s">
        <v>156</v>
      </c>
      <c r="C98" s="16">
        <f>'Медикаменты Март'!L98</f>
        <v>0</v>
      </c>
      <c r="D98" s="17"/>
      <c r="E98" s="14"/>
      <c r="F98" s="18"/>
      <c r="G98" s="19"/>
      <c r="H98" s="20"/>
      <c r="I98" s="21"/>
      <c r="J98" s="14"/>
      <c r="K98" s="14">
        <f t="shared" si="2"/>
        <v>0</v>
      </c>
      <c r="L98" s="16">
        <f t="shared" si="3"/>
        <v>0</v>
      </c>
      <c r="M98" s="22">
        <v>44197</v>
      </c>
      <c r="N98" s="44"/>
      <c r="O98" s="23" t="s">
        <v>16</v>
      </c>
      <c r="P98" s="24"/>
      <c r="Q98" s="23" t="s">
        <v>157</v>
      </c>
    </row>
    <row r="99" spans="1:17">
      <c r="A99" s="14">
        <v>95</v>
      </c>
      <c r="B99" s="15" t="s">
        <v>158</v>
      </c>
      <c r="C99" s="16">
        <f>'Медикаменты Март'!L99</f>
        <v>5</v>
      </c>
      <c r="D99" s="17"/>
      <c r="E99" s="14"/>
      <c r="F99" s="18"/>
      <c r="G99" s="19"/>
      <c r="H99" s="20"/>
      <c r="I99" s="21"/>
      <c r="J99" s="14"/>
      <c r="K99" s="14">
        <f t="shared" si="2"/>
        <v>0</v>
      </c>
      <c r="L99" s="16">
        <f t="shared" si="3"/>
        <v>5</v>
      </c>
      <c r="M99" s="22">
        <v>44774</v>
      </c>
      <c r="N99" s="44" t="s">
        <v>45</v>
      </c>
      <c r="O99" s="23" t="s">
        <v>16</v>
      </c>
      <c r="P99" s="24" t="s">
        <v>17</v>
      </c>
      <c r="Q99" s="23" t="s">
        <v>159</v>
      </c>
    </row>
    <row r="100" spans="1:17">
      <c r="A100" s="14">
        <v>96</v>
      </c>
      <c r="B100" s="15" t="s">
        <v>160</v>
      </c>
      <c r="C100" s="16">
        <f>'Медикаменты Март'!L100</f>
        <v>103</v>
      </c>
      <c r="D100" s="17"/>
      <c r="E100" s="14"/>
      <c r="F100" s="18">
        <f>5</f>
        <v>5</v>
      </c>
      <c r="G100" s="19"/>
      <c r="H100" s="20"/>
      <c r="I100" s="21"/>
      <c r="J100" s="14"/>
      <c r="K100" s="14">
        <f t="shared" si="2"/>
        <v>5</v>
      </c>
      <c r="L100" s="16">
        <f t="shared" si="3"/>
        <v>98</v>
      </c>
      <c r="M100" s="22">
        <v>44805</v>
      </c>
      <c r="N100" s="44" t="s">
        <v>45</v>
      </c>
      <c r="O100" s="23" t="s">
        <v>16</v>
      </c>
      <c r="P100" s="24" t="s">
        <v>17</v>
      </c>
      <c r="Q100" s="28" t="s">
        <v>161</v>
      </c>
    </row>
    <row r="101" spans="1:17">
      <c r="A101" s="14">
        <v>97</v>
      </c>
      <c r="B101" s="15" t="s">
        <v>162</v>
      </c>
      <c r="C101" s="16">
        <f>'Медикаменты Март'!L101</f>
        <v>95</v>
      </c>
      <c r="D101" s="17"/>
      <c r="E101" s="14"/>
      <c r="F101" s="18"/>
      <c r="G101" s="19"/>
      <c r="H101" s="20"/>
      <c r="I101" s="21"/>
      <c r="J101" s="14"/>
      <c r="K101" s="14">
        <f t="shared" si="2"/>
        <v>0</v>
      </c>
      <c r="L101" s="16">
        <f t="shared" si="3"/>
        <v>95</v>
      </c>
      <c r="M101" s="22">
        <v>44742</v>
      </c>
      <c r="N101" s="44" t="s">
        <v>45</v>
      </c>
      <c r="O101" s="23" t="s">
        <v>16</v>
      </c>
      <c r="P101" s="24" t="s">
        <v>17</v>
      </c>
      <c r="Q101" s="28" t="s">
        <v>163</v>
      </c>
    </row>
    <row r="102" spans="1:17">
      <c r="A102" s="14">
        <v>98</v>
      </c>
      <c r="B102" s="15" t="s">
        <v>164</v>
      </c>
      <c r="C102" s="16">
        <f>'Медикаменты Март'!L102</f>
        <v>0</v>
      </c>
      <c r="D102" s="17"/>
      <c r="E102" s="14"/>
      <c r="F102" s="18"/>
      <c r="G102" s="19"/>
      <c r="H102" s="20"/>
      <c r="I102" s="21"/>
      <c r="J102" s="14"/>
      <c r="K102" s="14">
        <f t="shared" si="2"/>
        <v>0</v>
      </c>
      <c r="L102" s="16">
        <f t="shared" si="3"/>
        <v>0</v>
      </c>
      <c r="M102" s="22">
        <v>44927</v>
      </c>
      <c r="N102" s="44"/>
      <c r="O102" s="23" t="s">
        <v>26</v>
      </c>
      <c r="P102" s="24" t="s">
        <v>17</v>
      </c>
      <c r="Q102" s="28" t="s">
        <v>165</v>
      </c>
    </row>
    <row r="103" spans="1:17">
      <c r="A103" s="14">
        <v>99</v>
      </c>
      <c r="B103" s="15" t="s">
        <v>166</v>
      </c>
      <c r="C103" s="16">
        <f>'Медикаменты Март'!L103</f>
        <v>0</v>
      </c>
      <c r="D103" s="17"/>
      <c r="E103" s="14"/>
      <c r="F103" s="18"/>
      <c r="G103" s="19"/>
      <c r="H103" s="20"/>
      <c r="I103" s="21"/>
      <c r="J103" s="14"/>
      <c r="K103" s="14">
        <f t="shared" si="2"/>
        <v>0</v>
      </c>
      <c r="L103" s="16">
        <f t="shared" si="3"/>
        <v>0</v>
      </c>
      <c r="M103" s="22">
        <v>44440</v>
      </c>
      <c r="N103" s="44"/>
      <c r="O103" s="23" t="s">
        <v>16</v>
      </c>
      <c r="P103" s="24"/>
      <c r="Q103" s="28" t="s">
        <v>165</v>
      </c>
    </row>
    <row r="104" spans="1:17">
      <c r="A104" s="14">
        <v>100</v>
      </c>
      <c r="B104" s="15" t="s">
        <v>167</v>
      </c>
      <c r="C104" s="16">
        <f>'Медикаменты Март'!L104</f>
        <v>0</v>
      </c>
      <c r="D104" s="17"/>
      <c r="E104" s="14"/>
      <c r="F104" s="18"/>
      <c r="G104" s="19"/>
      <c r="H104" s="20"/>
      <c r="I104" s="21"/>
      <c r="J104" s="14"/>
      <c r="K104" s="14">
        <f t="shared" si="2"/>
        <v>0</v>
      </c>
      <c r="L104" s="16">
        <f t="shared" si="3"/>
        <v>0</v>
      </c>
      <c r="M104" s="22">
        <v>44256</v>
      </c>
      <c r="N104" s="44"/>
      <c r="O104" s="23" t="s">
        <v>16</v>
      </c>
      <c r="P104" s="24" t="s">
        <v>17</v>
      </c>
      <c r="Q104" s="23" t="s">
        <v>168</v>
      </c>
    </row>
    <row r="105" spans="1:17">
      <c r="A105" s="14">
        <v>101</v>
      </c>
      <c r="B105" s="15" t="s">
        <v>169</v>
      </c>
      <c r="C105" s="16">
        <f>'Медикаменты Март'!L105</f>
        <v>0</v>
      </c>
      <c r="D105" s="17"/>
      <c r="E105" s="14"/>
      <c r="F105" s="18"/>
      <c r="G105" s="19"/>
      <c r="H105" s="20"/>
      <c r="I105" s="21"/>
      <c r="J105" s="14"/>
      <c r="K105" s="14">
        <f t="shared" si="2"/>
        <v>0</v>
      </c>
      <c r="L105" s="16">
        <f t="shared" si="3"/>
        <v>0</v>
      </c>
      <c r="M105" s="22">
        <v>44197</v>
      </c>
      <c r="N105" s="44"/>
      <c r="O105" s="23" t="s">
        <v>16</v>
      </c>
      <c r="P105" s="24"/>
      <c r="Q105" s="23" t="s">
        <v>170</v>
      </c>
    </row>
    <row r="106" spans="1:17">
      <c r="A106" s="14">
        <v>102</v>
      </c>
      <c r="B106" s="15" t="s">
        <v>171</v>
      </c>
      <c r="C106" s="16">
        <f>'Медикаменты Март'!L106</f>
        <v>0</v>
      </c>
      <c r="D106" s="17"/>
      <c r="E106" s="14"/>
      <c r="F106" s="18"/>
      <c r="G106" s="19"/>
      <c r="H106" s="20"/>
      <c r="I106" s="21"/>
      <c r="J106" s="14"/>
      <c r="K106" s="14">
        <f t="shared" si="2"/>
        <v>0</v>
      </c>
      <c r="L106" s="16">
        <f t="shared" si="3"/>
        <v>0</v>
      </c>
      <c r="M106" s="22"/>
      <c r="N106" s="44"/>
      <c r="O106" s="23" t="s">
        <v>16</v>
      </c>
      <c r="P106" s="24"/>
      <c r="Q106" s="25"/>
    </row>
    <row r="107" spans="1:17">
      <c r="A107" s="14">
        <v>103</v>
      </c>
      <c r="B107" s="15" t="s">
        <v>172</v>
      </c>
      <c r="C107" s="16">
        <f>'Медикаменты Март'!L107</f>
        <v>0</v>
      </c>
      <c r="D107" s="17"/>
      <c r="E107" s="14"/>
      <c r="F107" s="18"/>
      <c r="G107" s="19"/>
      <c r="H107" s="20"/>
      <c r="I107" s="21"/>
      <c r="J107" s="14"/>
      <c r="K107" s="14">
        <f t="shared" si="2"/>
        <v>0</v>
      </c>
      <c r="L107" s="16">
        <f t="shared" si="3"/>
        <v>0</v>
      </c>
      <c r="M107" s="22">
        <v>44287</v>
      </c>
      <c r="N107" s="44"/>
      <c r="O107" s="23" t="s">
        <v>26</v>
      </c>
      <c r="P107" s="24" t="s">
        <v>17</v>
      </c>
      <c r="Q107" s="23" t="s">
        <v>173</v>
      </c>
    </row>
    <row r="108" spans="1:17">
      <c r="A108" s="14">
        <v>104</v>
      </c>
      <c r="B108" s="15" t="s">
        <v>172</v>
      </c>
      <c r="C108" s="16">
        <f>'Медикаменты Март'!L108</f>
        <v>82</v>
      </c>
      <c r="D108" s="17"/>
      <c r="E108" s="14"/>
      <c r="F108" s="18">
        <f>5+5+10</f>
        <v>20</v>
      </c>
      <c r="G108" s="19"/>
      <c r="H108" s="20"/>
      <c r="I108" s="21"/>
      <c r="J108" s="14"/>
      <c r="K108" s="14">
        <f t="shared" si="2"/>
        <v>20</v>
      </c>
      <c r="L108" s="16">
        <f t="shared" si="3"/>
        <v>62</v>
      </c>
      <c r="M108" s="22">
        <v>44805</v>
      </c>
      <c r="N108" s="44" t="s">
        <v>45</v>
      </c>
      <c r="O108" s="23" t="s">
        <v>26</v>
      </c>
      <c r="P108" s="24" t="s">
        <v>17</v>
      </c>
      <c r="Q108" s="23" t="s">
        <v>173</v>
      </c>
    </row>
    <row r="109" spans="1:17">
      <c r="A109" s="14">
        <v>105</v>
      </c>
      <c r="B109" s="15" t="s">
        <v>174</v>
      </c>
      <c r="C109" s="16">
        <f>'Медикаменты Март'!L109</f>
        <v>0</v>
      </c>
      <c r="D109" s="17"/>
      <c r="E109" s="14"/>
      <c r="F109" s="18"/>
      <c r="G109" s="19"/>
      <c r="H109" s="20"/>
      <c r="I109" s="21"/>
      <c r="J109" s="14"/>
      <c r="K109" s="14">
        <f t="shared" si="2"/>
        <v>0</v>
      </c>
      <c r="L109" s="16">
        <f t="shared" si="3"/>
        <v>0</v>
      </c>
      <c r="M109" s="22"/>
      <c r="N109" s="44"/>
      <c r="O109" s="23" t="s">
        <v>16</v>
      </c>
      <c r="P109" s="24"/>
      <c r="Q109" s="25"/>
    </row>
    <row r="110" spans="1:17">
      <c r="A110" s="14">
        <v>106</v>
      </c>
      <c r="B110" s="15" t="s">
        <v>547</v>
      </c>
      <c r="C110" s="16">
        <f>'Медикаменты Март'!L110</f>
        <v>96</v>
      </c>
      <c r="D110" s="17"/>
      <c r="E110" s="14"/>
      <c r="F110" s="18">
        <f>20+40</f>
        <v>60</v>
      </c>
      <c r="G110" s="19"/>
      <c r="H110" s="20"/>
      <c r="I110" s="21">
        <f>36</f>
        <v>36</v>
      </c>
      <c r="J110" s="14"/>
      <c r="K110" s="14">
        <f t="shared" si="2"/>
        <v>96</v>
      </c>
      <c r="L110" s="16">
        <f t="shared" si="3"/>
        <v>0</v>
      </c>
      <c r="M110" s="22">
        <v>44317</v>
      </c>
      <c r="N110" s="44" t="s">
        <v>45</v>
      </c>
      <c r="O110" s="23" t="s">
        <v>16</v>
      </c>
      <c r="P110" s="24" t="s">
        <v>17</v>
      </c>
      <c r="Q110" s="23" t="s">
        <v>176</v>
      </c>
    </row>
    <row r="111" spans="1:17">
      <c r="A111" s="14">
        <v>107</v>
      </c>
      <c r="B111" s="15" t="s">
        <v>177</v>
      </c>
      <c r="C111" s="16">
        <f>'Медикаменты Март'!L111</f>
        <v>0</v>
      </c>
      <c r="D111" s="17"/>
      <c r="E111" s="14"/>
      <c r="F111" s="18"/>
      <c r="G111" s="19"/>
      <c r="H111" s="20"/>
      <c r="I111" s="21"/>
      <c r="J111" s="14"/>
      <c r="K111" s="14">
        <f t="shared" si="2"/>
        <v>0</v>
      </c>
      <c r="L111" s="16">
        <f t="shared" si="3"/>
        <v>0</v>
      </c>
      <c r="M111" s="22"/>
      <c r="N111" s="44"/>
      <c r="O111" s="23" t="s">
        <v>16</v>
      </c>
      <c r="P111" s="24"/>
      <c r="Q111" s="25"/>
    </row>
    <row r="112" spans="1:17">
      <c r="A112" s="14">
        <v>108</v>
      </c>
      <c r="B112" s="15" t="s">
        <v>178</v>
      </c>
      <c r="C112" s="16">
        <f>'Медикаменты Март'!L112</f>
        <v>8</v>
      </c>
      <c r="D112" s="17"/>
      <c r="E112" s="14"/>
      <c r="F112" s="18">
        <f>5+3</f>
        <v>8</v>
      </c>
      <c r="G112" s="19"/>
      <c r="H112" s="20"/>
      <c r="I112" s="21"/>
      <c r="J112" s="14"/>
      <c r="K112" s="14">
        <f t="shared" si="2"/>
        <v>8</v>
      </c>
      <c r="L112" s="16">
        <f t="shared" si="3"/>
        <v>0</v>
      </c>
      <c r="M112" s="22">
        <v>44378</v>
      </c>
      <c r="N112" s="44" t="s">
        <v>45</v>
      </c>
      <c r="O112" s="23" t="s">
        <v>16</v>
      </c>
      <c r="P112" s="24" t="s">
        <v>17</v>
      </c>
      <c r="Q112" s="23" t="s">
        <v>179</v>
      </c>
    </row>
    <row r="113" spans="1:17">
      <c r="A113" s="14">
        <v>109</v>
      </c>
      <c r="B113" s="15" t="s">
        <v>180</v>
      </c>
      <c r="C113" s="16">
        <f>'Медикаменты Март'!L113</f>
        <v>54</v>
      </c>
      <c r="D113" s="17"/>
      <c r="E113" s="14"/>
      <c r="F113" s="18">
        <f>1+3+1</f>
        <v>5</v>
      </c>
      <c r="G113" s="19"/>
      <c r="H113" s="20"/>
      <c r="I113" s="21"/>
      <c r="J113" s="14"/>
      <c r="K113" s="14">
        <f t="shared" si="2"/>
        <v>5</v>
      </c>
      <c r="L113" s="16">
        <f t="shared" si="3"/>
        <v>49</v>
      </c>
      <c r="M113" s="22">
        <v>45200</v>
      </c>
      <c r="N113" s="44" t="s">
        <v>551</v>
      </c>
      <c r="O113" s="23" t="s">
        <v>16</v>
      </c>
      <c r="P113" s="24" t="s">
        <v>17</v>
      </c>
      <c r="Q113" s="23" t="s">
        <v>181</v>
      </c>
    </row>
    <row r="114" spans="1:17">
      <c r="A114" s="14">
        <v>110</v>
      </c>
      <c r="B114" s="15" t="s">
        <v>182</v>
      </c>
      <c r="C114" s="16">
        <f>'Медикаменты Март'!L114</f>
        <v>0</v>
      </c>
      <c r="D114" s="17"/>
      <c r="E114" s="14"/>
      <c r="F114" s="18"/>
      <c r="G114" s="19"/>
      <c r="H114" s="20"/>
      <c r="I114" s="21"/>
      <c r="J114" s="14"/>
      <c r="K114" s="14">
        <f t="shared" si="2"/>
        <v>0</v>
      </c>
      <c r="L114" s="16">
        <f t="shared" si="3"/>
        <v>0</v>
      </c>
      <c r="M114" s="22">
        <v>44409</v>
      </c>
      <c r="N114" s="44"/>
      <c r="O114" s="23" t="s">
        <v>16</v>
      </c>
      <c r="P114" s="24"/>
      <c r="Q114" s="23" t="s">
        <v>183</v>
      </c>
    </row>
    <row r="115" spans="1:17">
      <c r="A115" s="14">
        <v>111</v>
      </c>
      <c r="B115" s="15" t="s">
        <v>184</v>
      </c>
      <c r="C115" s="16">
        <f>'Медикаменты Март'!L115</f>
        <v>0</v>
      </c>
      <c r="D115" s="17"/>
      <c r="E115" s="14"/>
      <c r="F115" s="18"/>
      <c r="G115" s="19"/>
      <c r="H115" s="20"/>
      <c r="I115" s="21"/>
      <c r="J115" s="14"/>
      <c r="K115" s="14">
        <f t="shared" si="2"/>
        <v>0</v>
      </c>
      <c r="L115" s="16">
        <f t="shared" si="3"/>
        <v>0</v>
      </c>
      <c r="M115" s="22">
        <v>44986</v>
      </c>
      <c r="N115" s="44"/>
      <c r="O115" s="23" t="s">
        <v>16</v>
      </c>
      <c r="P115" s="24" t="s">
        <v>17</v>
      </c>
      <c r="Q115" s="23" t="s">
        <v>185</v>
      </c>
    </row>
    <row r="116" spans="1:17">
      <c r="A116" s="14">
        <v>112</v>
      </c>
      <c r="B116" s="15" t="s">
        <v>186</v>
      </c>
      <c r="C116" s="16">
        <f>'Медикаменты Март'!L116</f>
        <v>4</v>
      </c>
      <c r="D116" s="17"/>
      <c r="E116" s="14"/>
      <c r="F116" s="18"/>
      <c r="G116" s="19"/>
      <c r="H116" s="20"/>
      <c r="I116" s="21"/>
      <c r="J116" s="14"/>
      <c r="K116" s="14">
        <f t="shared" si="2"/>
        <v>0</v>
      </c>
      <c r="L116" s="16">
        <f t="shared" si="3"/>
        <v>4</v>
      </c>
      <c r="M116" s="22">
        <v>44743</v>
      </c>
      <c r="N116" s="44" t="s">
        <v>45</v>
      </c>
      <c r="O116" s="23" t="s">
        <v>16</v>
      </c>
      <c r="P116" s="24" t="s">
        <v>17</v>
      </c>
      <c r="Q116" s="23" t="s">
        <v>187</v>
      </c>
    </row>
    <row r="117" spans="1:17">
      <c r="A117" s="14">
        <v>113</v>
      </c>
      <c r="B117" s="15" t="s">
        <v>188</v>
      </c>
      <c r="C117" s="16">
        <f>'Медикаменты Март'!L117</f>
        <v>0</v>
      </c>
      <c r="D117" s="17"/>
      <c r="E117" s="14"/>
      <c r="F117" s="18"/>
      <c r="G117" s="19"/>
      <c r="H117" s="20"/>
      <c r="I117" s="21"/>
      <c r="J117" s="14"/>
      <c r="K117" s="14">
        <f t="shared" si="2"/>
        <v>0</v>
      </c>
      <c r="L117" s="16">
        <f t="shared" si="3"/>
        <v>0</v>
      </c>
      <c r="M117" s="22"/>
      <c r="N117" s="44"/>
      <c r="O117" s="23" t="s">
        <v>16</v>
      </c>
      <c r="P117" s="24"/>
      <c r="Q117" s="25"/>
    </row>
    <row r="118" spans="1:17">
      <c r="A118" s="14">
        <v>114</v>
      </c>
      <c r="B118" s="15" t="s">
        <v>189</v>
      </c>
      <c r="C118" s="16">
        <f>'Медикаменты Март'!L118</f>
        <v>0</v>
      </c>
      <c r="D118" s="17"/>
      <c r="E118" s="14"/>
      <c r="F118" s="18"/>
      <c r="G118" s="19"/>
      <c r="H118" s="20"/>
      <c r="I118" s="21"/>
      <c r="J118" s="14"/>
      <c r="K118" s="14">
        <f t="shared" si="2"/>
        <v>0</v>
      </c>
      <c r="L118" s="16">
        <f t="shared" si="3"/>
        <v>0</v>
      </c>
      <c r="M118" s="22">
        <v>44348</v>
      </c>
      <c r="N118" s="44"/>
      <c r="O118" s="23" t="s">
        <v>16</v>
      </c>
      <c r="P118" s="24" t="s">
        <v>45</v>
      </c>
      <c r="Q118" s="28" t="s">
        <v>190</v>
      </c>
    </row>
    <row r="119" spans="1:17">
      <c r="A119" s="14">
        <v>115</v>
      </c>
      <c r="B119" s="15" t="s">
        <v>191</v>
      </c>
      <c r="C119" s="16">
        <f>'Медикаменты Март'!L119</f>
        <v>0</v>
      </c>
      <c r="D119" s="17"/>
      <c r="E119" s="14"/>
      <c r="F119" s="18"/>
      <c r="G119" s="19"/>
      <c r="H119" s="20"/>
      <c r="I119" s="21"/>
      <c r="J119" s="14"/>
      <c r="K119" s="14">
        <f t="shared" si="2"/>
        <v>0</v>
      </c>
      <c r="L119" s="16">
        <f t="shared" si="3"/>
        <v>0</v>
      </c>
      <c r="M119" s="22"/>
      <c r="N119" s="44"/>
      <c r="O119" s="23" t="s">
        <v>16</v>
      </c>
      <c r="P119" s="24"/>
      <c r="Q119" s="25"/>
    </row>
    <row r="120" spans="1:17">
      <c r="A120" s="14">
        <v>116</v>
      </c>
      <c r="B120" s="15" t="s">
        <v>192</v>
      </c>
      <c r="C120" s="16">
        <f>'Медикаменты Март'!L120</f>
        <v>130</v>
      </c>
      <c r="D120" s="17"/>
      <c r="E120" s="14"/>
      <c r="F120" s="18"/>
      <c r="G120" s="19"/>
      <c r="H120" s="20"/>
      <c r="I120" s="21"/>
      <c r="J120" s="14"/>
      <c r="K120" s="14">
        <f t="shared" si="2"/>
        <v>0</v>
      </c>
      <c r="L120" s="16">
        <f t="shared" si="3"/>
        <v>130</v>
      </c>
      <c r="M120" s="22">
        <v>45047</v>
      </c>
      <c r="N120" s="44" t="s">
        <v>45</v>
      </c>
      <c r="O120" s="23" t="s">
        <v>16</v>
      </c>
      <c r="P120" s="24" t="s">
        <v>17</v>
      </c>
      <c r="Q120" s="28" t="s">
        <v>193</v>
      </c>
    </row>
    <row r="121" spans="1:17">
      <c r="A121" s="14">
        <v>117</v>
      </c>
      <c r="B121" s="15" t="s">
        <v>192</v>
      </c>
      <c r="C121" s="16">
        <f>'Медикаменты Март'!L121</f>
        <v>0</v>
      </c>
      <c r="D121" s="17"/>
      <c r="E121" s="14"/>
      <c r="F121" s="18"/>
      <c r="G121" s="19"/>
      <c r="H121" s="20"/>
      <c r="I121" s="21"/>
      <c r="J121" s="14"/>
      <c r="K121" s="14">
        <f t="shared" si="2"/>
        <v>0</v>
      </c>
      <c r="L121" s="16">
        <f t="shared" si="3"/>
        <v>0</v>
      </c>
      <c r="M121" s="22">
        <v>45047</v>
      </c>
      <c r="N121" s="44"/>
      <c r="O121" s="23" t="s">
        <v>26</v>
      </c>
      <c r="P121" s="24"/>
      <c r="Q121" s="28" t="s">
        <v>193</v>
      </c>
    </row>
    <row r="122" spans="1:17">
      <c r="A122" s="14">
        <v>118</v>
      </c>
      <c r="B122" s="15" t="s">
        <v>194</v>
      </c>
      <c r="C122" s="16">
        <f>'Медикаменты Март'!L122</f>
        <v>10</v>
      </c>
      <c r="D122" s="17"/>
      <c r="E122" s="14"/>
      <c r="F122" s="18"/>
      <c r="G122" s="19"/>
      <c r="H122" s="20"/>
      <c r="I122" s="21"/>
      <c r="J122" s="14"/>
      <c r="K122" s="14">
        <f t="shared" si="2"/>
        <v>0</v>
      </c>
      <c r="L122" s="16">
        <f t="shared" si="3"/>
        <v>10</v>
      </c>
      <c r="M122" s="22">
        <v>45658</v>
      </c>
      <c r="N122" s="44" t="s">
        <v>45</v>
      </c>
      <c r="O122" s="23" t="s">
        <v>16</v>
      </c>
      <c r="P122" s="24" t="s">
        <v>45</v>
      </c>
      <c r="Q122" s="28" t="s">
        <v>195</v>
      </c>
    </row>
    <row r="123" spans="1:17">
      <c r="A123" s="14">
        <v>119</v>
      </c>
      <c r="B123" s="15" t="s">
        <v>196</v>
      </c>
      <c r="C123" s="16">
        <f>'Медикаменты Март'!L123</f>
        <v>56</v>
      </c>
      <c r="D123" s="17"/>
      <c r="E123" s="14"/>
      <c r="F123" s="18"/>
      <c r="G123" s="19"/>
      <c r="H123" s="20"/>
      <c r="I123" s="21"/>
      <c r="J123" s="14"/>
      <c r="K123" s="14">
        <f t="shared" si="2"/>
        <v>0</v>
      </c>
      <c r="L123" s="16">
        <f t="shared" si="3"/>
        <v>56</v>
      </c>
      <c r="M123" s="22">
        <v>44593</v>
      </c>
      <c r="N123" s="44" t="s">
        <v>45</v>
      </c>
      <c r="O123" s="23" t="s">
        <v>16</v>
      </c>
      <c r="P123" s="24" t="s">
        <v>17</v>
      </c>
      <c r="Q123" s="28" t="s">
        <v>197</v>
      </c>
    </row>
    <row r="124" spans="1:17">
      <c r="A124" s="14">
        <v>120</v>
      </c>
      <c r="B124" s="15" t="s">
        <v>198</v>
      </c>
      <c r="C124" s="16">
        <f>'Медикаменты Март'!L124</f>
        <v>0</v>
      </c>
      <c r="D124" s="17"/>
      <c r="E124" s="14"/>
      <c r="F124" s="18"/>
      <c r="G124" s="19"/>
      <c r="H124" s="20"/>
      <c r="I124" s="21"/>
      <c r="J124" s="14"/>
      <c r="K124" s="14">
        <f t="shared" si="2"/>
        <v>0</v>
      </c>
      <c r="L124" s="16">
        <f t="shared" si="3"/>
        <v>0</v>
      </c>
      <c r="M124" s="22"/>
      <c r="N124" s="44"/>
      <c r="O124" s="23" t="s">
        <v>16</v>
      </c>
      <c r="P124" s="24"/>
      <c r="Q124" s="25"/>
    </row>
    <row r="125" spans="1:17">
      <c r="A125" s="14">
        <v>121</v>
      </c>
      <c r="B125" s="15" t="s">
        <v>199</v>
      </c>
      <c r="C125" s="16">
        <f>'Медикаменты Март'!L125</f>
        <v>0</v>
      </c>
      <c r="D125" s="17"/>
      <c r="E125" s="14"/>
      <c r="F125" s="18"/>
      <c r="G125" s="19"/>
      <c r="H125" s="20"/>
      <c r="I125" s="21"/>
      <c r="J125" s="14"/>
      <c r="K125" s="14">
        <f t="shared" si="2"/>
        <v>0</v>
      </c>
      <c r="L125" s="16">
        <f t="shared" si="3"/>
        <v>0</v>
      </c>
      <c r="M125" s="22"/>
      <c r="N125" s="44"/>
      <c r="O125" s="23" t="s">
        <v>16</v>
      </c>
      <c r="P125" s="24"/>
      <c r="Q125" s="25"/>
    </row>
    <row r="126" spans="1:17">
      <c r="A126" s="14">
        <v>122</v>
      </c>
      <c r="B126" s="15" t="s">
        <v>548</v>
      </c>
      <c r="C126" s="16">
        <f>'Медикаменты Март'!L126</f>
        <v>221</v>
      </c>
      <c r="D126" s="17"/>
      <c r="E126" s="14"/>
      <c r="F126" s="18">
        <f>10+5+8+15</f>
        <v>38</v>
      </c>
      <c r="G126" s="19"/>
      <c r="H126" s="20">
        <f>10</f>
        <v>10</v>
      </c>
      <c r="I126" s="21"/>
      <c r="J126" s="14"/>
      <c r="K126" s="14">
        <f t="shared" si="2"/>
        <v>48</v>
      </c>
      <c r="L126" s="16">
        <f t="shared" si="3"/>
        <v>173</v>
      </c>
      <c r="M126" s="22">
        <v>45658</v>
      </c>
      <c r="N126" s="44" t="s">
        <v>45</v>
      </c>
      <c r="O126" s="23" t="s">
        <v>26</v>
      </c>
      <c r="P126" s="24" t="s">
        <v>17</v>
      </c>
      <c r="Q126" s="23" t="s">
        <v>201</v>
      </c>
    </row>
    <row r="127" spans="1:17">
      <c r="A127" s="14">
        <v>123</v>
      </c>
      <c r="B127" s="15" t="s">
        <v>202</v>
      </c>
      <c r="C127" s="16">
        <f>'Медикаменты Март'!L127</f>
        <v>0</v>
      </c>
      <c r="D127" s="17"/>
      <c r="E127" s="14"/>
      <c r="F127" s="18"/>
      <c r="G127" s="19"/>
      <c r="H127" s="20"/>
      <c r="I127" s="21"/>
      <c r="J127" s="14"/>
      <c r="K127" s="14">
        <f t="shared" si="2"/>
        <v>0</v>
      </c>
      <c r="L127" s="16">
        <f t="shared" si="3"/>
        <v>0</v>
      </c>
      <c r="M127" s="22"/>
      <c r="N127" s="44"/>
      <c r="O127" s="23" t="s">
        <v>16</v>
      </c>
      <c r="P127" s="24"/>
      <c r="Q127" s="25"/>
    </row>
    <row r="128" spans="1:17">
      <c r="A128" s="14">
        <v>124</v>
      </c>
      <c r="B128" s="15" t="s">
        <v>203</v>
      </c>
      <c r="C128" s="16">
        <f>'Медикаменты Март'!L128</f>
        <v>0</v>
      </c>
      <c r="D128" s="17"/>
      <c r="E128" s="14"/>
      <c r="F128" s="18"/>
      <c r="G128" s="19"/>
      <c r="H128" s="20"/>
      <c r="I128" s="21"/>
      <c r="J128" s="14"/>
      <c r="K128" s="14">
        <f t="shared" si="2"/>
        <v>0</v>
      </c>
      <c r="L128" s="16">
        <f t="shared" si="3"/>
        <v>0</v>
      </c>
      <c r="M128" s="22">
        <v>44287</v>
      </c>
      <c r="N128" s="44"/>
      <c r="O128" s="23" t="s">
        <v>16</v>
      </c>
      <c r="P128" s="24"/>
      <c r="Q128" s="23" t="s">
        <v>204</v>
      </c>
    </row>
    <row r="129" spans="1:17">
      <c r="A129" s="14">
        <v>125</v>
      </c>
      <c r="B129" s="15" t="s">
        <v>205</v>
      </c>
      <c r="C129" s="16">
        <f>'Медикаменты Март'!L129</f>
        <v>0</v>
      </c>
      <c r="D129" s="17"/>
      <c r="E129" s="14"/>
      <c r="F129" s="18"/>
      <c r="G129" s="19"/>
      <c r="H129" s="20"/>
      <c r="I129" s="21"/>
      <c r="J129" s="14"/>
      <c r="K129" s="14">
        <f t="shared" si="2"/>
        <v>0</v>
      </c>
      <c r="L129" s="16">
        <f t="shared" si="3"/>
        <v>0</v>
      </c>
      <c r="M129" s="22"/>
      <c r="N129" s="44"/>
      <c r="O129" s="23" t="s">
        <v>16</v>
      </c>
      <c r="P129" s="24"/>
      <c r="Q129" s="25"/>
    </row>
    <row r="130" spans="1:17">
      <c r="A130" s="14">
        <v>126</v>
      </c>
      <c r="B130" s="15" t="s">
        <v>206</v>
      </c>
      <c r="C130" s="16">
        <f>'Медикаменты Март'!L130</f>
        <v>0</v>
      </c>
      <c r="D130" s="17"/>
      <c r="E130" s="14"/>
      <c r="F130" s="18"/>
      <c r="G130" s="19"/>
      <c r="H130" s="20"/>
      <c r="I130" s="21"/>
      <c r="J130" s="14"/>
      <c r="K130" s="14">
        <f t="shared" si="2"/>
        <v>0</v>
      </c>
      <c r="L130" s="16">
        <f t="shared" si="3"/>
        <v>0</v>
      </c>
      <c r="M130" s="22"/>
      <c r="N130" s="44"/>
      <c r="O130" s="23" t="s">
        <v>16</v>
      </c>
      <c r="P130" s="24"/>
      <c r="Q130" s="25"/>
    </row>
    <row r="131" spans="1:17">
      <c r="A131" s="14">
        <v>127</v>
      </c>
      <c r="B131" s="15" t="s">
        <v>207</v>
      </c>
      <c r="C131" s="16">
        <f>'Медикаменты Март'!L131</f>
        <v>0</v>
      </c>
      <c r="D131" s="17"/>
      <c r="E131" s="14"/>
      <c r="F131" s="18"/>
      <c r="G131" s="19"/>
      <c r="H131" s="20"/>
      <c r="I131" s="21"/>
      <c r="J131" s="14"/>
      <c r="K131" s="14">
        <f t="shared" si="2"/>
        <v>0</v>
      </c>
      <c r="L131" s="16">
        <f t="shared" si="3"/>
        <v>0</v>
      </c>
      <c r="M131" s="22"/>
      <c r="N131" s="44"/>
      <c r="O131" s="23" t="s">
        <v>16</v>
      </c>
      <c r="P131" s="24"/>
      <c r="Q131" s="25"/>
    </row>
    <row r="132" spans="1:17">
      <c r="A132" s="14">
        <v>128</v>
      </c>
      <c r="B132" s="15" t="s">
        <v>208</v>
      </c>
      <c r="C132" s="16">
        <f>'Медикаменты Март'!L132</f>
        <v>0</v>
      </c>
      <c r="D132" s="17"/>
      <c r="E132" s="14"/>
      <c r="F132" s="18"/>
      <c r="G132" s="19"/>
      <c r="H132" s="20"/>
      <c r="I132" s="21"/>
      <c r="J132" s="14"/>
      <c r="K132" s="14">
        <f t="shared" si="2"/>
        <v>0</v>
      </c>
      <c r="L132" s="16">
        <f t="shared" si="3"/>
        <v>0</v>
      </c>
      <c r="M132" s="22">
        <v>44986</v>
      </c>
      <c r="N132" s="44"/>
      <c r="O132" s="23" t="s">
        <v>16</v>
      </c>
      <c r="P132" s="24"/>
      <c r="Q132" s="23" t="s">
        <v>209</v>
      </c>
    </row>
    <row r="133" spans="1:17">
      <c r="A133" s="14">
        <v>129</v>
      </c>
      <c r="B133" s="15" t="s">
        <v>210</v>
      </c>
      <c r="C133" s="16">
        <f>'Медикаменты Март'!L133</f>
        <v>75</v>
      </c>
      <c r="D133" s="17"/>
      <c r="E133" s="14"/>
      <c r="F133" s="18">
        <f>5+8+20</f>
        <v>33</v>
      </c>
      <c r="G133" s="19"/>
      <c r="H133" s="20">
        <f>10</f>
        <v>10</v>
      </c>
      <c r="I133" s="21"/>
      <c r="J133" s="14"/>
      <c r="K133" s="14">
        <f t="shared" ref="K133:K196" si="4">SUM(F133:J133)</f>
        <v>43</v>
      </c>
      <c r="L133" s="16">
        <f t="shared" ref="L133:L196" si="5">(C133+E133)-K133</f>
        <v>32</v>
      </c>
      <c r="M133" s="22">
        <v>45413</v>
      </c>
      <c r="N133" s="44" t="s">
        <v>45</v>
      </c>
      <c r="O133" s="23" t="s">
        <v>16</v>
      </c>
      <c r="P133" s="24" t="s">
        <v>17</v>
      </c>
      <c r="Q133" s="23" t="s">
        <v>211</v>
      </c>
    </row>
    <row r="134" spans="1:17">
      <c r="A134" s="14">
        <v>130</v>
      </c>
      <c r="B134" s="15" t="s">
        <v>210</v>
      </c>
      <c r="C134" s="16">
        <f>'Медикаменты Март'!L134</f>
        <v>7</v>
      </c>
      <c r="D134" s="17"/>
      <c r="E134" s="14"/>
      <c r="F134" s="18"/>
      <c r="G134" s="19"/>
      <c r="H134" s="20"/>
      <c r="I134" s="21"/>
      <c r="J134" s="14"/>
      <c r="K134" s="14">
        <f t="shared" si="4"/>
        <v>0</v>
      </c>
      <c r="L134" s="16">
        <f t="shared" si="5"/>
        <v>7</v>
      </c>
      <c r="M134" s="22">
        <v>45413</v>
      </c>
      <c r="N134" s="44" t="s">
        <v>45</v>
      </c>
      <c r="O134" s="23" t="s">
        <v>26</v>
      </c>
      <c r="P134" s="24" t="s">
        <v>17</v>
      </c>
      <c r="Q134" s="23" t="s">
        <v>211</v>
      </c>
    </row>
    <row r="135" spans="1:17">
      <c r="A135" s="14">
        <v>131</v>
      </c>
      <c r="B135" s="15" t="s">
        <v>212</v>
      </c>
      <c r="C135" s="16">
        <f>'Медикаменты Март'!L135</f>
        <v>0</v>
      </c>
      <c r="D135" s="17"/>
      <c r="E135" s="14"/>
      <c r="F135" s="18"/>
      <c r="G135" s="19"/>
      <c r="H135" s="20"/>
      <c r="I135" s="21"/>
      <c r="J135" s="14"/>
      <c r="K135" s="14">
        <f t="shared" si="4"/>
        <v>0</v>
      </c>
      <c r="L135" s="16">
        <f t="shared" si="5"/>
        <v>0</v>
      </c>
      <c r="M135" s="22"/>
      <c r="N135" s="44"/>
      <c r="O135" s="23" t="s">
        <v>16</v>
      </c>
      <c r="P135" s="24"/>
      <c r="Q135" s="25"/>
    </row>
    <row r="136" spans="1:17" ht="26.25">
      <c r="A136" s="14">
        <v>132</v>
      </c>
      <c r="B136" s="15" t="s">
        <v>213</v>
      </c>
      <c r="C136" s="16">
        <f>'Медикаменты Март'!L136</f>
        <v>58</v>
      </c>
      <c r="D136" s="17"/>
      <c r="E136" s="14"/>
      <c r="F136" s="18">
        <f>30</f>
        <v>30</v>
      </c>
      <c r="G136" s="19">
        <f>5</f>
        <v>5</v>
      </c>
      <c r="H136" s="20"/>
      <c r="I136" s="21"/>
      <c r="J136" s="14"/>
      <c r="K136" s="14">
        <f t="shared" si="4"/>
        <v>35</v>
      </c>
      <c r="L136" s="16">
        <f t="shared" si="5"/>
        <v>23</v>
      </c>
      <c r="M136" s="22">
        <v>44409</v>
      </c>
      <c r="N136" s="44" t="s">
        <v>552</v>
      </c>
      <c r="O136" s="23" t="s">
        <v>16</v>
      </c>
      <c r="P136" s="24" t="s">
        <v>17</v>
      </c>
      <c r="Q136" s="28" t="s">
        <v>214</v>
      </c>
    </row>
    <row r="137" spans="1:17">
      <c r="A137" s="14">
        <v>133</v>
      </c>
      <c r="B137" s="15" t="s">
        <v>215</v>
      </c>
      <c r="C137" s="16">
        <f>'Медикаменты Март'!L137</f>
        <v>0</v>
      </c>
      <c r="D137" s="17"/>
      <c r="E137" s="14"/>
      <c r="F137" s="18"/>
      <c r="G137" s="19"/>
      <c r="H137" s="20"/>
      <c r="I137" s="21"/>
      <c r="J137" s="14"/>
      <c r="K137" s="14">
        <f t="shared" si="4"/>
        <v>0</v>
      </c>
      <c r="L137" s="16">
        <f t="shared" si="5"/>
        <v>0</v>
      </c>
      <c r="M137" s="22"/>
      <c r="N137" s="44"/>
      <c r="O137" s="23" t="s">
        <v>26</v>
      </c>
      <c r="P137" s="24"/>
      <c r="Q137" s="25"/>
    </row>
    <row r="138" spans="1:17" ht="26.25">
      <c r="A138" s="14">
        <v>134</v>
      </c>
      <c r="B138" s="15" t="s">
        <v>216</v>
      </c>
      <c r="C138" s="16">
        <f>'Медикаменты Март'!L138</f>
        <v>26</v>
      </c>
      <c r="D138" s="17"/>
      <c r="E138" s="14"/>
      <c r="F138" s="18">
        <f>5</f>
        <v>5</v>
      </c>
      <c r="G138" s="19"/>
      <c r="H138" s="20"/>
      <c r="I138" s="21"/>
      <c r="J138" s="14"/>
      <c r="K138" s="14">
        <f t="shared" si="4"/>
        <v>5</v>
      </c>
      <c r="L138" s="16">
        <f t="shared" si="5"/>
        <v>21</v>
      </c>
      <c r="M138" s="22">
        <v>44805</v>
      </c>
      <c r="N138" s="44" t="s">
        <v>45</v>
      </c>
      <c r="O138" s="23" t="s">
        <v>16</v>
      </c>
      <c r="P138" s="24" t="s">
        <v>17</v>
      </c>
      <c r="Q138" s="28" t="s">
        <v>217</v>
      </c>
    </row>
    <row r="139" spans="1:17">
      <c r="A139" s="14">
        <v>135</v>
      </c>
      <c r="B139" s="15" t="s">
        <v>216</v>
      </c>
      <c r="C139" s="16">
        <f>'Медикаменты Март'!L139</f>
        <v>0</v>
      </c>
      <c r="D139" s="17"/>
      <c r="E139" s="14"/>
      <c r="F139" s="18"/>
      <c r="G139" s="19"/>
      <c r="H139" s="20"/>
      <c r="I139" s="21"/>
      <c r="J139" s="14"/>
      <c r="K139" s="14">
        <f t="shared" si="4"/>
        <v>0</v>
      </c>
      <c r="L139" s="16">
        <f t="shared" si="5"/>
        <v>0</v>
      </c>
      <c r="M139" s="22"/>
      <c r="N139" s="44"/>
      <c r="O139" s="23" t="s">
        <v>26</v>
      </c>
      <c r="P139" s="24"/>
      <c r="Q139" s="25"/>
    </row>
    <row r="140" spans="1:17">
      <c r="A140" s="14">
        <v>136</v>
      </c>
      <c r="B140" s="15" t="s">
        <v>218</v>
      </c>
      <c r="C140" s="16">
        <f>'Медикаменты Март'!L140</f>
        <v>0</v>
      </c>
      <c r="D140" s="17"/>
      <c r="E140" s="14"/>
      <c r="F140" s="18"/>
      <c r="G140" s="19"/>
      <c r="H140" s="20"/>
      <c r="I140" s="21"/>
      <c r="J140" s="14"/>
      <c r="K140" s="14">
        <f t="shared" si="4"/>
        <v>0</v>
      </c>
      <c r="L140" s="16">
        <f t="shared" si="5"/>
        <v>0</v>
      </c>
      <c r="M140" s="22"/>
      <c r="N140" s="44"/>
      <c r="O140" s="23" t="s">
        <v>16</v>
      </c>
      <c r="P140" s="24"/>
      <c r="Q140" s="25"/>
    </row>
    <row r="141" spans="1:17">
      <c r="A141" s="14">
        <v>137</v>
      </c>
      <c r="B141" s="15" t="s">
        <v>219</v>
      </c>
      <c r="C141" s="16">
        <f>'Медикаменты Март'!L141</f>
        <v>0</v>
      </c>
      <c r="D141" s="17"/>
      <c r="E141" s="14"/>
      <c r="F141" s="18"/>
      <c r="G141" s="19"/>
      <c r="H141" s="20"/>
      <c r="I141" s="21"/>
      <c r="J141" s="14"/>
      <c r="K141" s="14">
        <f t="shared" si="4"/>
        <v>0</v>
      </c>
      <c r="L141" s="16">
        <f t="shared" si="5"/>
        <v>0</v>
      </c>
      <c r="M141" s="22"/>
      <c r="N141" s="44"/>
      <c r="O141" s="23" t="s">
        <v>16</v>
      </c>
      <c r="P141" s="24"/>
      <c r="Q141" s="25"/>
    </row>
    <row r="142" spans="1:17">
      <c r="A142" s="14">
        <v>138</v>
      </c>
      <c r="B142" s="15" t="s">
        <v>220</v>
      </c>
      <c r="C142" s="16">
        <f>'Медикаменты Март'!L142</f>
        <v>0</v>
      </c>
      <c r="D142" s="17"/>
      <c r="E142" s="14"/>
      <c r="F142" s="18"/>
      <c r="G142" s="19"/>
      <c r="H142" s="20"/>
      <c r="I142" s="21"/>
      <c r="J142" s="14"/>
      <c r="K142" s="14">
        <f t="shared" si="4"/>
        <v>0</v>
      </c>
      <c r="L142" s="16">
        <f t="shared" si="5"/>
        <v>0</v>
      </c>
      <c r="M142" s="22">
        <v>44256</v>
      </c>
      <c r="N142" s="44"/>
      <c r="O142" s="23" t="s">
        <v>16</v>
      </c>
      <c r="P142" s="24"/>
      <c r="Q142" s="23" t="s">
        <v>221</v>
      </c>
    </row>
    <row r="143" spans="1:17">
      <c r="A143" s="14">
        <v>139</v>
      </c>
      <c r="B143" s="15" t="s">
        <v>222</v>
      </c>
      <c r="C143" s="16">
        <f>'Медикаменты Март'!L143</f>
        <v>36</v>
      </c>
      <c r="D143" s="17"/>
      <c r="E143" s="14"/>
      <c r="F143" s="18">
        <f>10+5+11</f>
        <v>26</v>
      </c>
      <c r="G143" s="19"/>
      <c r="H143" s="20"/>
      <c r="I143" s="21">
        <f>10</f>
        <v>10</v>
      </c>
      <c r="J143" s="14"/>
      <c r="K143" s="14">
        <f t="shared" si="4"/>
        <v>36</v>
      </c>
      <c r="L143" s="16">
        <f t="shared" si="5"/>
        <v>0</v>
      </c>
      <c r="M143" s="22">
        <v>44317</v>
      </c>
      <c r="N143" s="44" t="s">
        <v>45</v>
      </c>
      <c r="O143" s="23" t="s">
        <v>16</v>
      </c>
      <c r="P143" s="24" t="s">
        <v>17</v>
      </c>
      <c r="Q143" s="23" t="s">
        <v>223</v>
      </c>
    </row>
    <row r="144" spans="1:17">
      <c r="A144" s="14">
        <v>140</v>
      </c>
      <c r="B144" s="15" t="s">
        <v>224</v>
      </c>
      <c r="C144" s="16">
        <f>'Медикаменты Март'!L144</f>
        <v>0</v>
      </c>
      <c r="D144" s="17"/>
      <c r="E144" s="14"/>
      <c r="F144" s="18"/>
      <c r="G144" s="19"/>
      <c r="H144" s="20"/>
      <c r="I144" s="21"/>
      <c r="J144" s="14"/>
      <c r="K144" s="14">
        <f t="shared" si="4"/>
        <v>0</v>
      </c>
      <c r="L144" s="16">
        <f t="shared" si="5"/>
        <v>0</v>
      </c>
      <c r="M144" s="22">
        <v>45261</v>
      </c>
      <c r="N144" s="44"/>
      <c r="O144" s="23" t="s">
        <v>16</v>
      </c>
      <c r="P144" s="24"/>
      <c r="Q144" s="28" t="s">
        <v>225</v>
      </c>
    </row>
    <row r="145" spans="1:17">
      <c r="A145" s="14">
        <v>141</v>
      </c>
      <c r="B145" s="15" t="s">
        <v>226</v>
      </c>
      <c r="C145" s="16">
        <f>'Медикаменты Март'!L145</f>
        <v>0</v>
      </c>
      <c r="D145" s="17"/>
      <c r="E145" s="14"/>
      <c r="F145" s="18"/>
      <c r="G145" s="19"/>
      <c r="H145" s="20"/>
      <c r="I145" s="21"/>
      <c r="J145" s="14"/>
      <c r="K145" s="14">
        <f t="shared" si="4"/>
        <v>0</v>
      </c>
      <c r="L145" s="16">
        <f t="shared" si="5"/>
        <v>0</v>
      </c>
      <c r="M145" s="22"/>
      <c r="N145" s="44"/>
      <c r="O145" s="23" t="s">
        <v>16</v>
      </c>
      <c r="P145" s="24"/>
      <c r="Q145" s="25"/>
    </row>
    <row r="146" spans="1:17">
      <c r="A146" s="14">
        <v>142</v>
      </c>
      <c r="B146" s="15" t="s">
        <v>227</v>
      </c>
      <c r="C146" s="16">
        <f>'Медикаменты Март'!L146</f>
        <v>0</v>
      </c>
      <c r="D146" s="17"/>
      <c r="E146" s="14"/>
      <c r="F146" s="18"/>
      <c r="G146" s="19"/>
      <c r="H146" s="20"/>
      <c r="I146" s="21"/>
      <c r="J146" s="14"/>
      <c r="K146" s="14">
        <f t="shared" si="4"/>
        <v>0</v>
      </c>
      <c r="L146" s="16">
        <f t="shared" si="5"/>
        <v>0</v>
      </c>
      <c r="M146" s="22">
        <v>44562</v>
      </c>
      <c r="N146" s="44"/>
      <c r="O146" s="23" t="s">
        <v>16</v>
      </c>
      <c r="P146" s="24"/>
      <c r="Q146" s="23" t="s">
        <v>228</v>
      </c>
    </row>
    <row r="147" spans="1:17">
      <c r="A147" s="14">
        <v>143</v>
      </c>
      <c r="B147" s="15" t="s">
        <v>229</v>
      </c>
      <c r="C147" s="16">
        <f>'Медикаменты Март'!L147</f>
        <v>36</v>
      </c>
      <c r="D147" s="17"/>
      <c r="E147" s="14"/>
      <c r="F147" s="18"/>
      <c r="G147" s="19"/>
      <c r="H147" s="20"/>
      <c r="I147" s="21"/>
      <c r="J147" s="14"/>
      <c r="K147" s="14">
        <f t="shared" si="4"/>
        <v>0</v>
      </c>
      <c r="L147" s="16">
        <f t="shared" si="5"/>
        <v>36</v>
      </c>
      <c r="M147" s="22">
        <v>44986</v>
      </c>
      <c r="N147" s="44" t="s">
        <v>45</v>
      </c>
      <c r="O147" s="23" t="s">
        <v>16</v>
      </c>
      <c r="P147" s="24" t="s">
        <v>17</v>
      </c>
      <c r="Q147" s="23" t="s">
        <v>230</v>
      </c>
    </row>
    <row r="148" spans="1:17">
      <c r="A148" s="14">
        <v>144</v>
      </c>
      <c r="B148" s="15" t="s">
        <v>231</v>
      </c>
      <c r="C148" s="16">
        <f>'Медикаменты Март'!L148</f>
        <v>0</v>
      </c>
      <c r="D148" s="17"/>
      <c r="E148" s="14"/>
      <c r="F148" s="18"/>
      <c r="G148" s="19"/>
      <c r="H148" s="20"/>
      <c r="I148" s="21"/>
      <c r="J148" s="14"/>
      <c r="K148" s="14">
        <f t="shared" si="4"/>
        <v>0</v>
      </c>
      <c r="L148" s="16">
        <f t="shared" si="5"/>
        <v>0</v>
      </c>
      <c r="M148" s="22"/>
      <c r="N148" s="44"/>
      <c r="O148" s="23" t="s">
        <v>16</v>
      </c>
      <c r="P148" s="24"/>
      <c r="Q148" s="25"/>
    </row>
    <row r="149" spans="1:17">
      <c r="A149" s="14">
        <v>145</v>
      </c>
      <c r="B149" s="15" t="s">
        <v>232</v>
      </c>
      <c r="C149" s="16">
        <f>'Медикаменты Март'!L149</f>
        <v>0</v>
      </c>
      <c r="D149" s="17"/>
      <c r="E149" s="14"/>
      <c r="F149" s="18"/>
      <c r="G149" s="19"/>
      <c r="H149" s="20"/>
      <c r="I149" s="21"/>
      <c r="J149" s="14"/>
      <c r="K149" s="14">
        <f t="shared" si="4"/>
        <v>0</v>
      </c>
      <c r="L149" s="16">
        <f t="shared" si="5"/>
        <v>0</v>
      </c>
      <c r="M149" s="22"/>
      <c r="N149" s="44"/>
      <c r="O149" s="23" t="s">
        <v>16</v>
      </c>
      <c r="P149" s="24"/>
      <c r="Q149" s="25"/>
    </row>
    <row r="150" spans="1:17">
      <c r="A150" s="14">
        <v>146</v>
      </c>
      <c r="B150" s="15" t="s">
        <v>233</v>
      </c>
      <c r="C150" s="16">
        <f>'Медикаменты Март'!L150</f>
        <v>0</v>
      </c>
      <c r="D150" s="17"/>
      <c r="E150" s="14"/>
      <c r="F150" s="18"/>
      <c r="G150" s="19"/>
      <c r="H150" s="20"/>
      <c r="I150" s="21"/>
      <c r="J150" s="14"/>
      <c r="K150" s="14">
        <f t="shared" si="4"/>
        <v>0</v>
      </c>
      <c r="L150" s="16">
        <f t="shared" si="5"/>
        <v>0</v>
      </c>
      <c r="M150" s="22">
        <v>44287</v>
      </c>
      <c r="N150" s="44"/>
      <c r="O150" s="23" t="s">
        <v>16</v>
      </c>
      <c r="P150" s="24" t="s">
        <v>45</v>
      </c>
      <c r="Q150" s="23" t="s">
        <v>234</v>
      </c>
    </row>
    <row r="151" spans="1:17">
      <c r="A151" s="14">
        <v>147</v>
      </c>
      <c r="B151" s="15" t="s">
        <v>235</v>
      </c>
      <c r="C151" s="16">
        <f>'Медикаменты Март'!L151</f>
        <v>0</v>
      </c>
      <c r="D151" s="17"/>
      <c r="E151" s="14"/>
      <c r="F151" s="18"/>
      <c r="G151" s="19"/>
      <c r="H151" s="20"/>
      <c r="I151" s="21"/>
      <c r="J151" s="14"/>
      <c r="K151" s="14">
        <f t="shared" si="4"/>
        <v>0</v>
      </c>
      <c r="L151" s="16">
        <f t="shared" si="5"/>
        <v>0</v>
      </c>
      <c r="M151" s="22"/>
      <c r="N151" s="44"/>
      <c r="O151" s="23" t="s">
        <v>16</v>
      </c>
      <c r="P151" s="24"/>
      <c r="Q151" s="25"/>
    </row>
    <row r="152" spans="1:17">
      <c r="A152" s="14">
        <v>148</v>
      </c>
      <c r="B152" s="15" t="s">
        <v>236</v>
      </c>
      <c r="C152" s="16">
        <f>'Медикаменты Март'!L152</f>
        <v>79</v>
      </c>
      <c r="D152" s="17"/>
      <c r="E152" s="14"/>
      <c r="F152" s="18">
        <f>3</f>
        <v>3</v>
      </c>
      <c r="G152" s="19"/>
      <c r="H152" s="20"/>
      <c r="I152" s="21"/>
      <c r="J152" s="14"/>
      <c r="K152" s="14">
        <f t="shared" si="4"/>
        <v>3</v>
      </c>
      <c r="L152" s="16">
        <f t="shared" si="5"/>
        <v>76</v>
      </c>
      <c r="M152" s="22">
        <v>44593</v>
      </c>
      <c r="N152" s="44" t="s">
        <v>45</v>
      </c>
      <c r="O152" s="23" t="s">
        <v>16</v>
      </c>
      <c r="P152" s="24" t="s">
        <v>45</v>
      </c>
      <c r="Q152" s="28" t="s">
        <v>237</v>
      </c>
    </row>
    <row r="153" spans="1:17">
      <c r="A153" s="14">
        <v>149</v>
      </c>
      <c r="B153" s="15" t="s">
        <v>238</v>
      </c>
      <c r="C153" s="16">
        <f>'Медикаменты Март'!L153</f>
        <v>0</v>
      </c>
      <c r="D153" s="17"/>
      <c r="E153" s="14"/>
      <c r="F153" s="18"/>
      <c r="G153" s="19"/>
      <c r="H153" s="20"/>
      <c r="I153" s="21"/>
      <c r="J153" s="14"/>
      <c r="K153" s="14">
        <f t="shared" si="4"/>
        <v>0</v>
      </c>
      <c r="L153" s="16">
        <f t="shared" si="5"/>
        <v>0</v>
      </c>
      <c r="M153" s="22"/>
      <c r="N153" s="44"/>
      <c r="O153" s="23" t="s">
        <v>16</v>
      </c>
      <c r="P153" s="24"/>
      <c r="Q153" s="25"/>
    </row>
    <row r="154" spans="1:17">
      <c r="A154" s="14">
        <v>150</v>
      </c>
      <c r="B154" s="15" t="s">
        <v>239</v>
      </c>
      <c r="C154" s="16">
        <f>'Медикаменты Март'!L154</f>
        <v>0</v>
      </c>
      <c r="D154" s="17"/>
      <c r="E154" s="14"/>
      <c r="F154" s="18"/>
      <c r="G154" s="19"/>
      <c r="H154" s="20"/>
      <c r="I154" s="21"/>
      <c r="J154" s="14"/>
      <c r="K154" s="14">
        <f t="shared" si="4"/>
        <v>0</v>
      </c>
      <c r="L154" s="16">
        <f t="shared" si="5"/>
        <v>0</v>
      </c>
      <c r="M154" s="22"/>
      <c r="N154" s="44"/>
      <c r="O154" s="23" t="s">
        <v>16</v>
      </c>
      <c r="P154" s="24"/>
      <c r="Q154" s="25"/>
    </row>
    <row r="155" spans="1:17">
      <c r="A155" s="14">
        <v>151</v>
      </c>
      <c r="B155" s="15" t="s">
        <v>240</v>
      </c>
      <c r="C155" s="16">
        <f>'Медикаменты Март'!L155</f>
        <v>111</v>
      </c>
      <c r="D155" s="17"/>
      <c r="E155" s="14"/>
      <c r="F155" s="18">
        <f>5</f>
        <v>5</v>
      </c>
      <c r="G155" s="19"/>
      <c r="H155" s="20">
        <f>3</f>
        <v>3</v>
      </c>
      <c r="I155" s="21"/>
      <c r="J155" s="14"/>
      <c r="K155" s="14">
        <f t="shared" si="4"/>
        <v>8</v>
      </c>
      <c r="L155" s="16">
        <f t="shared" si="5"/>
        <v>103</v>
      </c>
      <c r="M155" s="22">
        <v>44652</v>
      </c>
      <c r="N155" s="44" t="s">
        <v>45</v>
      </c>
      <c r="O155" s="23" t="s">
        <v>16</v>
      </c>
      <c r="P155" s="24" t="s">
        <v>17</v>
      </c>
      <c r="Q155" s="28" t="s">
        <v>241</v>
      </c>
    </row>
    <row r="156" spans="1:17">
      <c r="A156" s="14">
        <v>152</v>
      </c>
      <c r="B156" s="15" t="s">
        <v>242</v>
      </c>
      <c r="C156" s="16">
        <f>'Медикаменты Март'!L156</f>
        <v>0</v>
      </c>
      <c r="D156" s="17"/>
      <c r="E156" s="14"/>
      <c r="F156" s="18"/>
      <c r="G156" s="19"/>
      <c r="H156" s="20"/>
      <c r="I156" s="21"/>
      <c r="J156" s="14"/>
      <c r="K156" s="14">
        <f t="shared" si="4"/>
        <v>0</v>
      </c>
      <c r="L156" s="16">
        <f t="shared" si="5"/>
        <v>0</v>
      </c>
      <c r="M156" s="22"/>
      <c r="N156" s="44"/>
      <c r="O156" s="23" t="s">
        <v>16</v>
      </c>
      <c r="P156" s="24"/>
      <c r="Q156" s="25"/>
    </row>
    <row r="157" spans="1:17" ht="26.25">
      <c r="A157" s="14">
        <v>153</v>
      </c>
      <c r="B157" s="15" t="s">
        <v>243</v>
      </c>
      <c r="C157" s="16">
        <f>'Медикаменты Март'!L157</f>
        <v>150</v>
      </c>
      <c r="D157" s="17"/>
      <c r="E157" s="14"/>
      <c r="F157" s="18"/>
      <c r="G157" s="19"/>
      <c r="H157" s="20"/>
      <c r="I157" s="21"/>
      <c r="J157" s="14"/>
      <c r="K157" s="14">
        <f t="shared" si="4"/>
        <v>0</v>
      </c>
      <c r="L157" s="16">
        <f t="shared" si="5"/>
        <v>150</v>
      </c>
      <c r="M157" s="22">
        <v>44501</v>
      </c>
      <c r="N157" s="44" t="s">
        <v>45</v>
      </c>
      <c r="O157" s="23" t="s">
        <v>16</v>
      </c>
      <c r="P157" s="24" t="s">
        <v>17</v>
      </c>
      <c r="Q157" s="28" t="s">
        <v>244</v>
      </c>
    </row>
    <row r="158" spans="1:17">
      <c r="A158" s="14">
        <v>154</v>
      </c>
      <c r="B158" s="15" t="s">
        <v>245</v>
      </c>
      <c r="C158" s="16">
        <f>'Медикаменты Март'!L158</f>
        <v>0</v>
      </c>
      <c r="D158" s="17"/>
      <c r="E158" s="14"/>
      <c r="F158" s="18"/>
      <c r="G158" s="19"/>
      <c r="H158" s="20"/>
      <c r="I158" s="21"/>
      <c r="J158" s="14"/>
      <c r="K158" s="14">
        <f t="shared" si="4"/>
        <v>0</v>
      </c>
      <c r="L158" s="16">
        <f t="shared" si="5"/>
        <v>0</v>
      </c>
      <c r="M158" s="22"/>
      <c r="N158" s="44"/>
      <c r="O158" s="23" t="s">
        <v>16</v>
      </c>
      <c r="P158" s="24"/>
      <c r="Q158" s="25"/>
    </row>
    <row r="159" spans="1:17">
      <c r="A159" s="14">
        <v>155</v>
      </c>
      <c r="B159" s="15" t="s">
        <v>246</v>
      </c>
      <c r="C159" s="16">
        <f>'Медикаменты Март'!L159</f>
        <v>0</v>
      </c>
      <c r="D159" s="17"/>
      <c r="E159" s="14"/>
      <c r="F159" s="18"/>
      <c r="G159" s="19"/>
      <c r="H159" s="20"/>
      <c r="I159" s="21"/>
      <c r="J159" s="14"/>
      <c r="K159" s="14">
        <f t="shared" si="4"/>
        <v>0</v>
      </c>
      <c r="L159" s="16">
        <f t="shared" si="5"/>
        <v>0</v>
      </c>
      <c r="M159" s="22"/>
      <c r="N159" s="44"/>
      <c r="O159" s="23" t="s">
        <v>16</v>
      </c>
      <c r="P159" s="24"/>
      <c r="Q159" s="25"/>
    </row>
    <row r="160" spans="1:17">
      <c r="A160" s="14">
        <v>156</v>
      </c>
      <c r="B160" s="15" t="s">
        <v>247</v>
      </c>
      <c r="C160" s="16">
        <f>'Медикаменты Март'!L160</f>
        <v>0</v>
      </c>
      <c r="D160" s="17"/>
      <c r="E160" s="14"/>
      <c r="F160" s="18"/>
      <c r="G160" s="19"/>
      <c r="H160" s="20"/>
      <c r="I160" s="21"/>
      <c r="J160" s="14"/>
      <c r="K160" s="14">
        <f t="shared" si="4"/>
        <v>0</v>
      </c>
      <c r="L160" s="16">
        <f t="shared" si="5"/>
        <v>0</v>
      </c>
      <c r="M160" s="22"/>
      <c r="N160" s="44"/>
      <c r="O160" s="23" t="s">
        <v>16</v>
      </c>
      <c r="P160" s="24"/>
      <c r="Q160" s="25"/>
    </row>
    <row r="161" spans="1:17">
      <c r="A161" s="14">
        <v>157</v>
      </c>
      <c r="B161" s="15" t="s">
        <v>248</v>
      </c>
      <c r="C161" s="16">
        <f>'Медикаменты Март'!L161</f>
        <v>0</v>
      </c>
      <c r="D161" s="17"/>
      <c r="E161" s="14"/>
      <c r="F161" s="18"/>
      <c r="G161" s="19"/>
      <c r="H161" s="20"/>
      <c r="I161" s="21"/>
      <c r="J161" s="14"/>
      <c r="K161" s="14">
        <f t="shared" si="4"/>
        <v>0</v>
      </c>
      <c r="L161" s="16">
        <f t="shared" si="5"/>
        <v>0</v>
      </c>
      <c r="M161" s="22"/>
      <c r="N161" s="44"/>
      <c r="O161" s="23" t="s">
        <v>16</v>
      </c>
      <c r="P161" s="24"/>
      <c r="Q161" s="25"/>
    </row>
    <row r="162" spans="1:17">
      <c r="A162" s="14">
        <v>158</v>
      </c>
      <c r="B162" s="15" t="s">
        <v>249</v>
      </c>
      <c r="C162" s="16">
        <f>'Медикаменты Март'!L162</f>
        <v>0</v>
      </c>
      <c r="D162" s="17"/>
      <c r="E162" s="14"/>
      <c r="F162" s="18"/>
      <c r="G162" s="19"/>
      <c r="H162" s="20"/>
      <c r="I162" s="21"/>
      <c r="J162" s="14"/>
      <c r="K162" s="14">
        <f t="shared" si="4"/>
        <v>0</v>
      </c>
      <c r="L162" s="16">
        <f t="shared" si="5"/>
        <v>0</v>
      </c>
      <c r="M162" s="22"/>
      <c r="N162" s="44"/>
      <c r="O162" s="23" t="s">
        <v>16</v>
      </c>
      <c r="P162" s="24"/>
      <c r="Q162" s="25"/>
    </row>
    <row r="163" spans="1:17">
      <c r="A163" s="14">
        <v>159</v>
      </c>
      <c r="B163" s="15" t="s">
        <v>250</v>
      </c>
      <c r="C163" s="16">
        <f>'Медикаменты Март'!L163</f>
        <v>0</v>
      </c>
      <c r="D163" s="17"/>
      <c r="E163" s="14"/>
      <c r="F163" s="18"/>
      <c r="G163" s="19"/>
      <c r="H163" s="20"/>
      <c r="I163" s="21"/>
      <c r="J163" s="14"/>
      <c r="K163" s="14">
        <f t="shared" si="4"/>
        <v>0</v>
      </c>
      <c r="L163" s="16">
        <f t="shared" si="5"/>
        <v>0</v>
      </c>
      <c r="M163" s="22"/>
      <c r="N163" s="44"/>
      <c r="O163" s="23" t="s">
        <v>16</v>
      </c>
      <c r="P163" s="24"/>
      <c r="Q163" s="25"/>
    </row>
    <row r="164" spans="1:17">
      <c r="A164" s="14">
        <v>160</v>
      </c>
      <c r="B164" s="15" t="s">
        <v>251</v>
      </c>
      <c r="C164" s="16">
        <f>'Медикаменты Март'!L164</f>
        <v>5</v>
      </c>
      <c r="D164" s="17"/>
      <c r="E164" s="14"/>
      <c r="F164" s="18">
        <f>3</f>
        <v>3</v>
      </c>
      <c r="G164" s="19"/>
      <c r="H164" s="20"/>
      <c r="I164" s="21"/>
      <c r="J164" s="14"/>
      <c r="K164" s="14">
        <f t="shared" si="4"/>
        <v>3</v>
      </c>
      <c r="L164" s="16">
        <f t="shared" si="5"/>
        <v>2</v>
      </c>
      <c r="M164" s="22">
        <v>44682</v>
      </c>
      <c r="N164" s="44" t="s">
        <v>45</v>
      </c>
      <c r="O164" s="23" t="s">
        <v>16</v>
      </c>
      <c r="P164" s="24" t="s">
        <v>45</v>
      </c>
      <c r="Q164" s="23" t="s">
        <v>252</v>
      </c>
    </row>
    <row r="165" spans="1:17">
      <c r="A165" s="14">
        <v>161</v>
      </c>
      <c r="B165" s="15" t="s">
        <v>253</v>
      </c>
      <c r="C165" s="16">
        <f>'Медикаменты Март'!L165</f>
        <v>100</v>
      </c>
      <c r="D165" s="17"/>
      <c r="E165" s="14"/>
      <c r="F165" s="18"/>
      <c r="G165" s="19"/>
      <c r="H165" s="20"/>
      <c r="I165" s="21"/>
      <c r="J165" s="14"/>
      <c r="K165" s="14">
        <f t="shared" si="4"/>
        <v>0</v>
      </c>
      <c r="L165" s="16">
        <f t="shared" si="5"/>
        <v>100</v>
      </c>
      <c r="M165" s="22">
        <v>45047</v>
      </c>
      <c r="N165" s="44" t="s">
        <v>45</v>
      </c>
      <c r="O165" s="23" t="s">
        <v>16</v>
      </c>
      <c r="P165" s="24" t="s">
        <v>17</v>
      </c>
      <c r="Q165" s="23" t="s">
        <v>254</v>
      </c>
    </row>
    <row r="166" spans="1:17">
      <c r="A166" s="14">
        <v>162</v>
      </c>
      <c r="B166" s="15" t="s">
        <v>255</v>
      </c>
      <c r="C166" s="16">
        <f>'Медикаменты Март'!L166</f>
        <v>0</v>
      </c>
      <c r="D166" s="17"/>
      <c r="E166" s="14"/>
      <c r="F166" s="18"/>
      <c r="G166" s="19"/>
      <c r="H166" s="20"/>
      <c r="I166" s="21"/>
      <c r="J166" s="14"/>
      <c r="K166" s="14">
        <f t="shared" si="4"/>
        <v>0</v>
      </c>
      <c r="L166" s="16">
        <f t="shared" si="5"/>
        <v>0</v>
      </c>
      <c r="M166" s="22">
        <v>44562</v>
      </c>
      <c r="N166" s="44"/>
      <c r="O166" s="23" t="s">
        <v>26</v>
      </c>
      <c r="P166" s="24"/>
      <c r="Q166" s="23"/>
    </row>
    <row r="167" spans="1:17">
      <c r="A167" s="14">
        <v>163</v>
      </c>
      <c r="B167" s="15" t="s">
        <v>256</v>
      </c>
      <c r="C167" s="16">
        <f>'Медикаменты Март'!L167</f>
        <v>0</v>
      </c>
      <c r="D167" s="17"/>
      <c r="E167" s="14"/>
      <c r="F167" s="18"/>
      <c r="G167" s="19"/>
      <c r="H167" s="20"/>
      <c r="I167" s="21"/>
      <c r="J167" s="14"/>
      <c r="K167" s="14">
        <f t="shared" si="4"/>
        <v>0</v>
      </c>
      <c r="L167" s="16">
        <f t="shared" si="5"/>
        <v>0</v>
      </c>
      <c r="M167" s="22">
        <v>44044</v>
      </c>
      <c r="N167" s="44"/>
      <c r="O167" s="23" t="s">
        <v>16</v>
      </c>
      <c r="P167" s="24"/>
      <c r="Q167" s="25"/>
    </row>
    <row r="168" spans="1:17">
      <c r="A168" s="14">
        <v>164</v>
      </c>
      <c r="B168" s="15" t="s">
        <v>257</v>
      </c>
      <c r="C168" s="16">
        <f>'Медикаменты Март'!L168</f>
        <v>0</v>
      </c>
      <c r="D168" s="17"/>
      <c r="E168" s="14"/>
      <c r="F168" s="18"/>
      <c r="G168" s="19"/>
      <c r="H168" s="20"/>
      <c r="I168" s="21"/>
      <c r="J168" s="14"/>
      <c r="K168" s="14">
        <f t="shared" si="4"/>
        <v>0</v>
      </c>
      <c r="L168" s="16">
        <f t="shared" si="5"/>
        <v>0</v>
      </c>
      <c r="M168" s="22">
        <v>44287</v>
      </c>
      <c r="N168" s="44"/>
      <c r="O168" s="23" t="s">
        <v>16</v>
      </c>
      <c r="P168" s="24" t="s">
        <v>17</v>
      </c>
      <c r="Q168" s="23" t="s">
        <v>258</v>
      </c>
    </row>
    <row r="169" spans="1:17">
      <c r="A169" s="14">
        <v>165</v>
      </c>
      <c r="B169" s="15" t="s">
        <v>259</v>
      </c>
      <c r="C169" s="16">
        <f>'Медикаменты Март'!L169</f>
        <v>13</v>
      </c>
      <c r="D169" s="17"/>
      <c r="E169" s="14"/>
      <c r="F169" s="18"/>
      <c r="G169" s="19"/>
      <c r="H169" s="20"/>
      <c r="I169" s="21"/>
      <c r="J169" s="14"/>
      <c r="K169" s="14">
        <f t="shared" si="4"/>
        <v>0</v>
      </c>
      <c r="L169" s="16">
        <f t="shared" si="5"/>
        <v>13</v>
      </c>
      <c r="M169" s="22">
        <v>44531</v>
      </c>
      <c r="N169" s="44" t="s">
        <v>45</v>
      </c>
      <c r="O169" s="23" t="s">
        <v>16</v>
      </c>
      <c r="P169" s="24" t="s">
        <v>17</v>
      </c>
      <c r="Q169" s="28" t="s">
        <v>260</v>
      </c>
    </row>
    <row r="170" spans="1:17">
      <c r="A170" s="14">
        <v>166</v>
      </c>
      <c r="B170" s="15" t="s">
        <v>261</v>
      </c>
      <c r="C170" s="16">
        <f>'Медикаменты Март'!L170</f>
        <v>0</v>
      </c>
      <c r="D170" s="17"/>
      <c r="E170" s="14"/>
      <c r="F170" s="18"/>
      <c r="G170" s="19"/>
      <c r="H170" s="20"/>
      <c r="I170" s="21"/>
      <c r="J170" s="14"/>
      <c r="K170" s="14">
        <f t="shared" si="4"/>
        <v>0</v>
      </c>
      <c r="L170" s="16">
        <f t="shared" si="5"/>
        <v>0</v>
      </c>
      <c r="M170" s="22">
        <v>44440</v>
      </c>
      <c r="N170" s="44"/>
      <c r="O170" s="23" t="s">
        <v>16</v>
      </c>
      <c r="P170" s="24"/>
      <c r="Q170" s="28" t="s">
        <v>262</v>
      </c>
    </row>
    <row r="171" spans="1:17">
      <c r="A171" s="14">
        <v>167</v>
      </c>
      <c r="B171" s="15" t="s">
        <v>261</v>
      </c>
      <c r="C171" s="16">
        <f>'Медикаменты Март'!L171</f>
        <v>71</v>
      </c>
      <c r="D171" s="17"/>
      <c r="E171" s="14"/>
      <c r="F171" s="18">
        <f>10+5+10</f>
        <v>25</v>
      </c>
      <c r="G171" s="19"/>
      <c r="H171" s="20"/>
      <c r="I171" s="21"/>
      <c r="J171" s="14"/>
      <c r="K171" s="14">
        <f t="shared" si="4"/>
        <v>25</v>
      </c>
      <c r="L171" s="16">
        <f t="shared" si="5"/>
        <v>46</v>
      </c>
      <c r="M171" s="22">
        <v>44501</v>
      </c>
      <c r="N171" s="44" t="s">
        <v>45</v>
      </c>
      <c r="O171" s="23" t="s">
        <v>16</v>
      </c>
      <c r="P171" s="24" t="s">
        <v>17</v>
      </c>
      <c r="Q171" s="28" t="s">
        <v>262</v>
      </c>
    </row>
    <row r="172" spans="1:17">
      <c r="A172" s="14">
        <v>168</v>
      </c>
      <c r="B172" s="15" t="s">
        <v>263</v>
      </c>
      <c r="C172" s="16">
        <f>'Медикаменты Март'!L172</f>
        <v>0</v>
      </c>
      <c r="D172" s="17"/>
      <c r="E172" s="14"/>
      <c r="F172" s="18"/>
      <c r="G172" s="19"/>
      <c r="H172" s="20"/>
      <c r="I172" s="21"/>
      <c r="J172" s="14"/>
      <c r="K172" s="14">
        <f t="shared" si="4"/>
        <v>0</v>
      </c>
      <c r="L172" s="16">
        <f t="shared" si="5"/>
        <v>0</v>
      </c>
      <c r="M172" s="22"/>
      <c r="N172" s="44"/>
      <c r="O172" s="23" t="s">
        <v>16</v>
      </c>
      <c r="P172" s="24"/>
      <c r="Q172" s="25"/>
    </row>
    <row r="173" spans="1:17">
      <c r="A173" s="14">
        <v>169</v>
      </c>
      <c r="B173" s="15" t="s">
        <v>264</v>
      </c>
      <c r="C173" s="16">
        <f>'Медикаменты Март'!L173</f>
        <v>0</v>
      </c>
      <c r="D173" s="17"/>
      <c r="E173" s="14"/>
      <c r="F173" s="18"/>
      <c r="G173" s="19"/>
      <c r="H173" s="20"/>
      <c r="I173" s="21"/>
      <c r="J173" s="14"/>
      <c r="K173" s="14">
        <f t="shared" si="4"/>
        <v>0</v>
      </c>
      <c r="L173" s="16">
        <f t="shared" si="5"/>
        <v>0</v>
      </c>
      <c r="M173" s="22"/>
      <c r="N173" s="44"/>
      <c r="O173" s="23" t="s">
        <v>16</v>
      </c>
      <c r="P173" s="24"/>
      <c r="Q173" s="25"/>
    </row>
    <row r="174" spans="1:17">
      <c r="A174" s="14">
        <v>170</v>
      </c>
      <c r="B174" s="15" t="s">
        <v>265</v>
      </c>
      <c r="C174" s="16">
        <f>'Медикаменты Март'!L174</f>
        <v>0</v>
      </c>
      <c r="D174" s="17"/>
      <c r="E174" s="14"/>
      <c r="F174" s="18"/>
      <c r="G174" s="19"/>
      <c r="H174" s="20"/>
      <c r="I174" s="21"/>
      <c r="J174" s="14"/>
      <c r="K174" s="14">
        <f t="shared" si="4"/>
        <v>0</v>
      </c>
      <c r="L174" s="16">
        <f t="shared" si="5"/>
        <v>0</v>
      </c>
      <c r="M174" s="22"/>
      <c r="N174" s="44"/>
      <c r="O174" s="23" t="s">
        <v>16</v>
      </c>
      <c r="P174" s="24"/>
      <c r="Q174" s="25"/>
    </row>
    <row r="175" spans="1:17">
      <c r="A175" s="14">
        <v>171</v>
      </c>
      <c r="B175" s="15" t="s">
        <v>266</v>
      </c>
      <c r="C175" s="16">
        <f>'Медикаменты Март'!L175</f>
        <v>0</v>
      </c>
      <c r="D175" s="17"/>
      <c r="E175" s="14"/>
      <c r="F175" s="18"/>
      <c r="G175" s="19"/>
      <c r="H175" s="20"/>
      <c r="I175" s="21"/>
      <c r="J175" s="14"/>
      <c r="K175" s="14">
        <f t="shared" si="4"/>
        <v>0</v>
      </c>
      <c r="L175" s="16">
        <f t="shared" si="5"/>
        <v>0</v>
      </c>
      <c r="M175" s="22"/>
      <c r="N175" s="44"/>
      <c r="O175" s="23" t="s">
        <v>16</v>
      </c>
      <c r="P175" s="24"/>
      <c r="Q175" s="25"/>
    </row>
    <row r="176" spans="1:17">
      <c r="A176" s="14">
        <v>172</v>
      </c>
      <c r="B176" s="15" t="s">
        <v>267</v>
      </c>
      <c r="C176" s="16">
        <f>'Медикаменты Март'!L176</f>
        <v>0</v>
      </c>
      <c r="D176" s="17"/>
      <c r="E176" s="14"/>
      <c r="F176" s="18"/>
      <c r="G176" s="19"/>
      <c r="H176" s="20"/>
      <c r="I176" s="21"/>
      <c r="J176" s="14"/>
      <c r="K176" s="14">
        <f t="shared" si="4"/>
        <v>0</v>
      </c>
      <c r="L176" s="16">
        <f t="shared" si="5"/>
        <v>0</v>
      </c>
      <c r="M176" s="22"/>
      <c r="N176" s="44"/>
      <c r="O176" s="23" t="s">
        <v>16</v>
      </c>
      <c r="P176" s="24"/>
      <c r="Q176" s="25"/>
    </row>
    <row r="177" spans="1:17">
      <c r="A177" s="14">
        <v>173</v>
      </c>
      <c r="B177" s="15" t="s">
        <v>268</v>
      </c>
      <c r="C177" s="16">
        <f>'Медикаменты Март'!L177</f>
        <v>0</v>
      </c>
      <c r="D177" s="17"/>
      <c r="E177" s="14"/>
      <c r="F177" s="18"/>
      <c r="G177" s="19"/>
      <c r="H177" s="20"/>
      <c r="I177" s="21"/>
      <c r="J177" s="14"/>
      <c r="K177" s="14">
        <f t="shared" si="4"/>
        <v>0</v>
      </c>
      <c r="L177" s="16">
        <f t="shared" si="5"/>
        <v>0</v>
      </c>
      <c r="M177" s="22">
        <v>45323</v>
      </c>
      <c r="N177" s="44"/>
      <c r="O177" s="23" t="s">
        <v>16</v>
      </c>
      <c r="P177" s="24"/>
      <c r="Q177" s="28" t="s">
        <v>269</v>
      </c>
    </row>
    <row r="178" spans="1:17">
      <c r="A178" s="14">
        <v>174</v>
      </c>
      <c r="B178" s="15" t="s">
        <v>268</v>
      </c>
      <c r="C178" s="16">
        <f>'Медикаменты Март'!L178</f>
        <v>0</v>
      </c>
      <c r="D178" s="17"/>
      <c r="E178" s="14"/>
      <c r="F178" s="18"/>
      <c r="G178" s="19"/>
      <c r="H178" s="20"/>
      <c r="I178" s="21"/>
      <c r="J178" s="14"/>
      <c r="K178" s="14">
        <f t="shared" si="4"/>
        <v>0</v>
      </c>
      <c r="L178" s="16">
        <f t="shared" si="5"/>
        <v>0</v>
      </c>
      <c r="M178" s="22">
        <v>45323</v>
      </c>
      <c r="N178" s="44"/>
      <c r="O178" s="23" t="s">
        <v>26</v>
      </c>
      <c r="P178" s="24"/>
      <c r="Q178" s="28" t="s">
        <v>269</v>
      </c>
    </row>
    <row r="179" spans="1:17">
      <c r="A179" s="14">
        <v>175</v>
      </c>
      <c r="B179" s="15" t="s">
        <v>270</v>
      </c>
      <c r="C179" s="16">
        <f>'Медикаменты Март'!L179</f>
        <v>0</v>
      </c>
      <c r="D179" s="17"/>
      <c r="E179" s="14"/>
      <c r="F179" s="18"/>
      <c r="G179" s="19"/>
      <c r="H179" s="20"/>
      <c r="I179" s="21"/>
      <c r="J179" s="14"/>
      <c r="K179" s="14">
        <f t="shared" si="4"/>
        <v>0</v>
      </c>
      <c r="L179" s="16">
        <f t="shared" si="5"/>
        <v>0</v>
      </c>
      <c r="M179" s="22">
        <v>44075</v>
      </c>
      <c r="N179" s="44"/>
      <c r="O179" s="23" t="s">
        <v>16</v>
      </c>
      <c r="P179" s="24"/>
      <c r="Q179" s="23" t="s">
        <v>271</v>
      </c>
    </row>
    <row r="180" spans="1:17">
      <c r="A180" s="14">
        <v>176</v>
      </c>
      <c r="B180" s="15" t="s">
        <v>272</v>
      </c>
      <c r="C180" s="16">
        <f>'Медикаменты Март'!L180</f>
        <v>26</v>
      </c>
      <c r="D180" s="17"/>
      <c r="E180" s="14"/>
      <c r="F180" s="18">
        <f>5</f>
        <v>5</v>
      </c>
      <c r="G180" s="19"/>
      <c r="H180" s="20"/>
      <c r="I180" s="21"/>
      <c r="J180" s="14"/>
      <c r="K180" s="14">
        <f t="shared" si="4"/>
        <v>5</v>
      </c>
      <c r="L180" s="16">
        <f t="shared" si="5"/>
        <v>21</v>
      </c>
      <c r="M180" s="22">
        <v>45352</v>
      </c>
      <c r="N180" s="44" t="s">
        <v>551</v>
      </c>
      <c r="O180" s="23" t="s">
        <v>16</v>
      </c>
      <c r="P180" s="24" t="s">
        <v>17</v>
      </c>
      <c r="Q180" s="23" t="s">
        <v>273</v>
      </c>
    </row>
    <row r="181" spans="1:17">
      <c r="A181" s="14">
        <v>177</v>
      </c>
      <c r="B181" s="15" t="s">
        <v>274</v>
      </c>
      <c r="C181" s="16">
        <f>'Медикаменты Март'!L181</f>
        <v>0</v>
      </c>
      <c r="D181" s="17"/>
      <c r="E181" s="14"/>
      <c r="F181" s="18"/>
      <c r="G181" s="19"/>
      <c r="H181" s="20"/>
      <c r="I181" s="21"/>
      <c r="J181" s="14"/>
      <c r="K181" s="14">
        <f t="shared" si="4"/>
        <v>0</v>
      </c>
      <c r="L181" s="16">
        <f t="shared" si="5"/>
        <v>0</v>
      </c>
      <c r="M181" s="22">
        <v>44593</v>
      </c>
      <c r="N181" s="44"/>
      <c r="O181" s="23" t="s">
        <v>16</v>
      </c>
      <c r="P181" s="24"/>
      <c r="Q181" s="23" t="s">
        <v>275</v>
      </c>
    </row>
    <row r="182" spans="1:17">
      <c r="A182" s="14">
        <v>178</v>
      </c>
      <c r="B182" s="15" t="s">
        <v>276</v>
      </c>
      <c r="C182" s="16">
        <f>'Медикаменты Март'!L182</f>
        <v>0</v>
      </c>
      <c r="D182" s="17"/>
      <c r="E182" s="14"/>
      <c r="F182" s="18"/>
      <c r="G182" s="19"/>
      <c r="H182" s="20"/>
      <c r="I182" s="21"/>
      <c r="J182" s="14"/>
      <c r="K182" s="14">
        <f t="shared" si="4"/>
        <v>0</v>
      </c>
      <c r="L182" s="16">
        <f t="shared" si="5"/>
        <v>0</v>
      </c>
      <c r="M182" s="22"/>
      <c r="N182" s="44"/>
      <c r="O182" s="23" t="s">
        <v>16</v>
      </c>
      <c r="P182" s="24"/>
      <c r="Q182" s="25"/>
    </row>
    <row r="183" spans="1:17">
      <c r="A183" s="14">
        <v>179</v>
      </c>
      <c r="B183" s="15" t="s">
        <v>277</v>
      </c>
      <c r="C183" s="16">
        <f>'Медикаменты Март'!L183</f>
        <v>33</v>
      </c>
      <c r="D183" s="17"/>
      <c r="E183" s="14"/>
      <c r="F183" s="18"/>
      <c r="G183" s="19">
        <f>5</f>
        <v>5</v>
      </c>
      <c r="H183" s="20"/>
      <c r="I183" s="21"/>
      <c r="J183" s="14"/>
      <c r="K183" s="14">
        <f t="shared" si="4"/>
        <v>5</v>
      </c>
      <c r="L183" s="16">
        <f t="shared" si="5"/>
        <v>28</v>
      </c>
      <c r="M183" s="22">
        <v>44409</v>
      </c>
      <c r="N183" s="44" t="s">
        <v>45</v>
      </c>
      <c r="O183" s="23" t="s">
        <v>16</v>
      </c>
      <c r="P183" s="24" t="s">
        <v>17</v>
      </c>
      <c r="Q183" s="28" t="s">
        <v>278</v>
      </c>
    </row>
    <row r="184" spans="1:17">
      <c r="A184" s="14">
        <v>180</v>
      </c>
      <c r="B184" s="15" t="s">
        <v>279</v>
      </c>
      <c r="C184" s="16">
        <f>'Медикаменты Март'!L184</f>
        <v>1</v>
      </c>
      <c r="D184" s="17"/>
      <c r="E184" s="14"/>
      <c r="F184" s="18"/>
      <c r="G184" s="19"/>
      <c r="H184" s="20"/>
      <c r="I184" s="21"/>
      <c r="J184" s="14"/>
      <c r="K184" s="14">
        <f t="shared" si="4"/>
        <v>0</v>
      </c>
      <c r="L184" s="16">
        <f t="shared" si="5"/>
        <v>1</v>
      </c>
      <c r="M184" s="22">
        <v>44378</v>
      </c>
      <c r="N184" s="44" t="s">
        <v>45</v>
      </c>
      <c r="O184" s="23" t="s">
        <v>16</v>
      </c>
      <c r="P184" s="24" t="s">
        <v>17</v>
      </c>
      <c r="Q184" s="23" t="s">
        <v>280</v>
      </c>
    </row>
    <row r="185" spans="1:17">
      <c r="A185" s="14">
        <v>181</v>
      </c>
      <c r="B185" s="15" t="s">
        <v>281</v>
      </c>
      <c r="C185" s="16">
        <f>'Медикаменты Март'!L185</f>
        <v>6</v>
      </c>
      <c r="D185" s="17"/>
      <c r="E185" s="14"/>
      <c r="F185" s="18">
        <f>3+3</f>
        <v>6</v>
      </c>
      <c r="G185" s="19"/>
      <c r="H185" s="20"/>
      <c r="I185" s="21"/>
      <c r="J185" s="14"/>
      <c r="K185" s="14">
        <f t="shared" si="4"/>
        <v>6</v>
      </c>
      <c r="L185" s="16">
        <f t="shared" si="5"/>
        <v>0</v>
      </c>
      <c r="M185" s="22">
        <v>44593</v>
      </c>
      <c r="N185" s="44" t="s">
        <v>45</v>
      </c>
      <c r="O185" s="23" t="s">
        <v>16</v>
      </c>
      <c r="P185" s="24" t="s">
        <v>17</v>
      </c>
      <c r="Q185" s="23" t="s">
        <v>282</v>
      </c>
    </row>
    <row r="186" spans="1:17">
      <c r="A186" s="14">
        <v>182</v>
      </c>
      <c r="B186" s="15" t="s">
        <v>553</v>
      </c>
      <c r="C186" s="16">
        <f>'Медикаменты Март'!L186</f>
        <v>40</v>
      </c>
      <c r="D186" s="17"/>
      <c r="E186" s="14"/>
      <c r="F186" s="18">
        <f>10+8+5</f>
        <v>23</v>
      </c>
      <c r="G186" s="19"/>
      <c r="H186" s="20"/>
      <c r="I186" s="21"/>
      <c r="J186" s="14"/>
      <c r="K186" s="14">
        <f t="shared" si="4"/>
        <v>23</v>
      </c>
      <c r="L186" s="16">
        <f t="shared" si="5"/>
        <v>17</v>
      </c>
      <c r="M186" s="22">
        <v>44835</v>
      </c>
      <c r="N186" s="44" t="s">
        <v>45</v>
      </c>
      <c r="O186" s="23" t="s">
        <v>16</v>
      </c>
      <c r="P186" s="24" t="s">
        <v>17</v>
      </c>
      <c r="Q186" s="23" t="s">
        <v>554</v>
      </c>
    </row>
    <row r="187" spans="1:17">
      <c r="A187" s="14">
        <v>183</v>
      </c>
      <c r="B187" s="15" t="s">
        <v>283</v>
      </c>
      <c r="C187" s="16">
        <f>'Медикаменты Март'!L187</f>
        <v>0</v>
      </c>
      <c r="D187" s="17"/>
      <c r="E187" s="14"/>
      <c r="F187" s="18"/>
      <c r="G187" s="19"/>
      <c r="H187" s="20"/>
      <c r="I187" s="21"/>
      <c r="J187" s="14"/>
      <c r="K187" s="14">
        <f t="shared" si="4"/>
        <v>0</v>
      </c>
      <c r="L187" s="16">
        <f t="shared" si="5"/>
        <v>0</v>
      </c>
      <c r="M187" s="22">
        <v>44136</v>
      </c>
      <c r="N187" s="44"/>
      <c r="O187" s="23" t="s">
        <v>16</v>
      </c>
      <c r="P187" s="24"/>
      <c r="Q187" s="23" t="s">
        <v>284</v>
      </c>
    </row>
    <row r="188" spans="1:17">
      <c r="A188" s="14">
        <v>184</v>
      </c>
      <c r="B188" s="15" t="s">
        <v>285</v>
      </c>
      <c r="C188" s="16">
        <f>'Медикаменты Март'!L188</f>
        <v>0</v>
      </c>
      <c r="D188" s="17"/>
      <c r="E188" s="14"/>
      <c r="F188" s="18"/>
      <c r="G188" s="19"/>
      <c r="H188" s="20"/>
      <c r="I188" s="21"/>
      <c r="J188" s="14"/>
      <c r="K188" s="14">
        <f t="shared" si="4"/>
        <v>0</v>
      </c>
      <c r="L188" s="16">
        <f t="shared" si="5"/>
        <v>0</v>
      </c>
      <c r="M188" s="22"/>
      <c r="N188" s="44"/>
      <c r="O188" s="23" t="s">
        <v>16</v>
      </c>
      <c r="P188" s="24"/>
      <c r="Q188" s="25"/>
    </row>
    <row r="189" spans="1:17">
      <c r="A189" s="14">
        <v>185</v>
      </c>
      <c r="B189" s="15" t="s">
        <v>286</v>
      </c>
      <c r="C189" s="16">
        <f>'Медикаменты Март'!L189</f>
        <v>0</v>
      </c>
      <c r="D189" s="17"/>
      <c r="E189" s="14"/>
      <c r="F189" s="18"/>
      <c r="G189" s="19"/>
      <c r="H189" s="20"/>
      <c r="I189" s="21"/>
      <c r="J189" s="14"/>
      <c r="K189" s="14">
        <f t="shared" si="4"/>
        <v>0</v>
      </c>
      <c r="L189" s="16">
        <f t="shared" si="5"/>
        <v>0</v>
      </c>
      <c r="M189" s="22">
        <v>44197</v>
      </c>
      <c r="N189" s="44"/>
      <c r="O189" s="23" t="s">
        <v>16</v>
      </c>
      <c r="P189" s="24"/>
      <c r="Q189" s="23" t="s">
        <v>287</v>
      </c>
    </row>
    <row r="190" spans="1:17">
      <c r="A190" s="14">
        <v>186</v>
      </c>
      <c r="B190" s="15" t="s">
        <v>288</v>
      </c>
      <c r="C190" s="16">
        <f>'Медикаменты Март'!L190</f>
        <v>0</v>
      </c>
      <c r="D190" s="17"/>
      <c r="E190" s="14"/>
      <c r="F190" s="18"/>
      <c r="G190" s="19"/>
      <c r="H190" s="20"/>
      <c r="I190" s="21"/>
      <c r="J190" s="14"/>
      <c r="K190" s="14">
        <f t="shared" si="4"/>
        <v>0</v>
      </c>
      <c r="L190" s="16">
        <f t="shared" si="5"/>
        <v>0</v>
      </c>
      <c r="M190" s="22">
        <v>44105</v>
      </c>
      <c r="N190" s="44"/>
      <c r="O190" s="23" t="s">
        <v>16</v>
      </c>
      <c r="P190" s="24"/>
      <c r="Q190" s="28" t="s">
        <v>289</v>
      </c>
    </row>
    <row r="191" spans="1:17">
      <c r="A191" s="14">
        <v>187</v>
      </c>
      <c r="B191" s="15" t="s">
        <v>290</v>
      </c>
      <c r="C191" s="16">
        <f>'Медикаменты Март'!L191</f>
        <v>22</v>
      </c>
      <c r="D191" s="17"/>
      <c r="E191" s="14"/>
      <c r="F191" s="18">
        <f>17</f>
        <v>17</v>
      </c>
      <c r="G191" s="19"/>
      <c r="H191" s="20"/>
      <c r="I191" s="21">
        <f>5</f>
        <v>5</v>
      </c>
      <c r="J191" s="14"/>
      <c r="K191" s="14">
        <f t="shared" si="4"/>
        <v>22</v>
      </c>
      <c r="L191" s="16">
        <f t="shared" si="5"/>
        <v>0</v>
      </c>
      <c r="M191" s="22">
        <v>44317</v>
      </c>
      <c r="N191" s="44" t="s">
        <v>45</v>
      </c>
      <c r="O191" s="23" t="s">
        <v>16</v>
      </c>
      <c r="P191" s="24" t="s">
        <v>17</v>
      </c>
      <c r="Q191" s="23" t="s">
        <v>291</v>
      </c>
    </row>
    <row r="192" spans="1:17">
      <c r="A192" s="14">
        <v>188</v>
      </c>
      <c r="B192" s="15" t="s">
        <v>292</v>
      </c>
      <c r="C192" s="16">
        <f>'Медикаменты Март'!L192</f>
        <v>0</v>
      </c>
      <c r="D192" s="17"/>
      <c r="E192" s="14"/>
      <c r="F192" s="18"/>
      <c r="G192" s="19"/>
      <c r="H192" s="20"/>
      <c r="I192" s="21"/>
      <c r="J192" s="14"/>
      <c r="K192" s="14">
        <f t="shared" si="4"/>
        <v>0</v>
      </c>
      <c r="L192" s="16">
        <f t="shared" si="5"/>
        <v>0</v>
      </c>
      <c r="M192" s="22">
        <v>44197</v>
      </c>
      <c r="N192" s="44"/>
      <c r="O192" s="23" t="s">
        <v>16</v>
      </c>
      <c r="P192" s="24"/>
      <c r="Q192" s="23" t="s">
        <v>293</v>
      </c>
    </row>
    <row r="193" spans="1:17">
      <c r="A193" s="14">
        <v>189</v>
      </c>
      <c r="B193" s="15" t="s">
        <v>292</v>
      </c>
      <c r="C193" s="16">
        <f>'Медикаменты Март'!L193</f>
        <v>47</v>
      </c>
      <c r="D193" s="17"/>
      <c r="E193" s="14"/>
      <c r="F193" s="18">
        <f>5+3+5</f>
        <v>13</v>
      </c>
      <c r="G193" s="19"/>
      <c r="H193" s="20"/>
      <c r="I193" s="21"/>
      <c r="J193" s="14"/>
      <c r="K193" s="14">
        <f t="shared" si="4"/>
        <v>13</v>
      </c>
      <c r="L193" s="16">
        <f t="shared" si="5"/>
        <v>34</v>
      </c>
      <c r="M193" s="22">
        <v>44713</v>
      </c>
      <c r="N193" s="44" t="s">
        <v>45</v>
      </c>
      <c r="O193" s="23" t="s">
        <v>16</v>
      </c>
      <c r="P193" s="24" t="s">
        <v>45</v>
      </c>
      <c r="Q193" s="23" t="s">
        <v>293</v>
      </c>
    </row>
    <row r="194" spans="1:17">
      <c r="A194" s="14">
        <v>190</v>
      </c>
      <c r="B194" s="15" t="s">
        <v>294</v>
      </c>
      <c r="C194" s="16">
        <f>'Медикаменты Март'!L194</f>
        <v>6</v>
      </c>
      <c r="D194" s="17"/>
      <c r="E194" s="14"/>
      <c r="F194" s="18">
        <f>6</f>
        <v>6</v>
      </c>
      <c r="G194" s="19"/>
      <c r="H194" s="20"/>
      <c r="I194" s="21"/>
      <c r="J194" s="14"/>
      <c r="K194" s="14">
        <f t="shared" si="4"/>
        <v>6</v>
      </c>
      <c r="L194" s="16">
        <f t="shared" si="5"/>
        <v>0</v>
      </c>
      <c r="M194" s="22">
        <v>44409</v>
      </c>
      <c r="N194" s="44" t="s">
        <v>45</v>
      </c>
      <c r="O194" s="23" t="s">
        <v>16</v>
      </c>
      <c r="P194" s="24" t="s">
        <v>45</v>
      </c>
      <c r="Q194" s="23" t="s">
        <v>295</v>
      </c>
    </row>
    <row r="195" spans="1:17">
      <c r="A195" s="14">
        <v>191</v>
      </c>
      <c r="B195" s="15" t="s">
        <v>296</v>
      </c>
      <c r="C195" s="16">
        <f>'Медикаменты Март'!L195</f>
        <v>0</v>
      </c>
      <c r="D195" s="17"/>
      <c r="E195" s="14"/>
      <c r="F195" s="18"/>
      <c r="G195" s="19"/>
      <c r="H195" s="20"/>
      <c r="I195" s="21"/>
      <c r="J195" s="14"/>
      <c r="K195" s="14">
        <f t="shared" si="4"/>
        <v>0</v>
      </c>
      <c r="L195" s="16">
        <f t="shared" si="5"/>
        <v>0</v>
      </c>
      <c r="M195" s="22"/>
      <c r="N195" s="44"/>
      <c r="O195" s="23" t="s">
        <v>16</v>
      </c>
      <c r="P195" s="24"/>
      <c r="Q195" s="25"/>
    </row>
    <row r="196" spans="1:17">
      <c r="A196" s="14">
        <v>192</v>
      </c>
      <c r="B196" s="15" t="s">
        <v>297</v>
      </c>
      <c r="C196" s="16">
        <f>'Медикаменты Март'!L196</f>
        <v>0</v>
      </c>
      <c r="D196" s="17"/>
      <c r="E196" s="14"/>
      <c r="F196" s="18"/>
      <c r="G196" s="19"/>
      <c r="H196" s="20"/>
      <c r="I196" s="21"/>
      <c r="J196" s="14"/>
      <c r="K196" s="14">
        <f t="shared" si="4"/>
        <v>0</v>
      </c>
      <c r="L196" s="16">
        <f t="shared" si="5"/>
        <v>0</v>
      </c>
      <c r="M196" s="22"/>
      <c r="N196" s="44"/>
      <c r="O196" s="23" t="s">
        <v>16</v>
      </c>
      <c r="P196" s="24"/>
      <c r="Q196" s="25"/>
    </row>
    <row r="197" spans="1:17" ht="25.5">
      <c r="A197" s="14">
        <v>193</v>
      </c>
      <c r="B197" s="15" t="s">
        <v>298</v>
      </c>
      <c r="C197" s="16">
        <f>'Медикаменты Март'!L197</f>
        <v>0</v>
      </c>
      <c r="D197" s="17"/>
      <c r="E197" s="14"/>
      <c r="F197" s="18"/>
      <c r="G197" s="19"/>
      <c r="H197" s="20"/>
      <c r="I197" s="21"/>
      <c r="J197" s="14"/>
      <c r="K197" s="14">
        <f t="shared" ref="K197:K260" si="6">SUM(F197:J197)</f>
        <v>0</v>
      </c>
      <c r="L197" s="16">
        <f t="shared" ref="L197:L260" si="7">(C197+E197)-K197</f>
        <v>0</v>
      </c>
      <c r="M197" s="22">
        <v>44593</v>
      </c>
      <c r="N197" s="44"/>
      <c r="O197" s="23" t="s">
        <v>26</v>
      </c>
      <c r="P197" s="24"/>
      <c r="Q197" s="23"/>
    </row>
    <row r="198" spans="1:17">
      <c r="A198" s="14">
        <v>194</v>
      </c>
      <c r="B198" s="15" t="s">
        <v>299</v>
      </c>
      <c r="C198" s="16">
        <f>'Медикаменты Март'!L198</f>
        <v>0</v>
      </c>
      <c r="D198" s="17"/>
      <c r="E198" s="14"/>
      <c r="F198" s="18"/>
      <c r="G198" s="19"/>
      <c r="H198" s="20"/>
      <c r="I198" s="21"/>
      <c r="J198" s="14"/>
      <c r="K198" s="14">
        <f t="shared" si="6"/>
        <v>0</v>
      </c>
      <c r="L198" s="16">
        <f t="shared" si="7"/>
        <v>0</v>
      </c>
      <c r="M198" s="22">
        <v>44256</v>
      </c>
      <c r="N198" s="44"/>
      <c r="O198" s="23" t="s">
        <v>16</v>
      </c>
      <c r="P198" s="24"/>
      <c r="Q198" s="23" t="s">
        <v>300</v>
      </c>
    </row>
    <row r="199" spans="1:17">
      <c r="A199" s="14">
        <v>195</v>
      </c>
      <c r="B199" s="15" t="s">
        <v>301</v>
      </c>
      <c r="C199" s="16">
        <f>'Медикаменты Март'!L199</f>
        <v>0</v>
      </c>
      <c r="D199" s="17"/>
      <c r="E199" s="14"/>
      <c r="F199" s="18"/>
      <c r="G199" s="19"/>
      <c r="H199" s="20"/>
      <c r="I199" s="21"/>
      <c r="J199" s="14"/>
      <c r="K199" s="14">
        <f t="shared" si="6"/>
        <v>0</v>
      </c>
      <c r="L199" s="16">
        <f t="shared" si="7"/>
        <v>0</v>
      </c>
      <c r="M199" s="22"/>
      <c r="N199" s="44"/>
      <c r="O199" s="23" t="s">
        <v>16</v>
      </c>
      <c r="P199" s="24"/>
      <c r="Q199" s="25"/>
    </row>
    <row r="200" spans="1:17">
      <c r="A200" s="14">
        <v>196</v>
      </c>
      <c r="B200" s="15" t="s">
        <v>559</v>
      </c>
      <c r="C200" s="16">
        <f>'Медикаменты Март'!L200</f>
        <v>0</v>
      </c>
      <c r="D200" s="17"/>
      <c r="E200" s="14">
        <f>50</f>
        <v>50</v>
      </c>
      <c r="F200" s="18"/>
      <c r="G200" s="19"/>
      <c r="H200" s="20"/>
      <c r="I200" s="21"/>
      <c r="J200" s="14"/>
      <c r="K200" s="14">
        <f t="shared" si="6"/>
        <v>0</v>
      </c>
      <c r="L200" s="16">
        <f t="shared" si="7"/>
        <v>50</v>
      </c>
      <c r="M200" s="22">
        <v>45352</v>
      </c>
      <c r="N200" s="44" t="s">
        <v>551</v>
      </c>
      <c r="O200" s="23" t="s">
        <v>16</v>
      </c>
      <c r="P200" s="24" t="s">
        <v>17</v>
      </c>
      <c r="Q200" s="28" t="s">
        <v>560</v>
      </c>
    </row>
    <row r="201" spans="1:17">
      <c r="A201" s="14">
        <v>197</v>
      </c>
      <c r="B201" s="15" t="s">
        <v>303</v>
      </c>
      <c r="C201" s="16">
        <f>'Медикаменты Март'!L201</f>
        <v>0</v>
      </c>
      <c r="D201" s="17"/>
      <c r="E201" s="14"/>
      <c r="F201" s="18"/>
      <c r="G201" s="19"/>
      <c r="H201" s="20"/>
      <c r="I201" s="21"/>
      <c r="J201" s="14"/>
      <c r="K201" s="14">
        <f t="shared" si="6"/>
        <v>0</v>
      </c>
      <c r="L201" s="16">
        <f t="shared" si="7"/>
        <v>0</v>
      </c>
      <c r="M201" s="22"/>
      <c r="N201" s="44"/>
      <c r="O201" s="23" t="s">
        <v>16</v>
      </c>
      <c r="P201" s="24"/>
      <c r="Q201" s="25"/>
    </row>
    <row r="202" spans="1:17">
      <c r="A202" s="14">
        <v>198</v>
      </c>
      <c r="B202" s="15" t="s">
        <v>304</v>
      </c>
      <c r="C202" s="16">
        <f>'Медикаменты Март'!L202</f>
        <v>0</v>
      </c>
      <c r="D202" s="17"/>
      <c r="E202" s="14"/>
      <c r="F202" s="18"/>
      <c r="G202" s="19"/>
      <c r="H202" s="20"/>
      <c r="I202" s="21"/>
      <c r="J202" s="14"/>
      <c r="K202" s="14">
        <f t="shared" si="6"/>
        <v>0</v>
      </c>
      <c r="L202" s="16">
        <f t="shared" si="7"/>
        <v>0</v>
      </c>
      <c r="M202" s="22">
        <v>45261</v>
      </c>
      <c r="N202" s="44"/>
      <c r="O202" s="23" t="s">
        <v>16</v>
      </c>
      <c r="P202" s="24"/>
      <c r="Q202" s="23" t="s">
        <v>305</v>
      </c>
    </row>
    <row r="203" spans="1:17">
      <c r="A203" s="14">
        <v>199</v>
      </c>
      <c r="B203" s="15" t="s">
        <v>304</v>
      </c>
      <c r="C203" s="16">
        <f>'Медикаменты Март'!L203</f>
        <v>1240</v>
      </c>
      <c r="D203" s="17"/>
      <c r="E203" s="14"/>
      <c r="F203" s="18">
        <f>120+120+80+160</f>
        <v>480</v>
      </c>
      <c r="G203" s="19"/>
      <c r="H203" s="20"/>
      <c r="I203" s="21"/>
      <c r="J203" s="14"/>
      <c r="K203" s="14">
        <f t="shared" si="6"/>
        <v>480</v>
      </c>
      <c r="L203" s="16">
        <f t="shared" si="7"/>
        <v>760</v>
      </c>
      <c r="M203" s="22">
        <v>45413</v>
      </c>
      <c r="N203" s="44" t="s">
        <v>45</v>
      </c>
      <c r="O203" s="23" t="s">
        <v>26</v>
      </c>
      <c r="P203" s="24" t="s">
        <v>17</v>
      </c>
      <c r="Q203" s="23" t="s">
        <v>305</v>
      </c>
    </row>
    <row r="204" spans="1:17">
      <c r="A204" s="14">
        <v>200</v>
      </c>
      <c r="B204" s="15" t="s">
        <v>561</v>
      </c>
      <c r="C204" s="16"/>
      <c r="D204" s="17"/>
      <c r="E204" s="14">
        <f>25</f>
        <v>25</v>
      </c>
      <c r="F204" s="18"/>
      <c r="G204" s="19">
        <f>25</f>
        <v>25</v>
      </c>
      <c r="H204" s="20"/>
      <c r="I204" s="21"/>
      <c r="J204" s="14"/>
      <c r="K204" s="14">
        <f t="shared" si="6"/>
        <v>25</v>
      </c>
      <c r="L204" s="16">
        <f t="shared" si="7"/>
        <v>0</v>
      </c>
      <c r="M204" s="22">
        <v>45689</v>
      </c>
      <c r="N204" s="44" t="s">
        <v>551</v>
      </c>
      <c r="O204" s="23" t="s">
        <v>26</v>
      </c>
      <c r="P204" s="24" t="s">
        <v>17</v>
      </c>
      <c r="Q204" s="23" t="s">
        <v>562</v>
      </c>
    </row>
    <row r="205" spans="1:17">
      <c r="A205" s="14">
        <v>201</v>
      </c>
      <c r="B205" s="15" t="s">
        <v>563</v>
      </c>
      <c r="C205" s="16"/>
      <c r="D205" s="17"/>
      <c r="E205" s="14">
        <f>86</f>
        <v>86</v>
      </c>
      <c r="F205" s="18"/>
      <c r="G205" s="19"/>
      <c r="H205" s="20"/>
      <c r="I205" s="21"/>
      <c r="J205" s="14"/>
      <c r="K205" s="14">
        <f t="shared" si="6"/>
        <v>0</v>
      </c>
      <c r="L205" s="16">
        <f t="shared" si="7"/>
        <v>86</v>
      </c>
      <c r="M205" s="22">
        <v>46023</v>
      </c>
      <c r="N205" s="44" t="s">
        <v>551</v>
      </c>
      <c r="O205" s="23" t="s">
        <v>16</v>
      </c>
      <c r="P205" s="24" t="s">
        <v>17</v>
      </c>
      <c r="Q205" s="23" t="s">
        <v>564</v>
      </c>
    </row>
    <row r="206" spans="1:17">
      <c r="A206" s="14">
        <v>202</v>
      </c>
      <c r="B206" s="15" t="s">
        <v>306</v>
      </c>
      <c r="C206" s="16">
        <f>'Медикаменты Март'!L204</f>
        <v>0</v>
      </c>
      <c r="D206" s="17"/>
      <c r="E206" s="14"/>
      <c r="F206" s="18"/>
      <c r="G206" s="19"/>
      <c r="H206" s="20"/>
      <c r="I206" s="21"/>
      <c r="J206" s="14"/>
      <c r="K206" s="14">
        <f t="shared" si="6"/>
        <v>0</v>
      </c>
      <c r="L206" s="16">
        <f t="shared" si="7"/>
        <v>0</v>
      </c>
      <c r="M206" s="22"/>
      <c r="N206" s="44"/>
      <c r="O206" s="23" t="s">
        <v>16</v>
      </c>
      <c r="P206" s="24"/>
      <c r="Q206" s="25"/>
    </row>
    <row r="207" spans="1:17">
      <c r="A207" s="14">
        <v>203</v>
      </c>
      <c r="B207" s="15" t="s">
        <v>307</v>
      </c>
      <c r="C207" s="16">
        <f>'Медикаменты Март'!L205</f>
        <v>0</v>
      </c>
      <c r="D207" s="17"/>
      <c r="E207" s="14"/>
      <c r="F207" s="18"/>
      <c r="G207" s="19"/>
      <c r="H207" s="20"/>
      <c r="I207" s="21"/>
      <c r="J207" s="14"/>
      <c r="K207" s="14">
        <f t="shared" si="6"/>
        <v>0</v>
      </c>
      <c r="L207" s="16">
        <f t="shared" si="7"/>
        <v>0</v>
      </c>
      <c r="M207" s="22"/>
      <c r="N207" s="44"/>
      <c r="O207" s="23" t="s">
        <v>16</v>
      </c>
      <c r="P207" s="24"/>
      <c r="Q207" s="25"/>
    </row>
    <row r="208" spans="1:17">
      <c r="A208" s="14">
        <v>204</v>
      </c>
      <c r="B208" s="15" t="s">
        <v>308</v>
      </c>
      <c r="C208" s="16">
        <f>'Медикаменты Март'!L206</f>
        <v>0</v>
      </c>
      <c r="D208" s="17"/>
      <c r="E208" s="14"/>
      <c r="F208" s="18"/>
      <c r="G208" s="19"/>
      <c r="H208" s="20"/>
      <c r="I208" s="21"/>
      <c r="J208" s="14"/>
      <c r="K208" s="14">
        <f t="shared" si="6"/>
        <v>0</v>
      </c>
      <c r="L208" s="16">
        <f t="shared" si="7"/>
        <v>0</v>
      </c>
      <c r="M208" s="22">
        <v>44136</v>
      </c>
      <c r="N208" s="44"/>
      <c r="O208" s="23" t="s">
        <v>16</v>
      </c>
      <c r="P208" s="24"/>
      <c r="Q208" s="23" t="s">
        <v>309</v>
      </c>
    </row>
    <row r="209" spans="1:17">
      <c r="A209" s="14">
        <v>205</v>
      </c>
      <c r="B209" s="15" t="s">
        <v>310</v>
      </c>
      <c r="C209" s="16">
        <f>'Медикаменты Март'!L207</f>
        <v>17</v>
      </c>
      <c r="D209" s="17"/>
      <c r="E209" s="14"/>
      <c r="F209" s="18"/>
      <c r="G209" s="19"/>
      <c r="H209" s="20"/>
      <c r="I209" s="21"/>
      <c r="J209" s="14"/>
      <c r="K209" s="14">
        <f t="shared" si="6"/>
        <v>0</v>
      </c>
      <c r="L209" s="16">
        <f t="shared" si="7"/>
        <v>17</v>
      </c>
      <c r="M209" s="22">
        <v>44652</v>
      </c>
      <c r="N209" s="44" t="s">
        <v>45</v>
      </c>
      <c r="O209" s="23" t="s">
        <v>16</v>
      </c>
      <c r="P209" s="24" t="s">
        <v>17</v>
      </c>
      <c r="Q209" s="28" t="s">
        <v>311</v>
      </c>
    </row>
    <row r="210" spans="1:17">
      <c r="A210" s="14">
        <v>206</v>
      </c>
      <c r="B210" s="15" t="s">
        <v>310</v>
      </c>
      <c r="C210" s="16">
        <f>'Медикаменты Март'!L208</f>
        <v>0</v>
      </c>
      <c r="D210" s="17"/>
      <c r="E210" s="14"/>
      <c r="F210" s="18"/>
      <c r="G210" s="19"/>
      <c r="H210" s="20"/>
      <c r="I210" s="21"/>
      <c r="J210" s="14"/>
      <c r="K210" s="14">
        <f t="shared" si="6"/>
        <v>0</v>
      </c>
      <c r="L210" s="16">
        <f t="shared" si="7"/>
        <v>0</v>
      </c>
      <c r="M210" s="22">
        <v>44652</v>
      </c>
      <c r="N210" s="44"/>
      <c r="O210" s="23" t="s">
        <v>26</v>
      </c>
      <c r="P210" s="24"/>
      <c r="Q210" s="28" t="s">
        <v>311</v>
      </c>
    </row>
    <row r="211" spans="1:17">
      <c r="A211" s="14">
        <v>207</v>
      </c>
      <c r="B211" s="15" t="s">
        <v>312</v>
      </c>
      <c r="C211" s="16">
        <f>'Медикаменты Март'!L209</f>
        <v>0</v>
      </c>
      <c r="D211" s="17"/>
      <c r="E211" s="14"/>
      <c r="F211" s="18"/>
      <c r="G211" s="19"/>
      <c r="H211" s="20"/>
      <c r="I211" s="21"/>
      <c r="J211" s="14"/>
      <c r="K211" s="14">
        <f t="shared" si="6"/>
        <v>0</v>
      </c>
      <c r="L211" s="16">
        <f t="shared" si="7"/>
        <v>0</v>
      </c>
      <c r="M211" s="22">
        <v>45658</v>
      </c>
      <c r="N211" s="44"/>
      <c r="O211" s="23" t="s">
        <v>16</v>
      </c>
      <c r="P211" s="24"/>
      <c r="Q211" s="28" t="s">
        <v>313</v>
      </c>
    </row>
    <row r="212" spans="1:17">
      <c r="A212" s="14">
        <v>208</v>
      </c>
      <c r="B212" s="15" t="s">
        <v>312</v>
      </c>
      <c r="C212" s="16">
        <f>'Медикаменты Март'!L210</f>
        <v>0</v>
      </c>
      <c r="D212" s="17"/>
      <c r="E212" s="14"/>
      <c r="F212" s="18"/>
      <c r="G212" s="19"/>
      <c r="H212" s="20"/>
      <c r="I212" s="21"/>
      <c r="J212" s="14"/>
      <c r="K212" s="14">
        <f t="shared" si="6"/>
        <v>0</v>
      </c>
      <c r="L212" s="16">
        <f t="shared" si="7"/>
        <v>0</v>
      </c>
      <c r="M212" s="22">
        <v>45658</v>
      </c>
      <c r="N212" s="44"/>
      <c r="O212" s="23" t="s">
        <v>26</v>
      </c>
      <c r="P212" s="24"/>
      <c r="Q212" s="28" t="s">
        <v>313</v>
      </c>
    </row>
    <row r="213" spans="1:17">
      <c r="A213" s="14">
        <v>209</v>
      </c>
      <c r="B213" s="15" t="s">
        <v>314</v>
      </c>
      <c r="C213" s="16">
        <f>'Медикаменты Март'!L211</f>
        <v>0</v>
      </c>
      <c r="D213" s="17"/>
      <c r="E213" s="14"/>
      <c r="F213" s="18"/>
      <c r="G213" s="19"/>
      <c r="H213" s="20"/>
      <c r="I213" s="21"/>
      <c r="J213" s="14"/>
      <c r="K213" s="14">
        <f t="shared" si="6"/>
        <v>0</v>
      </c>
      <c r="L213" s="16">
        <f t="shared" si="7"/>
        <v>0</v>
      </c>
      <c r="M213" s="22">
        <v>44562</v>
      </c>
      <c r="N213" s="44"/>
      <c r="O213" s="23" t="s">
        <v>16</v>
      </c>
      <c r="P213" s="24"/>
      <c r="Q213" s="23" t="s">
        <v>315</v>
      </c>
    </row>
    <row r="214" spans="1:17">
      <c r="A214" s="14">
        <v>210</v>
      </c>
      <c r="B214" s="15" t="s">
        <v>316</v>
      </c>
      <c r="C214" s="16">
        <f>'Медикаменты Март'!L212</f>
        <v>0</v>
      </c>
      <c r="D214" s="17"/>
      <c r="E214" s="14"/>
      <c r="F214" s="18"/>
      <c r="G214" s="19"/>
      <c r="H214" s="20"/>
      <c r="I214" s="21"/>
      <c r="J214" s="14"/>
      <c r="K214" s="14">
        <f t="shared" si="6"/>
        <v>0</v>
      </c>
      <c r="L214" s="16">
        <f t="shared" si="7"/>
        <v>0</v>
      </c>
      <c r="M214" s="22"/>
      <c r="N214" s="44"/>
      <c r="O214" s="23" t="s">
        <v>16</v>
      </c>
      <c r="P214" s="24"/>
      <c r="Q214" s="25"/>
    </row>
    <row r="215" spans="1:17">
      <c r="A215" s="14">
        <v>211</v>
      </c>
      <c r="B215" s="29" t="s">
        <v>317</v>
      </c>
      <c r="C215" s="16">
        <f>'Медикаменты Март'!L213</f>
        <v>0</v>
      </c>
      <c r="D215" s="17"/>
      <c r="E215" s="14"/>
      <c r="F215" s="18"/>
      <c r="G215" s="19"/>
      <c r="H215" s="20"/>
      <c r="I215" s="21"/>
      <c r="J215" s="14"/>
      <c r="K215" s="14">
        <f t="shared" si="6"/>
        <v>0</v>
      </c>
      <c r="L215" s="16">
        <f t="shared" si="7"/>
        <v>0</v>
      </c>
      <c r="M215" s="22"/>
      <c r="N215" s="44"/>
      <c r="O215" s="23" t="s">
        <v>16</v>
      </c>
      <c r="P215" s="24"/>
      <c r="Q215" s="25"/>
    </row>
    <row r="216" spans="1:17">
      <c r="A216" s="14">
        <v>212</v>
      </c>
      <c r="B216" s="29" t="s">
        <v>318</v>
      </c>
      <c r="C216" s="16">
        <f>'Медикаменты Март'!L214</f>
        <v>0</v>
      </c>
      <c r="D216" s="17"/>
      <c r="E216" s="14"/>
      <c r="F216" s="18"/>
      <c r="G216" s="19"/>
      <c r="H216" s="20"/>
      <c r="I216" s="21"/>
      <c r="J216" s="14"/>
      <c r="K216" s="14">
        <f t="shared" si="6"/>
        <v>0</v>
      </c>
      <c r="L216" s="16">
        <f t="shared" si="7"/>
        <v>0</v>
      </c>
      <c r="M216" s="22"/>
      <c r="N216" s="44"/>
      <c r="O216" s="23" t="s">
        <v>16</v>
      </c>
      <c r="P216" s="24"/>
      <c r="Q216" s="25"/>
    </row>
    <row r="217" spans="1:17">
      <c r="A217" s="14">
        <v>213</v>
      </c>
      <c r="B217" s="29" t="s">
        <v>319</v>
      </c>
      <c r="C217" s="16">
        <f>'Медикаменты Март'!L215</f>
        <v>0</v>
      </c>
      <c r="D217" s="17"/>
      <c r="E217" s="14"/>
      <c r="F217" s="18"/>
      <c r="G217" s="19"/>
      <c r="H217" s="20"/>
      <c r="I217" s="21"/>
      <c r="J217" s="14"/>
      <c r="K217" s="14">
        <f t="shared" si="6"/>
        <v>0</v>
      </c>
      <c r="L217" s="16">
        <f t="shared" si="7"/>
        <v>0</v>
      </c>
      <c r="M217" s="22"/>
      <c r="N217" s="44"/>
      <c r="O217" s="23" t="s">
        <v>16</v>
      </c>
      <c r="P217" s="24"/>
      <c r="Q217" s="25"/>
    </row>
    <row r="218" spans="1:17">
      <c r="A218" s="14">
        <v>214</v>
      </c>
      <c r="B218" s="29" t="s">
        <v>320</v>
      </c>
      <c r="C218" s="16">
        <f>'Медикаменты Март'!L216</f>
        <v>0</v>
      </c>
      <c r="D218" s="17"/>
      <c r="E218" s="14"/>
      <c r="F218" s="18"/>
      <c r="G218" s="19"/>
      <c r="H218" s="20"/>
      <c r="I218" s="21"/>
      <c r="J218" s="14"/>
      <c r="K218" s="14">
        <f t="shared" si="6"/>
        <v>0</v>
      </c>
      <c r="L218" s="16">
        <f t="shared" si="7"/>
        <v>0</v>
      </c>
      <c r="M218" s="22">
        <v>44652</v>
      </c>
      <c r="N218" s="44"/>
      <c r="O218" s="23" t="s">
        <v>16</v>
      </c>
      <c r="P218" s="24" t="s">
        <v>17</v>
      </c>
      <c r="Q218" s="28" t="s">
        <v>321</v>
      </c>
    </row>
    <row r="219" spans="1:17">
      <c r="A219" s="14">
        <v>215</v>
      </c>
      <c r="B219" s="29" t="s">
        <v>322</v>
      </c>
      <c r="C219" s="16">
        <f>'Медикаменты Март'!L217</f>
        <v>0</v>
      </c>
      <c r="D219" s="17"/>
      <c r="E219" s="14"/>
      <c r="F219" s="18"/>
      <c r="G219" s="19"/>
      <c r="H219" s="20"/>
      <c r="I219" s="21"/>
      <c r="J219" s="14"/>
      <c r="K219" s="14">
        <f t="shared" si="6"/>
        <v>0</v>
      </c>
      <c r="L219" s="16">
        <f t="shared" si="7"/>
        <v>0</v>
      </c>
      <c r="M219" s="22"/>
      <c r="N219" s="44"/>
      <c r="O219" s="23" t="s">
        <v>16</v>
      </c>
      <c r="P219" s="24"/>
      <c r="Q219" s="25"/>
    </row>
    <row r="220" spans="1:17">
      <c r="A220" s="14">
        <v>216</v>
      </c>
      <c r="B220" s="29" t="s">
        <v>323</v>
      </c>
      <c r="C220" s="16">
        <f>'Медикаменты Март'!L218</f>
        <v>0</v>
      </c>
      <c r="D220" s="17"/>
      <c r="E220" s="14"/>
      <c r="F220" s="18"/>
      <c r="G220" s="19"/>
      <c r="H220" s="20"/>
      <c r="I220" s="21"/>
      <c r="J220" s="14"/>
      <c r="K220" s="14">
        <f t="shared" si="6"/>
        <v>0</v>
      </c>
      <c r="L220" s="16">
        <f t="shared" si="7"/>
        <v>0</v>
      </c>
      <c r="M220" s="22"/>
      <c r="N220" s="44"/>
      <c r="O220" s="23" t="s">
        <v>16</v>
      </c>
      <c r="P220" s="24"/>
      <c r="Q220" s="25"/>
    </row>
    <row r="221" spans="1:17">
      <c r="A221" s="14">
        <v>217</v>
      </c>
      <c r="B221" s="29" t="s">
        <v>555</v>
      </c>
      <c r="C221" s="16">
        <f>'Медикаменты Март'!L219</f>
        <v>56</v>
      </c>
      <c r="D221" s="17"/>
      <c r="E221" s="14"/>
      <c r="F221" s="18">
        <f>5+5+5+5</f>
        <v>20</v>
      </c>
      <c r="G221" s="19"/>
      <c r="H221" s="20"/>
      <c r="I221" s="21"/>
      <c r="J221" s="14"/>
      <c r="K221" s="14">
        <f t="shared" si="6"/>
        <v>20</v>
      </c>
      <c r="L221" s="16">
        <f t="shared" si="7"/>
        <v>36</v>
      </c>
      <c r="M221" s="22">
        <v>45017</v>
      </c>
      <c r="N221" s="44" t="s">
        <v>45</v>
      </c>
      <c r="O221" s="23" t="s">
        <v>16</v>
      </c>
      <c r="P221" s="24" t="s">
        <v>17</v>
      </c>
      <c r="Q221" s="23" t="s">
        <v>325</v>
      </c>
    </row>
    <row r="222" spans="1:17">
      <c r="A222" s="14">
        <v>218</v>
      </c>
      <c r="B222" s="29" t="s">
        <v>326</v>
      </c>
      <c r="C222" s="16">
        <f>'Медикаменты Март'!L220</f>
        <v>0</v>
      </c>
      <c r="D222" s="17"/>
      <c r="E222" s="14"/>
      <c r="F222" s="18"/>
      <c r="G222" s="19"/>
      <c r="H222" s="20"/>
      <c r="I222" s="21"/>
      <c r="J222" s="14"/>
      <c r="K222" s="14">
        <f t="shared" si="6"/>
        <v>0</v>
      </c>
      <c r="L222" s="16">
        <f t="shared" si="7"/>
        <v>0</v>
      </c>
      <c r="M222" s="22"/>
      <c r="N222" s="44"/>
      <c r="O222" s="23" t="s">
        <v>16</v>
      </c>
      <c r="P222" s="24"/>
      <c r="Q222" s="25"/>
    </row>
    <row r="223" spans="1:17">
      <c r="A223" s="14">
        <v>219</v>
      </c>
      <c r="B223" s="29" t="s">
        <v>327</v>
      </c>
      <c r="C223" s="16">
        <f>'Медикаменты Март'!L221</f>
        <v>67</v>
      </c>
      <c r="D223" s="17"/>
      <c r="E223" s="14"/>
      <c r="F223" s="18">
        <f>5+5+5+10</f>
        <v>25</v>
      </c>
      <c r="G223" s="19"/>
      <c r="H223" s="20">
        <f>10</f>
        <v>10</v>
      </c>
      <c r="I223" s="21"/>
      <c r="J223" s="14"/>
      <c r="K223" s="14">
        <f t="shared" si="6"/>
        <v>35</v>
      </c>
      <c r="L223" s="16">
        <f t="shared" si="7"/>
        <v>32</v>
      </c>
      <c r="M223" s="22">
        <v>44774</v>
      </c>
      <c r="N223" s="44" t="s">
        <v>45</v>
      </c>
      <c r="O223" s="23" t="s">
        <v>16</v>
      </c>
      <c r="P223" s="24" t="s">
        <v>17</v>
      </c>
      <c r="Q223" s="23" t="s">
        <v>328</v>
      </c>
    </row>
    <row r="224" spans="1:17">
      <c r="A224" s="14">
        <v>220</v>
      </c>
      <c r="B224" s="29" t="s">
        <v>327</v>
      </c>
      <c r="C224" s="16">
        <f>'Медикаменты Март'!L222</f>
        <v>0</v>
      </c>
      <c r="D224" s="17"/>
      <c r="E224" s="14"/>
      <c r="F224" s="18"/>
      <c r="G224" s="19"/>
      <c r="H224" s="20"/>
      <c r="I224" s="21"/>
      <c r="J224" s="14"/>
      <c r="K224" s="14">
        <f t="shared" si="6"/>
        <v>0</v>
      </c>
      <c r="L224" s="16">
        <f t="shared" si="7"/>
        <v>0</v>
      </c>
      <c r="M224" s="22">
        <v>44743</v>
      </c>
      <c r="N224" s="44"/>
      <c r="O224" s="23" t="s">
        <v>16</v>
      </c>
      <c r="P224" s="24" t="s">
        <v>17</v>
      </c>
      <c r="Q224" s="23" t="s">
        <v>328</v>
      </c>
    </row>
    <row r="225" spans="1:17">
      <c r="A225" s="14">
        <v>221</v>
      </c>
      <c r="B225" s="29" t="s">
        <v>327</v>
      </c>
      <c r="C225" s="16">
        <f>'Медикаменты Март'!L223</f>
        <v>25</v>
      </c>
      <c r="D225" s="17"/>
      <c r="E225" s="14"/>
      <c r="F225" s="18"/>
      <c r="G225" s="19"/>
      <c r="H225" s="20"/>
      <c r="I225" s="21"/>
      <c r="J225" s="14"/>
      <c r="K225" s="14">
        <f t="shared" si="6"/>
        <v>0</v>
      </c>
      <c r="L225" s="16">
        <f t="shared" si="7"/>
        <v>25</v>
      </c>
      <c r="M225" s="22">
        <v>44774</v>
      </c>
      <c r="N225" s="44" t="s">
        <v>45</v>
      </c>
      <c r="O225" s="23" t="s">
        <v>26</v>
      </c>
      <c r="P225" s="24" t="s">
        <v>17</v>
      </c>
      <c r="Q225" s="23" t="s">
        <v>328</v>
      </c>
    </row>
    <row r="226" spans="1:17">
      <c r="A226" s="14">
        <v>222</v>
      </c>
      <c r="B226" s="29" t="s">
        <v>329</v>
      </c>
      <c r="C226" s="16">
        <f>'Медикаменты Март'!L224</f>
        <v>0</v>
      </c>
      <c r="D226" s="17"/>
      <c r="E226" s="14"/>
      <c r="F226" s="18"/>
      <c r="G226" s="19"/>
      <c r="H226" s="20"/>
      <c r="I226" s="21"/>
      <c r="J226" s="14"/>
      <c r="K226" s="14">
        <f t="shared" si="6"/>
        <v>0</v>
      </c>
      <c r="L226" s="16">
        <f t="shared" si="7"/>
        <v>0</v>
      </c>
      <c r="M226" s="22">
        <v>44713</v>
      </c>
      <c r="N226" s="44"/>
      <c r="O226" s="23" t="s">
        <v>16</v>
      </c>
      <c r="P226" s="24"/>
      <c r="Q226" s="23" t="s">
        <v>330</v>
      </c>
    </row>
    <row r="227" spans="1:17">
      <c r="A227" s="14">
        <v>223</v>
      </c>
      <c r="B227" s="29" t="s">
        <v>331</v>
      </c>
      <c r="C227" s="16">
        <f>'Медикаменты Март'!L225</f>
        <v>0</v>
      </c>
      <c r="D227" s="17"/>
      <c r="E227" s="14"/>
      <c r="F227" s="18"/>
      <c r="G227" s="19"/>
      <c r="H227" s="20"/>
      <c r="I227" s="21"/>
      <c r="J227" s="14"/>
      <c r="K227" s="14">
        <f t="shared" si="6"/>
        <v>0</v>
      </c>
      <c r="L227" s="16">
        <f t="shared" si="7"/>
        <v>0</v>
      </c>
      <c r="M227" s="22">
        <v>44317</v>
      </c>
      <c r="N227" s="44"/>
      <c r="O227" s="23" t="s">
        <v>16</v>
      </c>
      <c r="P227" s="24" t="s">
        <v>45</v>
      </c>
      <c r="Q227" s="23" t="s">
        <v>332</v>
      </c>
    </row>
    <row r="228" spans="1:17">
      <c r="A228" s="14">
        <v>224</v>
      </c>
      <c r="B228" s="29" t="s">
        <v>333</v>
      </c>
      <c r="C228" s="16">
        <f>'Медикаменты Март'!L226</f>
        <v>0</v>
      </c>
      <c r="D228" s="17"/>
      <c r="E228" s="14"/>
      <c r="F228" s="18"/>
      <c r="G228" s="19"/>
      <c r="H228" s="20"/>
      <c r="I228" s="21"/>
      <c r="J228" s="14"/>
      <c r="K228" s="14">
        <f t="shared" si="6"/>
        <v>0</v>
      </c>
      <c r="L228" s="16">
        <f t="shared" si="7"/>
        <v>0</v>
      </c>
      <c r="M228" s="22">
        <v>44348</v>
      </c>
      <c r="N228" s="44"/>
      <c r="O228" s="23" t="s">
        <v>16</v>
      </c>
      <c r="P228" s="24"/>
      <c r="Q228" s="23" t="s">
        <v>334</v>
      </c>
    </row>
    <row r="229" spans="1:17">
      <c r="A229" s="14">
        <v>225</v>
      </c>
      <c r="B229" s="29" t="s">
        <v>335</v>
      </c>
      <c r="C229" s="16">
        <f>'Медикаменты Март'!L227</f>
        <v>0</v>
      </c>
      <c r="D229" s="17"/>
      <c r="E229" s="14"/>
      <c r="F229" s="18"/>
      <c r="G229" s="19"/>
      <c r="H229" s="20"/>
      <c r="I229" s="21"/>
      <c r="J229" s="14"/>
      <c r="K229" s="14">
        <f t="shared" si="6"/>
        <v>0</v>
      </c>
      <c r="L229" s="16">
        <f t="shared" si="7"/>
        <v>0</v>
      </c>
      <c r="M229" s="22">
        <v>44348</v>
      </c>
      <c r="N229" s="44"/>
      <c r="O229" s="23" t="s">
        <v>16</v>
      </c>
      <c r="P229" s="24"/>
      <c r="Q229" s="25"/>
    </row>
    <row r="230" spans="1:17">
      <c r="A230" s="14">
        <v>226</v>
      </c>
      <c r="B230" s="29" t="s">
        <v>336</v>
      </c>
      <c r="C230" s="16">
        <f>'Медикаменты Март'!L228</f>
        <v>112</v>
      </c>
      <c r="D230" s="17"/>
      <c r="E230" s="14"/>
      <c r="F230" s="18">
        <f>5+5</f>
        <v>10</v>
      </c>
      <c r="G230" s="19"/>
      <c r="H230" s="20"/>
      <c r="I230" s="21"/>
      <c r="J230" s="14"/>
      <c r="K230" s="14">
        <f t="shared" si="6"/>
        <v>10</v>
      </c>
      <c r="L230" s="16">
        <f t="shared" si="7"/>
        <v>102</v>
      </c>
      <c r="M230" s="22">
        <v>45413</v>
      </c>
      <c r="N230" s="44" t="s">
        <v>45</v>
      </c>
      <c r="O230" s="23" t="s">
        <v>16</v>
      </c>
      <c r="P230" s="24" t="s">
        <v>17</v>
      </c>
      <c r="Q230" s="23" t="s">
        <v>337</v>
      </c>
    </row>
    <row r="231" spans="1:17">
      <c r="A231" s="14">
        <v>227</v>
      </c>
      <c r="B231" s="29" t="s">
        <v>338</v>
      </c>
      <c r="C231" s="16">
        <f>'Медикаменты Март'!L229</f>
        <v>0</v>
      </c>
      <c r="D231" s="17"/>
      <c r="E231" s="14"/>
      <c r="F231" s="18"/>
      <c r="G231" s="19"/>
      <c r="H231" s="20"/>
      <c r="I231" s="21"/>
      <c r="J231" s="14"/>
      <c r="K231" s="14">
        <f t="shared" si="6"/>
        <v>0</v>
      </c>
      <c r="L231" s="16">
        <f t="shared" si="7"/>
        <v>0</v>
      </c>
      <c r="M231" s="22">
        <v>44562</v>
      </c>
      <c r="N231" s="44"/>
      <c r="O231" s="23" t="s">
        <v>16</v>
      </c>
      <c r="P231" s="24"/>
      <c r="Q231" s="23" t="s">
        <v>339</v>
      </c>
    </row>
    <row r="232" spans="1:17">
      <c r="A232" s="14">
        <v>228</v>
      </c>
      <c r="B232" s="29" t="s">
        <v>340</v>
      </c>
      <c r="C232" s="16">
        <f>'Медикаменты Март'!L230</f>
        <v>0</v>
      </c>
      <c r="D232" s="17"/>
      <c r="E232" s="14"/>
      <c r="F232" s="18"/>
      <c r="G232" s="19"/>
      <c r="H232" s="20"/>
      <c r="I232" s="21"/>
      <c r="J232" s="14"/>
      <c r="K232" s="14">
        <f t="shared" si="6"/>
        <v>0</v>
      </c>
      <c r="L232" s="16">
        <f t="shared" si="7"/>
        <v>0</v>
      </c>
      <c r="M232" s="22"/>
      <c r="N232" s="44"/>
      <c r="O232" s="23" t="s">
        <v>16</v>
      </c>
      <c r="P232" s="24"/>
      <c r="Q232" s="25"/>
    </row>
    <row r="233" spans="1:17">
      <c r="A233" s="14">
        <v>229</v>
      </c>
      <c r="B233" s="29" t="s">
        <v>341</v>
      </c>
      <c r="C233" s="16">
        <f>'Медикаменты Март'!L231</f>
        <v>62</v>
      </c>
      <c r="D233" s="17"/>
      <c r="E233" s="14"/>
      <c r="F233" s="18">
        <f>5</f>
        <v>5</v>
      </c>
      <c r="G233" s="19"/>
      <c r="H233" s="20"/>
      <c r="I233" s="21"/>
      <c r="J233" s="14"/>
      <c r="K233" s="14">
        <f t="shared" si="6"/>
        <v>5</v>
      </c>
      <c r="L233" s="16">
        <f t="shared" si="7"/>
        <v>57</v>
      </c>
      <c r="M233" s="22">
        <v>45108</v>
      </c>
      <c r="N233" s="44" t="s">
        <v>45</v>
      </c>
      <c r="O233" s="23" t="s">
        <v>16</v>
      </c>
      <c r="P233" s="24" t="s">
        <v>17</v>
      </c>
      <c r="Q233" s="28" t="s">
        <v>342</v>
      </c>
    </row>
    <row r="234" spans="1:17">
      <c r="A234" s="14">
        <v>230</v>
      </c>
      <c r="B234" s="29" t="s">
        <v>343</v>
      </c>
      <c r="C234" s="16">
        <f>'Медикаменты Март'!L232</f>
        <v>0</v>
      </c>
      <c r="D234" s="17"/>
      <c r="E234" s="14"/>
      <c r="F234" s="18"/>
      <c r="G234" s="19"/>
      <c r="H234" s="20"/>
      <c r="I234" s="21"/>
      <c r="J234" s="14"/>
      <c r="K234" s="14">
        <f t="shared" si="6"/>
        <v>0</v>
      </c>
      <c r="L234" s="16">
        <f t="shared" si="7"/>
        <v>0</v>
      </c>
      <c r="M234" s="22">
        <v>44835</v>
      </c>
      <c r="N234" s="44"/>
      <c r="O234" s="23" t="s">
        <v>16</v>
      </c>
      <c r="P234" s="24" t="s">
        <v>17</v>
      </c>
      <c r="Q234" s="28" t="s">
        <v>344</v>
      </c>
    </row>
    <row r="235" spans="1:17">
      <c r="A235" s="14">
        <v>231</v>
      </c>
      <c r="B235" s="29" t="s">
        <v>343</v>
      </c>
      <c r="C235" s="16">
        <f>'Медикаменты Март'!L233</f>
        <v>0</v>
      </c>
      <c r="D235" s="17"/>
      <c r="E235" s="14"/>
      <c r="F235" s="18"/>
      <c r="G235" s="19"/>
      <c r="H235" s="20"/>
      <c r="I235" s="21"/>
      <c r="J235" s="14"/>
      <c r="K235" s="14">
        <f t="shared" si="6"/>
        <v>0</v>
      </c>
      <c r="L235" s="16">
        <f t="shared" si="7"/>
        <v>0</v>
      </c>
      <c r="M235" s="22">
        <v>44835</v>
      </c>
      <c r="N235" s="44"/>
      <c r="O235" s="23" t="s">
        <v>26</v>
      </c>
      <c r="P235" s="24"/>
      <c r="Q235" s="28" t="s">
        <v>344</v>
      </c>
    </row>
    <row r="236" spans="1:17">
      <c r="A236" s="14">
        <v>232</v>
      </c>
      <c r="B236" s="29" t="s">
        <v>345</v>
      </c>
      <c r="C236" s="16">
        <f>'Медикаменты Март'!L234</f>
        <v>17</v>
      </c>
      <c r="D236" s="17"/>
      <c r="E236" s="14"/>
      <c r="F236" s="18">
        <f>10+7</f>
        <v>17</v>
      </c>
      <c r="G236" s="19"/>
      <c r="H236" s="20"/>
      <c r="I236" s="21"/>
      <c r="J236" s="14"/>
      <c r="K236" s="14">
        <f t="shared" si="6"/>
        <v>17</v>
      </c>
      <c r="L236" s="16">
        <f t="shared" si="7"/>
        <v>0</v>
      </c>
      <c r="M236" s="22">
        <v>44562</v>
      </c>
      <c r="N236" s="44" t="s">
        <v>45</v>
      </c>
      <c r="O236" s="23" t="s">
        <v>16</v>
      </c>
      <c r="P236" s="24" t="s">
        <v>45</v>
      </c>
      <c r="Q236" s="28" t="s">
        <v>346</v>
      </c>
    </row>
    <row r="237" spans="1:17">
      <c r="A237" s="14">
        <v>233</v>
      </c>
      <c r="B237" s="29" t="s">
        <v>347</v>
      </c>
      <c r="C237" s="16">
        <f>'Медикаменты Март'!L235</f>
        <v>0</v>
      </c>
      <c r="D237" s="17"/>
      <c r="E237" s="14"/>
      <c r="F237" s="18"/>
      <c r="G237" s="19"/>
      <c r="H237" s="20"/>
      <c r="I237" s="21"/>
      <c r="J237" s="14"/>
      <c r="K237" s="14">
        <f t="shared" si="6"/>
        <v>0</v>
      </c>
      <c r="L237" s="16">
        <f t="shared" si="7"/>
        <v>0</v>
      </c>
      <c r="M237" s="22">
        <v>44896</v>
      </c>
      <c r="N237" s="44"/>
      <c r="O237" s="23" t="s">
        <v>16</v>
      </c>
      <c r="P237" s="24" t="s">
        <v>45</v>
      </c>
      <c r="Q237" s="23" t="s">
        <v>348</v>
      </c>
    </row>
    <row r="238" spans="1:17">
      <c r="A238" s="14">
        <v>234</v>
      </c>
      <c r="B238" s="29" t="s">
        <v>349</v>
      </c>
      <c r="C238" s="16">
        <f>'Медикаменты Март'!L236</f>
        <v>0</v>
      </c>
      <c r="D238" s="17"/>
      <c r="E238" s="14"/>
      <c r="F238" s="18"/>
      <c r="G238" s="19"/>
      <c r="H238" s="20"/>
      <c r="I238" s="21"/>
      <c r="J238" s="14"/>
      <c r="K238" s="14">
        <f t="shared" si="6"/>
        <v>0</v>
      </c>
      <c r="L238" s="16">
        <f t="shared" si="7"/>
        <v>0</v>
      </c>
      <c r="M238" s="22"/>
      <c r="N238" s="44"/>
      <c r="O238" s="23" t="s">
        <v>16</v>
      </c>
      <c r="P238" s="24"/>
      <c r="Q238" s="25"/>
    </row>
    <row r="239" spans="1:17">
      <c r="A239" s="14">
        <v>235</v>
      </c>
      <c r="B239" s="29" t="s">
        <v>350</v>
      </c>
      <c r="C239" s="16">
        <f>'Медикаменты Март'!L237</f>
        <v>0</v>
      </c>
      <c r="D239" s="17"/>
      <c r="E239" s="14"/>
      <c r="F239" s="18"/>
      <c r="G239" s="19"/>
      <c r="H239" s="20"/>
      <c r="I239" s="21"/>
      <c r="J239" s="14"/>
      <c r="K239" s="14">
        <f t="shared" si="6"/>
        <v>0</v>
      </c>
      <c r="L239" s="16">
        <f t="shared" si="7"/>
        <v>0</v>
      </c>
      <c r="M239" s="22"/>
      <c r="N239" s="44"/>
      <c r="O239" s="23" t="s">
        <v>16</v>
      </c>
      <c r="P239" s="24"/>
      <c r="Q239" s="25"/>
    </row>
    <row r="240" spans="1:17">
      <c r="A240" s="14">
        <v>236</v>
      </c>
      <c r="B240" s="29" t="s">
        <v>351</v>
      </c>
      <c r="C240" s="16">
        <f>'Медикаменты Март'!L238</f>
        <v>0</v>
      </c>
      <c r="D240" s="17"/>
      <c r="E240" s="14"/>
      <c r="F240" s="18"/>
      <c r="G240" s="19"/>
      <c r="H240" s="20"/>
      <c r="I240" s="21"/>
      <c r="J240" s="14"/>
      <c r="K240" s="14">
        <f t="shared" si="6"/>
        <v>0</v>
      </c>
      <c r="L240" s="16">
        <f t="shared" si="7"/>
        <v>0</v>
      </c>
      <c r="M240" s="22">
        <v>44197</v>
      </c>
      <c r="N240" s="44"/>
      <c r="O240" s="23" t="s">
        <v>16</v>
      </c>
      <c r="P240" s="24"/>
      <c r="Q240" s="28" t="s">
        <v>352</v>
      </c>
    </row>
    <row r="241" spans="1:17">
      <c r="A241" s="14">
        <v>237</v>
      </c>
      <c r="B241" s="29" t="s">
        <v>353</v>
      </c>
      <c r="C241" s="16">
        <f>'Медикаменты Март'!L239</f>
        <v>363</v>
      </c>
      <c r="D241" s="17"/>
      <c r="E241" s="14"/>
      <c r="F241" s="18">
        <f>15+5</f>
        <v>20</v>
      </c>
      <c r="G241" s="19"/>
      <c r="H241" s="20">
        <f>10</f>
        <v>10</v>
      </c>
      <c r="I241" s="21"/>
      <c r="J241" s="14"/>
      <c r="K241" s="14">
        <f t="shared" si="6"/>
        <v>30</v>
      </c>
      <c r="L241" s="16">
        <f t="shared" si="7"/>
        <v>333</v>
      </c>
      <c r="M241" s="22">
        <v>44652</v>
      </c>
      <c r="N241" s="44" t="s">
        <v>45</v>
      </c>
      <c r="O241" s="23" t="s">
        <v>16</v>
      </c>
      <c r="P241" s="24" t="s">
        <v>17</v>
      </c>
      <c r="Q241" s="28" t="s">
        <v>354</v>
      </c>
    </row>
    <row r="242" spans="1:17">
      <c r="A242" s="14">
        <v>238</v>
      </c>
      <c r="B242" s="29" t="s">
        <v>355</v>
      </c>
      <c r="C242" s="16">
        <f>'Медикаменты Март'!L240</f>
        <v>8</v>
      </c>
      <c r="D242" s="17"/>
      <c r="E242" s="14"/>
      <c r="F242" s="18"/>
      <c r="G242" s="19"/>
      <c r="H242" s="20"/>
      <c r="I242" s="21"/>
      <c r="J242" s="14"/>
      <c r="K242" s="14">
        <f t="shared" si="6"/>
        <v>0</v>
      </c>
      <c r="L242" s="16">
        <f t="shared" si="7"/>
        <v>8</v>
      </c>
      <c r="M242" s="22">
        <v>44713</v>
      </c>
      <c r="N242" s="44" t="s">
        <v>45</v>
      </c>
      <c r="O242" s="23" t="s">
        <v>16</v>
      </c>
      <c r="P242" s="24" t="s">
        <v>17</v>
      </c>
      <c r="Q242" s="28" t="s">
        <v>356</v>
      </c>
    </row>
    <row r="243" spans="1:17">
      <c r="A243" s="14">
        <v>239</v>
      </c>
      <c r="B243" s="29" t="s">
        <v>357</v>
      </c>
      <c r="C243" s="16">
        <f>'Медикаменты Март'!L241</f>
        <v>0</v>
      </c>
      <c r="D243" s="17"/>
      <c r="E243" s="14"/>
      <c r="F243" s="18"/>
      <c r="G243" s="19"/>
      <c r="H243" s="20"/>
      <c r="I243" s="21"/>
      <c r="J243" s="14"/>
      <c r="K243" s="14">
        <f t="shared" si="6"/>
        <v>0</v>
      </c>
      <c r="L243" s="16">
        <f t="shared" si="7"/>
        <v>0</v>
      </c>
      <c r="M243" s="22"/>
      <c r="N243" s="44"/>
      <c r="O243" s="23" t="s">
        <v>16</v>
      </c>
      <c r="P243" s="24"/>
      <c r="Q243" s="25"/>
    </row>
    <row r="244" spans="1:17">
      <c r="A244" s="14">
        <v>240</v>
      </c>
      <c r="B244" s="29" t="s">
        <v>358</v>
      </c>
      <c r="C244" s="16">
        <f>'Медикаменты Март'!L242</f>
        <v>0</v>
      </c>
      <c r="D244" s="17"/>
      <c r="E244" s="14"/>
      <c r="F244" s="18"/>
      <c r="G244" s="19"/>
      <c r="H244" s="20"/>
      <c r="I244" s="21"/>
      <c r="J244" s="14"/>
      <c r="K244" s="14">
        <f t="shared" si="6"/>
        <v>0</v>
      </c>
      <c r="L244" s="16">
        <f t="shared" si="7"/>
        <v>0</v>
      </c>
      <c r="M244" s="22">
        <v>44562</v>
      </c>
      <c r="N244" s="44"/>
      <c r="O244" s="23" t="s">
        <v>26</v>
      </c>
      <c r="P244" s="24"/>
      <c r="Q244" s="28" t="s">
        <v>359</v>
      </c>
    </row>
    <row r="245" spans="1:17">
      <c r="A245" s="14">
        <v>241</v>
      </c>
      <c r="B245" s="29" t="s">
        <v>360</v>
      </c>
      <c r="C245" s="16">
        <f>'Медикаменты Март'!L243</f>
        <v>0</v>
      </c>
      <c r="D245" s="17"/>
      <c r="E245" s="14"/>
      <c r="F245" s="18"/>
      <c r="G245" s="19"/>
      <c r="H245" s="20"/>
      <c r="I245" s="21"/>
      <c r="J245" s="14"/>
      <c r="K245" s="14">
        <f t="shared" si="6"/>
        <v>0</v>
      </c>
      <c r="L245" s="16">
        <f t="shared" si="7"/>
        <v>0</v>
      </c>
      <c r="M245" s="22"/>
      <c r="N245" s="44"/>
      <c r="O245" s="23" t="s">
        <v>16</v>
      </c>
      <c r="P245" s="24"/>
      <c r="Q245" s="25"/>
    </row>
    <row r="246" spans="1:17">
      <c r="A246" s="14">
        <v>242</v>
      </c>
      <c r="B246" s="29" t="s">
        <v>361</v>
      </c>
      <c r="C246" s="16">
        <f>'Медикаменты Март'!L244</f>
        <v>0</v>
      </c>
      <c r="D246" s="17"/>
      <c r="E246" s="14"/>
      <c r="F246" s="18"/>
      <c r="G246" s="19"/>
      <c r="H246" s="20"/>
      <c r="I246" s="21"/>
      <c r="J246" s="14"/>
      <c r="K246" s="14">
        <f t="shared" si="6"/>
        <v>0</v>
      </c>
      <c r="L246" s="16">
        <f t="shared" si="7"/>
        <v>0</v>
      </c>
      <c r="M246" s="22"/>
      <c r="N246" s="44"/>
      <c r="O246" s="23" t="s">
        <v>16</v>
      </c>
      <c r="P246" s="24"/>
      <c r="Q246" s="25"/>
    </row>
    <row r="247" spans="1:17">
      <c r="A247" s="14">
        <v>243</v>
      </c>
      <c r="B247" s="29" t="s">
        <v>362</v>
      </c>
      <c r="C247" s="16">
        <f>'Медикаменты Март'!L245</f>
        <v>0</v>
      </c>
      <c r="D247" s="17"/>
      <c r="E247" s="14"/>
      <c r="F247" s="18"/>
      <c r="G247" s="19"/>
      <c r="H247" s="20"/>
      <c r="I247" s="21"/>
      <c r="J247" s="14"/>
      <c r="K247" s="14">
        <f t="shared" si="6"/>
        <v>0</v>
      </c>
      <c r="L247" s="16">
        <f t="shared" si="7"/>
        <v>0</v>
      </c>
      <c r="M247" s="22">
        <v>45200</v>
      </c>
      <c r="N247" s="44"/>
      <c r="O247" s="23" t="s">
        <v>16</v>
      </c>
      <c r="P247" s="24"/>
      <c r="Q247" s="23" t="s">
        <v>363</v>
      </c>
    </row>
    <row r="248" spans="1:17">
      <c r="A248" s="14">
        <v>244</v>
      </c>
      <c r="B248" s="29" t="s">
        <v>364</v>
      </c>
      <c r="C248" s="16">
        <f>'Медикаменты Март'!L246</f>
        <v>0</v>
      </c>
      <c r="D248" s="17"/>
      <c r="E248" s="14"/>
      <c r="F248" s="18"/>
      <c r="G248" s="19"/>
      <c r="H248" s="20"/>
      <c r="I248" s="21"/>
      <c r="J248" s="14"/>
      <c r="K248" s="14">
        <f t="shared" si="6"/>
        <v>0</v>
      </c>
      <c r="L248" s="16">
        <f t="shared" si="7"/>
        <v>0</v>
      </c>
      <c r="M248" s="22">
        <v>44378</v>
      </c>
      <c r="N248" s="44"/>
      <c r="O248" s="23" t="s">
        <v>26</v>
      </c>
      <c r="P248" s="24"/>
      <c r="Q248" s="25"/>
    </row>
    <row r="249" spans="1:17">
      <c r="A249" s="14">
        <v>245</v>
      </c>
      <c r="B249" s="29" t="s">
        <v>365</v>
      </c>
      <c r="C249" s="16">
        <f>'Медикаменты Март'!L247</f>
        <v>0</v>
      </c>
      <c r="D249" s="17"/>
      <c r="E249" s="14"/>
      <c r="F249" s="18"/>
      <c r="G249" s="19"/>
      <c r="H249" s="20"/>
      <c r="I249" s="21"/>
      <c r="J249" s="14"/>
      <c r="K249" s="14">
        <f t="shared" si="6"/>
        <v>0</v>
      </c>
      <c r="L249" s="16">
        <f t="shared" si="7"/>
        <v>0</v>
      </c>
      <c r="M249" s="22"/>
      <c r="N249" s="44"/>
      <c r="O249" s="23" t="s">
        <v>16</v>
      </c>
      <c r="P249" s="24"/>
      <c r="Q249" s="25"/>
    </row>
    <row r="250" spans="1:17">
      <c r="A250" s="14">
        <v>246</v>
      </c>
      <c r="B250" s="29" t="s">
        <v>556</v>
      </c>
      <c r="C250" s="16">
        <f>'Медикаменты Март'!L248</f>
        <v>11</v>
      </c>
      <c r="D250" s="17"/>
      <c r="E250" s="14"/>
      <c r="F250" s="18">
        <f>1</f>
        <v>1</v>
      </c>
      <c r="G250" s="19"/>
      <c r="H250" s="20"/>
      <c r="I250" s="21"/>
      <c r="J250" s="14"/>
      <c r="K250" s="14">
        <f t="shared" si="6"/>
        <v>1</v>
      </c>
      <c r="L250" s="16">
        <f t="shared" si="7"/>
        <v>10</v>
      </c>
      <c r="M250" s="22">
        <v>45231</v>
      </c>
      <c r="N250" s="44" t="s">
        <v>551</v>
      </c>
      <c r="O250" s="23" t="s">
        <v>16</v>
      </c>
      <c r="P250" s="24" t="s">
        <v>17</v>
      </c>
      <c r="Q250" s="23" t="s">
        <v>557</v>
      </c>
    </row>
    <row r="251" spans="1:17">
      <c r="A251" s="14">
        <v>247</v>
      </c>
      <c r="B251" s="29" t="s">
        <v>556</v>
      </c>
      <c r="C251" s="16">
        <f>'Медикаменты Март'!L249</f>
        <v>0</v>
      </c>
      <c r="D251" s="17"/>
      <c r="E251" s="14"/>
      <c r="F251" s="18"/>
      <c r="G251" s="19"/>
      <c r="H251" s="20"/>
      <c r="I251" s="21"/>
      <c r="J251" s="14"/>
      <c r="K251" s="14">
        <f t="shared" si="6"/>
        <v>0</v>
      </c>
      <c r="L251" s="16">
        <f t="shared" si="7"/>
        <v>0</v>
      </c>
      <c r="M251" s="22">
        <v>45231</v>
      </c>
      <c r="N251" s="44" t="s">
        <v>551</v>
      </c>
      <c r="O251" s="23" t="s">
        <v>26</v>
      </c>
      <c r="P251" s="24" t="s">
        <v>17</v>
      </c>
      <c r="Q251" s="23" t="s">
        <v>557</v>
      </c>
    </row>
    <row r="252" spans="1:17">
      <c r="A252" s="14">
        <v>248</v>
      </c>
      <c r="B252" s="29" t="s">
        <v>367</v>
      </c>
      <c r="C252" s="16">
        <f>'Медикаменты Март'!L250</f>
        <v>20</v>
      </c>
      <c r="D252" s="17"/>
      <c r="E252" s="14"/>
      <c r="F252" s="18">
        <f>5+5</f>
        <v>10</v>
      </c>
      <c r="G252" s="19"/>
      <c r="H252" s="20"/>
      <c r="I252" s="21"/>
      <c r="J252" s="14"/>
      <c r="K252" s="14">
        <f t="shared" si="6"/>
        <v>10</v>
      </c>
      <c r="L252" s="16">
        <f t="shared" si="7"/>
        <v>10</v>
      </c>
      <c r="M252" s="22">
        <v>45261</v>
      </c>
      <c r="N252" s="44" t="s">
        <v>45</v>
      </c>
      <c r="O252" s="23" t="s">
        <v>16</v>
      </c>
      <c r="P252" s="24" t="s">
        <v>17</v>
      </c>
      <c r="Q252" s="23" t="s">
        <v>368</v>
      </c>
    </row>
    <row r="253" spans="1:17">
      <c r="A253" s="14">
        <v>249</v>
      </c>
      <c r="B253" s="29" t="s">
        <v>369</v>
      </c>
      <c r="C253" s="16">
        <f>'Медикаменты Март'!L251</f>
        <v>7</v>
      </c>
      <c r="D253" s="17"/>
      <c r="E253" s="14"/>
      <c r="F253" s="18">
        <f>7</f>
        <v>7</v>
      </c>
      <c r="G253" s="19"/>
      <c r="H253" s="20"/>
      <c r="I253" s="21"/>
      <c r="J253" s="14"/>
      <c r="K253" s="14">
        <f t="shared" si="6"/>
        <v>7</v>
      </c>
      <c r="L253" s="16">
        <f t="shared" si="7"/>
        <v>0</v>
      </c>
      <c r="M253" s="22">
        <v>44927</v>
      </c>
      <c r="N253" s="44" t="s">
        <v>45</v>
      </c>
      <c r="O253" s="23" t="s">
        <v>16</v>
      </c>
      <c r="P253" s="24" t="s">
        <v>45</v>
      </c>
      <c r="Q253" s="28" t="s">
        <v>370</v>
      </c>
    </row>
    <row r="254" spans="1:17">
      <c r="A254" s="14">
        <v>250</v>
      </c>
      <c r="B254" s="29" t="s">
        <v>371</v>
      </c>
      <c r="C254" s="16">
        <f>'Медикаменты Март'!L252</f>
        <v>0</v>
      </c>
      <c r="D254" s="17"/>
      <c r="E254" s="14"/>
      <c r="F254" s="18"/>
      <c r="G254" s="19"/>
      <c r="H254" s="20"/>
      <c r="I254" s="21"/>
      <c r="J254" s="14"/>
      <c r="K254" s="14">
        <f t="shared" si="6"/>
        <v>0</v>
      </c>
      <c r="L254" s="16">
        <f t="shared" si="7"/>
        <v>0</v>
      </c>
      <c r="M254" s="22">
        <v>45413</v>
      </c>
      <c r="N254" s="44"/>
      <c r="O254" s="23" t="s">
        <v>16</v>
      </c>
      <c r="P254" s="24" t="s">
        <v>17</v>
      </c>
      <c r="Q254" s="23" t="s">
        <v>372</v>
      </c>
    </row>
    <row r="255" spans="1:17">
      <c r="A255" s="14">
        <v>251</v>
      </c>
      <c r="B255" s="29" t="s">
        <v>371</v>
      </c>
      <c r="C255" s="16">
        <f>'Медикаменты Март'!L253</f>
        <v>0</v>
      </c>
      <c r="D255" s="17"/>
      <c r="E255" s="14"/>
      <c r="F255" s="18"/>
      <c r="G255" s="19"/>
      <c r="H255" s="20"/>
      <c r="I255" s="21"/>
      <c r="J255" s="14"/>
      <c r="K255" s="14">
        <f t="shared" si="6"/>
        <v>0</v>
      </c>
      <c r="L255" s="16">
        <f t="shared" si="7"/>
        <v>0</v>
      </c>
      <c r="M255" s="22">
        <v>45413</v>
      </c>
      <c r="N255" s="44"/>
      <c r="O255" s="23" t="s">
        <v>26</v>
      </c>
      <c r="P255" s="24"/>
      <c r="Q255" s="23" t="s">
        <v>372</v>
      </c>
    </row>
    <row r="256" spans="1:17">
      <c r="A256" s="14">
        <v>252</v>
      </c>
      <c r="B256" s="29" t="s">
        <v>373</v>
      </c>
      <c r="C256" s="16">
        <f>'Медикаменты Март'!L254</f>
        <v>0</v>
      </c>
      <c r="D256" s="17"/>
      <c r="E256" s="14"/>
      <c r="F256" s="18"/>
      <c r="G256" s="19"/>
      <c r="H256" s="20"/>
      <c r="I256" s="21"/>
      <c r="J256" s="14"/>
      <c r="K256" s="14">
        <f t="shared" si="6"/>
        <v>0</v>
      </c>
      <c r="L256" s="16">
        <f t="shared" si="7"/>
        <v>0</v>
      </c>
      <c r="M256" s="22">
        <v>45108</v>
      </c>
      <c r="N256" s="44"/>
      <c r="O256" s="23" t="s">
        <v>16</v>
      </c>
      <c r="P256" s="24"/>
      <c r="Q256" s="23" t="s">
        <v>374</v>
      </c>
    </row>
    <row r="257" spans="1:17">
      <c r="A257" s="14">
        <v>253</v>
      </c>
      <c r="B257" s="29" t="s">
        <v>373</v>
      </c>
      <c r="C257" s="16">
        <f>'Медикаменты Март'!L255</f>
        <v>0</v>
      </c>
      <c r="D257" s="17"/>
      <c r="E257" s="14"/>
      <c r="F257" s="18"/>
      <c r="G257" s="19"/>
      <c r="H257" s="20"/>
      <c r="I257" s="21"/>
      <c r="J257" s="14"/>
      <c r="K257" s="14">
        <f t="shared" si="6"/>
        <v>0</v>
      </c>
      <c r="L257" s="16">
        <f t="shared" si="7"/>
        <v>0</v>
      </c>
      <c r="M257" s="22">
        <v>45108</v>
      </c>
      <c r="N257" s="44"/>
      <c r="O257" s="23" t="s">
        <v>26</v>
      </c>
      <c r="P257" s="24"/>
      <c r="Q257" s="23" t="s">
        <v>374</v>
      </c>
    </row>
    <row r="258" spans="1:17">
      <c r="A258" s="14">
        <v>254</v>
      </c>
      <c r="B258" s="29" t="s">
        <v>375</v>
      </c>
      <c r="C258" s="16">
        <f>'Медикаменты Март'!L256</f>
        <v>0</v>
      </c>
      <c r="D258" s="17"/>
      <c r="E258" s="14"/>
      <c r="F258" s="18"/>
      <c r="G258" s="19"/>
      <c r="H258" s="20"/>
      <c r="I258" s="21"/>
      <c r="J258" s="14"/>
      <c r="K258" s="14">
        <f t="shared" si="6"/>
        <v>0</v>
      </c>
      <c r="L258" s="16">
        <f t="shared" si="7"/>
        <v>0</v>
      </c>
      <c r="M258" s="22">
        <v>44805</v>
      </c>
      <c r="N258" s="44"/>
      <c r="O258" s="23" t="s">
        <v>16</v>
      </c>
      <c r="P258" s="24" t="s">
        <v>17</v>
      </c>
      <c r="Q258" s="28" t="s">
        <v>376</v>
      </c>
    </row>
    <row r="259" spans="1:17">
      <c r="A259" s="14">
        <v>255</v>
      </c>
      <c r="B259" s="29" t="s">
        <v>375</v>
      </c>
      <c r="C259" s="16">
        <f>'Медикаменты Март'!L257</f>
        <v>0</v>
      </c>
      <c r="D259" s="17"/>
      <c r="E259" s="14"/>
      <c r="F259" s="18"/>
      <c r="G259" s="19"/>
      <c r="H259" s="20"/>
      <c r="I259" s="21"/>
      <c r="J259" s="14"/>
      <c r="K259" s="14">
        <f t="shared" si="6"/>
        <v>0</v>
      </c>
      <c r="L259" s="16">
        <f t="shared" si="7"/>
        <v>0</v>
      </c>
      <c r="M259" s="22">
        <v>44958</v>
      </c>
      <c r="N259" s="44"/>
      <c r="O259" s="23" t="s">
        <v>26</v>
      </c>
      <c r="P259" s="24"/>
      <c r="Q259" s="28" t="s">
        <v>376</v>
      </c>
    </row>
    <row r="260" spans="1:17">
      <c r="A260" s="14">
        <v>256</v>
      </c>
      <c r="B260" s="29" t="s">
        <v>377</v>
      </c>
      <c r="C260" s="16">
        <f>'Медикаменты Март'!L258</f>
        <v>112</v>
      </c>
      <c r="D260" s="17"/>
      <c r="E260" s="14"/>
      <c r="F260" s="18">
        <f>5+5+8+10</f>
        <v>28</v>
      </c>
      <c r="G260" s="19"/>
      <c r="H260" s="20"/>
      <c r="I260" s="21"/>
      <c r="J260" s="14"/>
      <c r="K260" s="14">
        <f t="shared" si="6"/>
        <v>28</v>
      </c>
      <c r="L260" s="16">
        <f t="shared" si="7"/>
        <v>84</v>
      </c>
      <c r="M260" s="22">
        <v>45170</v>
      </c>
      <c r="N260" s="44" t="s">
        <v>45</v>
      </c>
      <c r="O260" s="23" t="s">
        <v>16</v>
      </c>
      <c r="P260" s="24" t="s">
        <v>17</v>
      </c>
      <c r="Q260" s="23" t="s">
        <v>378</v>
      </c>
    </row>
    <row r="261" spans="1:17">
      <c r="A261" s="14">
        <v>257</v>
      </c>
      <c r="B261" s="29" t="s">
        <v>377</v>
      </c>
      <c r="C261" s="16">
        <f>'Медикаменты Март'!L259</f>
        <v>0</v>
      </c>
      <c r="D261" s="17"/>
      <c r="E261" s="14"/>
      <c r="F261" s="18"/>
      <c r="G261" s="19"/>
      <c r="H261" s="20"/>
      <c r="I261" s="21"/>
      <c r="J261" s="14"/>
      <c r="K261" s="14">
        <f t="shared" ref="K261:K324" si="8">SUM(F261:J261)</f>
        <v>0</v>
      </c>
      <c r="L261" s="16">
        <f t="shared" ref="L261:L324" si="9">(C261+E261)-K261</f>
        <v>0</v>
      </c>
      <c r="M261" s="22">
        <v>45170</v>
      </c>
      <c r="N261" s="44"/>
      <c r="O261" s="23" t="s">
        <v>26</v>
      </c>
      <c r="P261" s="24" t="s">
        <v>17</v>
      </c>
      <c r="Q261" s="23" t="s">
        <v>378</v>
      </c>
    </row>
    <row r="262" spans="1:17">
      <c r="A262" s="14">
        <v>258</v>
      </c>
      <c r="B262" s="29" t="s">
        <v>379</v>
      </c>
      <c r="C262" s="16">
        <f>'Медикаменты Март'!L260</f>
        <v>0</v>
      </c>
      <c r="D262" s="17"/>
      <c r="E262" s="14"/>
      <c r="F262" s="18"/>
      <c r="G262" s="19"/>
      <c r="H262" s="20"/>
      <c r="I262" s="21"/>
      <c r="J262" s="14"/>
      <c r="K262" s="14">
        <f t="shared" si="8"/>
        <v>0</v>
      </c>
      <c r="L262" s="16">
        <f t="shared" si="9"/>
        <v>0</v>
      </c>
      <c r="M262" s="22"/>
      <c r="N262" s="44"/>
      <c r="O262" s="23" t="s">
        <v>16</v>
      </c>
      <c r="P262" s="24"/>
      <c r="Q262" s="25"/>
    </row>
    <row r="263" spans="1:17">
      <c r="A263" s="14">
        <v>259</v>
      </c>
      <c r="B263" s="29" t="s">
        <v>380</v>
      </c>
      <c r="C263" s="16">
        <f>'Медикаменты Март'!L261</f>
        <v>0</v>
      </c>
      <c r="D263" s="17"/>
      <c r="E263" s="14"/>
      <c r="F263" s="18"/>
      <c r="G263" s="19"/>
      <c r="H263" s="20"/>
      <c r="I263" s="21"/>
      <c r="J263" s="14"/>
      <c r="K263" s="14">
        <f t="shared" si="8"/>
        <v>0</v>
      </c>
      <c r="L263" s="16">
        <f t="shared" si="9"/>
        <v>0</v>
      </c>
      <c r="M263" s="22">
        <v>44682</v>
      </c>
      <c r="N263" s="44"/>
      <c r="O263" s="23" t="s">
        <v>16</v>
      </c>
      <c r="P263" s="24" t="s">
        <v>45</v>
      </c>
      <c r="Q263" s="23" t="s">
        <v>381</v>
      </c>
    </row>
    <row r="264" spans="1:17">
      <c r="A264" s="14">
        <v>260</v>
      </c>
      <c r="B264" s="29" t="s">
        <v>382</v>
      </c>
      <c r="C264" s="16">
        <f>'Медикаменты Март'!L262</f>
        <v>0</v>
      </c>
      <c r="D264" s="17"/>
      <c r="E264" s="14"/>
      <c r="F264" s="18"/>
      <c r="G264" s="19"/>
      <c r="H264" s="20"/>
      <c r="I264" s="21"/>
      <c r="J264" s="14"/>
      <c r="K264" s="14">
        <f t="shared" si="8"/>
        <v>0</v>
      </c>
      <c r="L264" s="16">
        <f t="shared" si="9"/>
        <v>0</v>
      </c>
      <c r="M264" s="22">
        <v>44743</v>
      </c>
      <c r="N264" s="44"/>
      <c r="O264" s="23" t="s">
        <v>16</v>
      </c>
      <c r="P264" s="24"/>
      <c r="Q264" s="23" t="s">
        <v>383</v>
      </c>
    </row>
    <row r="265" spans="1:17">
      <c r="A265" s="14">
        <v>261</v>
      </c>
      <c r="B265" s="29" t="s">
        <v>384</v>
      </c>
      <c r="C265" s="16">
        <f>'Медикаменты Март'!L263</f>
        <v>0</v>
      </c>
      <c r="D265" s="17"/>
      <c r="E265" s="14"/>
      <c r="F265" s="18"/>
      <c r="G265" s="19"/>
      <c r="H265" s="20"/>
      <c r="I265" s="21"/>
      <c r="J265" s="14"/>
      <c r="K265" s="14">
        <f t="shared" si="8"/>
        <v>0</v>
      </c>
      <c r="L265" s="16">
        <f t="shared" si="9"/>
        <v>0</v>
      </c>
      <c r="M265" s="22"/>
      <c r="N265" s="44"/>
      <c r="O265" s="23" t="s">
        <v>16</v>
      </c>
      <c r="P265" s="24"/>
      <c r="Q265" s="25"/>
    </row>
    <row r="266" spans="1:17">
      <c r="A266" s="14">
        <v>262</v>
      </c>
      <c r="B266" s="29" t="s">
        <v>385</v>
      </c>
      <c r="C266" s="16">
        <f>'Медикаменты Март'!L264</f>
        <v>0</v>
      </c>
      <c r="D266" s="17"/>
      <c r="E266" s="14"/>
      <c r="F266" s="18"/>
      <c r="G266" s="19"/>
      <c r="H266" s="20"/>
      <c r="I266" s="21"/>
      <c r="J266" s="14"/>
      <c r="K266" s="14">
        <f t="shared" si="8"/>
        <v>0</v>
      </c>
      <c r="L266" s="16">
        <f t="shared" si="9"/>
        <v>0</v>
      </c>
      <c r="M266" s="22"/>
      <c r="N266" s="44"/>
      <c r="O266" s="23" t="s">
        <v>16</v>
      </c>
      <c r="P266" s="24"/>
      <c r="Q266" s="25"/>
    </row>
    <row r="267" spans="1:17">
      <c r="A267" s="14">
        <v>263</v>
      </c>
      <c r="B267" s="29" t="s">
        <v>386</v>
      </c>
      <c r="C267" s="16">
        <f>'Медикаменты Март'!L265</f>
        <v>0</v>
      </c>
      <c r="D267" s="17"/>
      <c r="E267" s="14"/>
      <c r="F267" s="18"/>
      <c r="G267" s="19"/>
      <c r="H267" s="20"/>
      <c r="I267" s="21"/>
      <c r="J267" s="14"/>
      <c r="K267" s="14">
        <f t="shared" si="8"/>
        <v>0</v>
      </c>
      <c r="L267" s="16">
        <f t="shared" si="9"/>
        <v>0</v>
      </c>
      <c r="M267" s="22"/>
      <c r="N267" s="44"/>
      <c r="O267" s="23" t="s">
        <v>16</v>
      </c>
      <c r="P267" s="24"/>
      <c r="Q267" s="25"/>
    </row>
    <row r="268" spans="1:17">
      <c r="A268" s="14">
        <v>264</v>
      </c>
      <c r="B268" s="29" t="s">
        <v>387</v>
      </c>
      <c r="C268" s="16">
        <f>'Медикаменты Март'!L266</f>
        <v>0</v>
      </c>
      <c r="D268" s="17"/>
      <c r="E268" s="14"/>
      <c r="F268" s="18"/>
      <c r="G268" s="19"/>
      <c r="H268" s="20"/>
      <c r="I268" s="21"/>
      <c r="J268" s="14"/>
      <c r="K268" s="14">
        <f t="shared" si="8"/>
        <v>0</v>
      </c>
      <c r="L268" s="16">
        <f t="shared" si="9"/>
        <v>0</v>
      </c>
      <c r="M268" s="22"/>
      <c r="N268" s="44"/>
      <c r="O268" s="23" t="s">
        <v>16</v>
      </c>
      <c r="P268" s="24"/>
      <c r="Q268" s="25"/>
    </row>
    <row r="269" spans="1:17">
      <c r="A269" s="14">
        <v>265</v>
      </c>
      <c r="B269" s="29" t="s">
        <v>388</v>
      </c>
      <c r="C269" s="16">
        <f>'Медикаменты Март'!L267</f>
        <v>0</v>
      </c>
      <c r="D269" s="17"/>
      <c r="E269" s="14"/>
      <c r="F269" s="18"/>
      <c r="G269" s="19"/>
      <c r="H269" s="20"/>
      <c r="I269" s="21"/>
      <c r="J269" s="14"/>
      <c r="K269" s="14">
        <f t="shared" si="8"/>
        <v>0</v>
      </c>
      <c r="L269" s="16">
        <f t="shared" si="9"/>
        <v>0</v>
      </c>
      <c r="M269" s="22">
        <v>45139</v>
      </c>
      <c r="N269" s="44"/>
      <c r="O269" s="23" t="s">
        <v>16</v>
      </c>
      <c r="P269" s="24"/>
      <c r="Q269" s="23" t="s">
        <v>389</v>
      </c>
    </row>
    <row r="270" spans="1:17">
      <c r="A270" s="14">
        <v>266</v>
      </c>
      <c r="B270" s="29" t="s">
        <v>390</v>
      </c>
      <c r="C270" s="16">
        <f>'Медикаменты Март'!L268</f>
        <v>0</v>
      </c>
      <c r="D270" s="26"/>
      <c r="E270" s="14"/>
      <c r="F270" s="18"/>
      <c r="G270" s="19"/>
      <c r="H270" s="20"/>
      <c r="I270" s="21"/>
      <c r="J270" s="14"/>
      <c r="K270" s="14">
        <f t="shared" si="8"/>
        <v>0</v>
      </c>
      <c r="L270" s="16">
        <f t="shared" si="9"/>
        <v>0</v>
      </c>
      <c r="M270" s="22"/>
      <c r="N270" s="44"/>
      <c r="O270" s="23" t="s">
        <v>16</v>
      </c>
      <c r="P270" s="24"/>
      <c r="Q270" s="23" t="s">
        <v>391</v>
      </c>
    </row>
    <row r="271" spans="1:17">
      <c r="A271" s="14">
        <v>267</v>
      </c>
      <c r="B271" s="29" t="s">
        <v>392</v>
      </c>
      <c r="C271" s="16">
        <f>'Медикаменты Март'!L269</f>
        <v>0</v>
      </c>
      <c r="D271" s="17"/>
      <c r="E271" s="14"/>
      <c r="F271" s="18"/>
      <c r="G271" s="19"/>
      <c r="H271" s="20"/>
      <c r="I271" s="21"/>
      <c r="J271" s="14"/>
      <c r="K271" s="14">
        <f t="shared" si="8"/>
        <v>0</v>
      </c>
      <c r="L271" s="16">
        <f t="shared" si="9"/>
        <v>0</v>
      </c>
      <c r="M271" s="22"/>
      <c r="N271" s="44"/>
      <c r="O271" s="23" t="s">
        <v>16</v>
      </c>
      <c r="P271" s="24"/>
      <c r="Q271" s="25"/>
    </row>
    <row r="272" spans="1:17">
      <c r="A272" s="14">
        <v>268</v>
      </c>
      <c r="B272" s="29" t="s">
        <v>393</v>
      </c>
      <c r="C272" s="16">
        <f>'Медикаменты Март'!L270</f>
        <v>69</v>
      </c>
      <c r="D272" s="17"/>
      <c r="E272" s="14"/>
      <c r="F272" s="18"/>
      <c r="G272" s="19"/>
      <c r="H272" s="20"/>
      <c r="I272" s="21"/>
      <c r="J272" s="14"/>
      <c r="K272" s="14">
        <f t="shared" si="8"/>
        <v>0</v>
      </c>
      <c r="L272" s="16">
        <f t="shared" si="9"/>
        <v>69</v>
      </c>
      <c r="M272" s="22">
        <v>44652</v>
      </c>
      <c r="N272" s="44" t="s">
        <v>45</v>
      </c>
      <c r="O272" s="23" t="s">
        <v>16</v>
      </c>
      <c r="P272" s="24" t="s">
        <v>17</v>
      </c>
      <c r="Q272" s="23" t="s">
        <v>394</v>
      </c>
    </row>
    <row r="273" spans="1:17">
      <c r="A273" s="14">
        <v>269</v>
      </c>
      <c r="B273" s="29" t="s">
        <v>395</v>
      </c>
      <c r="C273" s="16">
        <f>'Медикаменты Март'!L271</f>
        <v>0</v>
      </c>
      <c r="D273" s="17"/>
      <c r="E273" s="14"/>
      <c r="F273" s="18"/>
      <c r="G273" s="19"/>
      <c r="H273" s="20"/>
      <c r="I273" s="21"/>
      <c r="J273" s="14"/>
      <c r="K273" s="14">
        <f t="shared" si="8"/>
        <v>0</v>
      </c>
      <c r="L273" s="16">
        <f t="shared" si="9"/>
        <v>0</v>
      </c>
      <c r="M273" s="22">
        <v>44378</v>
      </c>
      <c r="N273" s="44"/>
      <c r="O273" s="23" t="s">
        <v>16</v>
      </c>
      <c r="P273" s="24"/>
      <c r="Q273" s="23" t="s">
        <v>396</v>
      </c>
    </row>
    <row r="274" spans="1:17">
      <c r="A274" s="14">
        <v>270</v>
      </c>
      <c r="B274" s="29" t="s">
        <v>397</v>
      </c>
      <c r="C274" s="16">
        <f>'Медикаменты Март'!L272</f>
        <v>0</v>
      </c>
      <c r="D274" s="17"/>
      <c r="E274" s="14"/>
      <c r="F274" s="18"/>
      <c r="G274" s="19"/>
      <c r="H274" s="20"/>
      <c r="I274" s="21"/>
      <c r="J274" s="14"/>
      <c r="K274" s="14">
        <f t="shared" si="8"/>
        <v>0</v>
      </c>
      <c r="L274" s="16">
        <f t="shared" si="9"/>
        <v>0</v>
      </c>
      <c r="M274" s="22"/>
      <c r="N274" s="44"/>
      <c r="O274" s="23" t="s">
        <v>16</v>
      </c>
      <c r="P274" s="24"/>
      <c r="Q274" s="25"/>
    </row>
    <row r="275" spans="1:17">
      <c r="A275" s="14">
        <v>271</v>
      </c>
      <c r="B275" s="29" t="s">
        <v>398</v>
      </c>
      <c r="C275" s="16">
        <f>'Медикаменты Март'!L273</f>
        <v>0</v>
      </c>
      <c r="D275" s="17"/>
      <c r="E275" s="14"/>
      <c r="F275" s="18"/>
      <c r="G275" s="19"/>
      <c r="H275" s="20"/>
      <c r="I275" s="21"/>
      <c r="J275" s="14"/>
      <c r="K275" s="14">
        <f t="shared" si="8"/>
        <v>0</v>
      </c>
      <c r="L275" s="16">
        <f t="shared" si="9"/>
        <v>0</v>
      </c>
      <c r="M275" s="22">
        <v>44256</v>
      </c>
      <c r="N275" s="44"/>
      <c r="O275" s="23" t="s">
        <v>16</v>
      </c>
      <c r="P275" s="24"/>
      <c r="Q275" s="28" t="s">
        <v>399</v>
      </c>
    </row>
    <row r="276" spans="1:17">
      <c r="A276" s="14">
        <v>272</v>
      </c>
      <c r="B276" s="29" t="s">
        <v>400</v>
      </c>
      <c r="C276" s="16">
        <f>'Медикаменты Март'!L274</f>
        <v>0</v>
      </c>
      <c r="D276" s="17"/>
      <c r="E276" s="14"/>
      <c r="F276" s="18"/>
      <c r="G276" s="19"/>
      <c r="H276" s="20"/>
      <c r="I276" s="21"/>
      <c r="J276" s="14"/>
      <c r="K276" s="14">
        <f t="shared" si="8"/>
        <v>0</v>
      </c>
      <c r="L276" s="16">
        <f t="shared" si="9"/>
        <v>0</v>
      </c>
      <c r="M276" s="22">
        <v>44531</v>
      </c>
      <c r="N276" s="44"/>
      <c r="O276" s="23" t="s">
        <v>16</v>
      </c>
      <c r="P276" s="24" t="s">
        <v>45</v>
      </c>
      <c r="Q276" s="28" t="s">
        <v>401</v>
      </c>
    </row>
    <row r="277" spans="1:17">
      <c r="A277" s="14">
        <v>273</v>
      </c>
      <c r="B277" s="29" t="s">
        <v>402</v>
      </c>
      <c r="C277" s="16">
        <f>'Медикаменты Март'!L275</f>
        <v>0</v>
      </c>
      <c r="D277" s="17"/>
      <c r="E277" s="14"/>
      <c r="F277" s="18"/>
      <c r="G277" s="19"/>
      <c r="H277" s="20"/>
      <c r="I277" s="21"/>
      <c r="J277" s="14"/>
      <c r="K277" s="14">
        <f t="shared" si="8"/>
        <v>0</v>
      </c>
      <c r="L277" s="16">
        <f t="shared" si="9"/>
        <v>0</v>
      </c>
      <c r="M277" s="22">
        <v>45108</v>
      </c>
      <c r="N277" s="44"/>
      <c r="O277" s="23" t="s">
        <v>26</v>
      </c>
      <c r="P277" s="24" t="s">
        <v>45</v>
      </c>
      <c r="Q277" s="23" t="s">
        <v>403</v>
      </c>
    </row>
    <row r="278" spans="1:17">
      <c r="A278" s="14">
        <v>274</v>
      </c>
      <c r="B278" s="29" t="s">
        <v>404</v>
      </c>
      <c r="C278" s="16">
        <f>'Медикаменты Март'!L276</f>
        <v>0</v>
      </c>
      <c r="D278" s="17"/>
      <c r="E278" s="14"/>
      <c r="F278" s="18"/>
      <c r="G278" s="19"/>
      <c r="H278" s="20"/>
      <c r="I278" s="21"/>
      <c r="J278" s="14"/>
      <c r="K278" s="14">
        <f t="shared" si="8"/>
        <v>0</v>
      </c>
      <c r="L278" s="16">
        <f t="shared" si="9"/>
        <v>0</v>
      </c>
      <c r="M278" s="22"/>
      <c r="N278" s="44"/>
      <c r="O278" s="23" t="s">
        <v>16</v>
      </c>
      <c r="P278" s="24"/>
      <c r="Q278" s="25"/>
    </row>
    <row r="279" spans="1:17">
      <c r="A279" s="14">
        <v>275</v>
      </c>
      <c r="B279" s="29" t="s">
        <v>549</v>
      </c>
      <c r="C279" s="16">
        <f>'Медикаменты Март'!L277</f>
        <v>0</v>
      </c>
      <c r="D279" s="17"/>
      <c r="E279" s="14"/>
      <c r="F279" s="18"/>
      <c r="G279" s="19"/>
      <c r="H279" s="20"/>
      <c r="I279" s="21"/>
      <c r="J279" s="14"/>
      <c r="K279" s="14">
        <f t="shared" si="8"/>
        <v>0</v>
      </c>
      <c r="L279" s="16">
        <f t="shared" si="9"/>
        <v>0</v>
      </c>
      <c r="M279" s="22">
        <v>44287</v>
      </c>
      <c r="N279" s="44"/>
      <c r="O279" s="23" t="s">
        <v>16</v>
      </c>
      <c r="P279" s="24" t="s">
        <v>45</v>
      </c>
      <c r="Q279" s="23" t="s">
        <v>406</v>
      </c>
    </row>
    <row r="280" spans="1:17">
      <c r="A280" s="14">
        <v>276</v>
      </c>
      <c r="B280" s="29" t="s">
        <v>407</v>
      </c>
      <c r="C280" s="16">
        <f>'Медикаменты Март'!L278</f>
        <v>0</v>
      </c>
      <c r="D280" s="17"/>
      <c r="E280" s="14"/>
      <c r="F280" s="18"/>
      <c r="G280" s="19"/>
      <c r="H280" s="20"/>
      <c r="I280" s="21"/>
      <c r="J280" s="14"/>
      <c r="K280" s="14">
        <f t="shared" si="8"/>
        <v>0</v>
      </c>
      <c r="L280" s="16">
        <f t="shared" si="9"/>
        <v>0</v>
      </c>
      <c r="M280" s="22">
        <v>44562</v>
      </c>
      <c r="N280" s="44"/>
      <c r="O280" s="23" t="s">
        <v>16</v>
      </c>
      <c r="P280" s="24" t="s">
        <v>17</v>
      </c>
      <c r="Q280" s="28" t="s">
        <v>408</v>
      </c>
    </row>
    <row r="281" spans="1:17">
      <c r="A281" s="14">
        <v>277</v>
      </c>
      <c r="B281" s="29" t="s">
        <v>409</v>
      </c>
      <c r="C281" s="16">
        <f>'Медикаменты Март'!L279</f>
        <v>295</v>
      </c>
      <c r="D281" s="17"/>
      <c r="E281" s="14"/>
      <c r="F281" s="18">
        <f>5</f>
        <v>5</v>
      </c>
      <c r="G281" s="19"/>
      <c r="H281" s="20"/>
      <c r="I281" s="21"/>
      <c r="J281" s="14"/>
      <c r="K281" s="14">
        <f t="shared" si="8"/>
        <v>5</v>
      </c>
      <c r="L281" s="16">
        <f t="shared" si="9"/>
        <v>290</v>
      </c>
      <c r="M281" s="22">
        <v>45139</v>
      </c>
      <c r="N281" s="44" t="s">
        <v>45</v>
      </c>
      <c r="O281" s="23" t="s">
        <v>16</v>
      </c>
      <c r="P281" s="24" t="s">
        <v>17</v>
      </c>
      <c r="Q281" s="28" t="s">
        <v>410</v>
      </c>
    </row>
    <row r="282" spans="1:17">
      <c r="A282" s="14">
        <v>278</v>
      </c>
      <c r="B282" s="29" t="s">
        <v>411</v>
      </c>
      <c r="C282" s="16">
        <f>'Медикаменты Март'!L280</f>
        <v>17</v>
      </c>
      <c r="D282" s="17"/>
      <c r="E282" s="14"/>
      <c r="F282" s="18"/>
      <c r="G282" s="19"/>
      <c r="H282" s="20"/>
      <c r="I282" s="21"/>
      <c r="J282" s="14"/>
      <c r="K282" s="14">
        <f t="shared" si="8"/>
        <v>0</v>
      </c>
      <c r="L282" s="16">
        <f t="shared" si="9"/>
        <v>17</v>
      </c>
      <c r="M282" s="22">
        <v>45413</v>
      </c>
      <c r="N282" s="44" t="s">
        <v>45</v>
      </c>
      <c r="O282" s="23" t="s">
        <v>16</v>
      </c>
      <c r="P282" s="24" t="s">
        <v>45</v>
      </c>
      <c r="Q282" s="23" t="s">
        <v>412</v>
      </c>
    </row>
    <row r="283" spans="1:17">
      <c r="A283" s="14">
        <v>279</v>
      </c>
      <c r="B283" s="29" t="s">
        <v>413</v>
      </c>
      <c r="C283" s="16">
        <f>'Медикаменты Март'!L281</f>
        <v>0</v>
      </c>
      <c r="D283" s="17"/>
      <c r="E283" s="14"/>
      <c r="F283" s="18"/>
      <c r="G283" s="19"/>
      <c r="H283" s="20"/>
      <c r="I283" s="21"/>
      <c r="J283" s="14"/>
      <c r="K283" s="14">
        <f t="shared" si="8"/>
        <v>0</v>
      </c>
      <c r="L283" s="16">
        <f t="shared" si="9"/>
        <v>0</v>
      </c>
      <c r="M283" s="22">
        <v>45474</v>
      </c>
      <c r="N283" s="44"/>
      <c r="O283" s="23" t="s">
        <v>16</v>
      </c>
      <c r="P283" s="24"/>
      <c r="Q283" s="23"/>
    </row>
    <row r="284" spans="1:17">
      <c r="A284" s="14">
        <v>280</v>
      </c>
      <c r="B284" s="29" t="s">
        <v>414</v>
      </c>
      <c r="C284" s="16">
        <f>'Медикаменты Март'!L282</f>
        <v>0</v>
      </c>
      <c r="D284" s="17"/>
      <c r="E284" s="14"/>
      <c r="F284" s="18"/>
      <c r="G284" s="19"/>
      <c r="H284" s="20"/>
      <c r="I284" s="21"/>
      <c r="J284" s="14"/>
      <c r="K284" s="14">
        <f t="shared" si="8"/>
        <v>0</v>
      </c>
      <c r="L284" s="16">
        <f t="shared" si="9"/>
        <v>0</v>
      </c>
      <c r="M284" s="22"/>
      <c r="N284" s="44"/>
      <c r="O284" s="23" t="s">
        <v>16</v>
      </c>
      <c r="P284" s="24"/>
      <c r="Q284" s="23"/>
    </row>
    <row r="285" spans="1:17">
      <c r="A285" s="14">
        <v>281</v>
      </c>
      <c r="B285" s="29" t="s">
        <v>415</v>
      </c>
      <c r="C285" s="16">
        <f>'Медикаменты Март'!L283</f>
        <v>0</v>
      </c>
      <c r="D285" s="17"/>
      <c r="E285" s="14"/>
      <c r="F285" s="18"/>
      <c r="G285" s="19"/>
      <c r="H285" s="20"/>
      <c r="I285" s="21"/>
      <c r="J285" s="14"/>
      <c r="K285" s="14">
        <f t="shared" si="8"/>
        <v>0</v>
      </c>
      <c r="L285" s="16">
        <f t="shared" si="9"/>
        <v>0</v>
      </c>
      <c r="M285" s="22">
        <v>44986</v>
      </c>
      <c r="N285" s="44"/>
      <c r="O285" s="23" t="s">
        <v>16</v>
      </c>
      <c r="P285" s="24" t="s">
        <v>17</v>
      </c>
      <c r="Q285" s="23" t="s">
        <v>416</v>
      </c>
    </row>
    <row r="286" spans="1:17">
      <c r="A286" s="14">
        <v>282</v>
      </c>
      <c r="B286" s="29" t="s">
        <v>415</v>
      </c>
      <c r="C286" s="16">
        <f>'Медикаменты Март'!L284</f>
        <v>0</v>
      </c>
      <c r="D286" s="17"/>
      <c r="E286" s="14"/>
      <c r="F286" s="18"/>
      <c r="G286" s="19"/>
      <c r="H286" s="20"/>
      <c r="I286" s="21"/>
      <c r="J286" s="14"/>
      <c r="K286" s="14">
        <f t="shared" si="8"/>
        <v>0</v>
      </c>
      <c r="L286" s="16">
        <f t="shared" si="9"/>
        <v>0</v>
      </c>
      <c r="M286" s="22">
        <v>44986</v>
      </c>
      <c r="N286" s="44"/>
      <c r="O286" s="23" t="s">
        <v>26</v>
      </c>
      <c r="P286" s="24"/>
      <c r="Q286" s="23" t="s">
        <v>416</v>
      </c>
    </row>
    <row r="287" spans="1:17">
      <c r="A287" s="14">
        <v>283</v>
      </c>
      <c r="B287" s="31" t="s">
        <v>417</v>
      </c>
      <c r="C287" s="16">
        <f>'Медикаменты Март'!L285</f>
        <v>0</v>
      </c>
      <c r="D287" s="17"/>
      <c r="E287" s="14"/>
      <c r="F287" s="18"/>
      <c r="G287" s="19"/>
      <c r="H287" s="20"/>
      <c r="I287" s="21"/>
      <c r="J287" s="14"/>
      <c r="K287" s="14">
        <f t="shared" si="8"/>
        <v>0</v>
      </c>
      <c r="L287" s="16">
        <f t="shared" si="9"/>
        <v>0</v>
      </c>
      <c r="M287" s="22">
        <v>44136</v>
      </c>
      <c r="N287" s="44"/>
      <c r="O287" s="23" t="s">
        <v>16</v>
      </c>
      <c r="P287" s="24"/>
      <c r="Q287" s="23" t="s">
        <v>418</v>
      </c>
    </row>
    <row r="288" spans="1:17">
      <c r="A288" s="14">
        <v>284</v>
      </c>
      <c r="B288" s="29" t="s">
        <v>419</v>
      </c>
      <c r="C288" s="16">
        <f>'Медикаменты Март'!L286</f>
        <v>0</v>
      </c>
      <c r="D288" s="17"/>
      <c r="E288" s="14"/>
      <c r="F288" s="18"/>
      <c r="G288" s="19"/>
      <c r="H288" s="20"/>
      <c r="I288" s="21"/>
      <c r="J288" s="14"/>
      <c r="K288" s="14">
        <f t="shared" si="8"/>
        <v>0</v>
      </c>
      <c r="L288" s="16">
        <f t="shared" si="9"/>
        <v>0</v>
      </c>
      <c r="M288" s="22"/>
      <c r="N288" s="44"/>
      <c r="O288" s="23" t="s">
        <v>16</v>
      </c>
      <c r="P288" s="24"/>
      <c r="Q288" s="25"/>
    </row>
    <row r="289" spans="1:17">
      <c r="A289" s="14">
        <v>285</v>
      </c>
      <c r="B289" s="29" t="s">
        <v>420</v>
      </c>
      <c r="C289" s="16">
        <f>'Медикаменты Март'!L287</f>
        <v>16</v>
      </c>
      <c r="D289" s="17"/>
      <c r="E289" s="14"/>
      <c r="F289" s="18"/>
      <c r="G289" s="19"/>
      <c r="H289" s="20"/>
      <c r="I289" s="21"/>
      <c r="J289" s="14"/>
      <c r="K289" s="14">
        <f t="shared" si="8"/>
        <v>0</v>
      </c>
      <c r="L289" s="16">
        <f t="shared" si="9"/>
        <v>16</v>
      </c>
      <c r="M289" s="22">
        <v>45047</v>
      </c>
      <c r="N289" s="44" t="s">
        <v>45</v>
      </c>
      <c r="O289" s="23" t="s">
        <v>16</v>
      </c>
      <c r="P289" s="24" t="s">
        <v>17</v>
      </c>
      <c r="Q289" s="23" t="s">
        <v>421</v>
      </c>
    </row>
    <row r="290" spans="1:17">
      <c r="A290" s="14">
        <v>286</v>
      </c>
      <c r="B290" s="29" t="s">
        <v>420</v>
      </c>
      <c r="C290" s="16">
        <f>'Медикаменты Март'!L288</f>
        <v>0</v>
      </c>
      <c r="D290" s="17"/>
      <c r="E290" s="14"/>
      <c r="F290" s="18"/>
      <c r="G290" s="19"/>
      <c r="H290" s="20"/>
      <c r="I290" s="21"/>
      <c r="J290" s="14"/>
      <c r="K290" s="14">
        <f t="shared" si="8"/>
        <v>0</v>
      </c>
      <c r="L290" s="16">
        <f t="shared" si="9"/>
        <v>0</v>
      </c>
      <c r="M290" s="22">
        <v>45047</v>
      </c>
      <c r="N290" s="44"/>
      <c r="O290" s="23" t="s">
        <v>26</v>
      </c>
      <c r="P290" s="24"/>
      <c r="Q290" s="23" t="s">
        <v>421</v>
      </c>
    </row>
    <row r="291" spans="1:17">
      <c r="A291" s="14">
        <v>287</v>
      </c>
      <c r="B291" s="29" t="s">
        <v>422</v>
      </c>
      <c r="C291" s="16">
        <f>'Медикаменты Март'!L289</f>
        <v>0</v>
      </c>
      <c r="D291" s="17"/>
      <c r="E291" s="14"/>
      <c r="F291" s="18"/>
      <c r="G291" s="19"/>
      <c r="H291" s="20"/>
      <c r="I291" s="21"/>
      <c r="J291" s="14"/>
      <c r="K291" s="14">
        <f t="shared" si="8"/>
        <v>0</v>
      </c>
      <c r="L291" s="16">
        <f t="shared" si="9"/>
        <v>0</v>
      </c>
      <c r="M291" s="22"/>
      <c r="N291" s="44"/>
      <c r="O291" s="23" t="s">
        <v>26</v>
      </c>
      <c r="P291" s="24"/>
      <c r="Q291" s="25"/>
    </row>
    <row r="292" spans="1:17">
      <c r="A292" s="14">
        <v>288</v>
      </c>
      <c r="B292" s="29" t="s">
        <v>422</v>
      </c>
      <c r="C292" s="16">
        <f>'Медикаменты Март'!L290</f>
        <v>77</v>
      </c>
      <c r="D292" s="17"/>
      <c r="E292" s="14"/>
      <c r="F292" s="18">
        <f>2+10+2+5+10</f>
        <v>29</v>
      </c>
      <c r="G292" s="19"/>
      <c r="H292" s="20"/>
      <c r="I292" s="21"/>
      <c r="J292" s="14"/>
      <c r="K292" s="14">
        <f t="shared" si="8"/>
        <v>29</v>
      </c>
      <c r="L292" s="16">
        <f t="shared" si="9"/>
        <v>48</v>
      </c>
      <c r="M292" s="22">
        <v>44531</v>
      </c>
      <c r="N292" s="44" t="s">
        <v>45</v>
      </c>
      <c r="O292" s="23" t="s">
        <v>16</v>
      </c>
      <c r="P292" s="24" t="s">
        <v>17</v>
      </c>
      <c r="Q292" s="28" t="s">
        <v>423</v>
      </c>
    </row>
    <row r="293" spans="1:17">
      <c r="A293" s="14">
        <v>289</v>
      </c>
      <c r="B293" s="29" t="s">
        <v>424</v>
      </c>
      <c r="C293" s="16">
        <f>'Медикаменты Март'!L291</f>
        <v>20</v>
      </c>
      <c r="D293" s="17"/>
      <c r="E293" s="14"/>
      <c r="F293" s="18">
        <f>3+5</f>
        <v>8</v>
      </c>
      <c r="G293" s="19"/>
      <c r="H293" s="20"/>
      <c r="I293" s="21"/>
      <c r="J293" s="14"/>
      <c r="K293" s="14">
        <f t="shared" si="8"/>
        <v>8</v>
      </c>
      <c r="L293" s="16">
        <f t="shared" si="9"/>
        <v>12</v>
      </c>
      <c r="M293" s="22">
        <v>44986</v>
      </c>
      <c r="N293" s="44" t="s">
        <v>551</v>
      </c>
      <c r="O293" s="23" t="s">
        <v>16</v>
      </c>
      <c r="P293" s="24" t="s">
        <v>17</v>
      </c>
      <c r="Q293" s="28" t="s">
        <v>425</v>
      </c>
    </row>
    <row r="294" spans="1:17">
      <c r="A294" s="14">
        <v>290</v>
      </c>
      <c r="B294" s="29" t="s">
        <v>426</v>
      </c>
      <c r="C294" s="16">
        <f>'Медикаменты Март'!L292</f>
        <v>0</v>
      </c>
      <c r="D294" s="17"/>
      <c r="E294" s="14"/>
      <c r="F294" s="18"/>
      <c r="G294" s="19"/>
      <c r="H294" s="20"/>
      <c r="I294" s="21"/>
      <c r="J294" s="14"/>
      <c r="K294" s="14">
        <f t="shared" si="8"/>
        <v>0</v>
      </c>
      <c r="L294" s="16">
        <f t="shared" si="9"/>
        <v>0</v>
      </c>
      <c r="M294" s="22"/>
      <c r="N294" s="44"/>
      <c r="O294" s="23" t="s">
        <v>16</v>
      </c>
      <c r="P294" s="24"/>
      <c r="Q294" s="25"/>
    </row>
    <row r="295" spans="1:17">
      <c r="A295" s="14">
        <v>291</v>
      </c>
      <c r="B295" s="29" t="s">
        <v>427</v>
      </c>
      <c r="C295" s="16">
        <f>'Медикаменты Март'!L293</f>
        <v>0</v>
      </c>
      <c r="D295" s="17"/>
      <c r="E295" s="14"/>
      <c r="F295" s="18"/>
      <c r="G295" s="19"/>
      <c r="H295" s="20"/>
      <c r="I295" s="21"/>
      <c r="J295" s="14"/>
      <c r="K295" s="14">
        <f t="shared" si="8"/>
        <v>0</v>
      </c>
      <c r="L295" s="16">
        <f t="shared" si="9"/>
        <v>0</v>
      </c>
      <c r="M295" s="22"/>
      <c r="N295" s="44"/>
      <c r="O295" s="23" t="s">
        <v>16</v>
      </c>
      <c r="P295" s="24"/>
      <c r="Q295" s="25"/>
    </row>
    <row r="296" spans="1:17">
      <c r="A296" s="14">
        <v>292</v>
      </c>
      <c r="B296" s="29" t="s">
        <v>428</v>
      </c>
      <c r="C296" s="16">
        <f>'Медикаменты Март'!L294</f>
        <v>42</v>
      </c>
      <c r="D296" s="17"/>
      <c r="E296" s="14"/>
      <c r="F296" s="18"/>
      <c r="G296" s="19"/>
      <c r="H296" s="20"/>
      <c r="I296" s="21"/>
      <c r="J296" s="14"/>
      <c r="K296" s="14">
        <f t="shared" si="8"/>
        <v>0</v>
      </c>
      <c r="L296" s="16">
        <f t="shared" si="9"/>
        <v>42</v>
      </c>
      <c r="M296" s="22">
        <v>44501</v>
      </c>
      <c r="N296" s="44" t="s">
        <v>45</v>
      </c>
      <c r="O296" s="23" t="s">
        <v>16</v>
      </c>
      <c r="P296" s="24" t="s">
        <v>17</v>
      </c>
      <c r="Q296" s="28" t="s">
        <v>429</v>
      </c>
    </row>
    <row r="297" spans="1:17">
      <c r="A297" s="14">
        <v>293</v>
      </c>
      <c r="B297" s="29" t="s">
        <v>430</v>
      </c>
      <c r="C297" s="16">
        <f>'Медикаменты Март'!L295</f>
        <v>18</v>
      </c>
      <c r="D297" s="26"/>
      <c r="E297" s="14"/>
      <c r="F297" s="18"/>
      <c r="G297" s="19"/>
      <c r="H297" s="20"/>
      <c r="I297" s="21"/>
      <c r="J297" s="14"/>
      <c r="K297" s="14">
        <f t="shared" si="8"/>
        <v>0</v>
      </c>
      <c r="L297" s="16">
        <f t="shared" si="9"/>
        <v>18</v>
      </c>
      <c r="M297" s="22">
        <v>44835</v>
      </c>
      <c r="N297" s="44" t="s">
        <v>45</v>
      </c>
      <c r="O297" s="23" t="s">
        <v>16</v>
      </c>
      <c r="P297" s="24" t="s">
        <v>17</v>
      </c>
      <c r="Q297" s="28" t="s">
        <v>431</v>
      </c>
    </row>
    <row r="298" spans="1:17">
      <c r="A298" s="14">
        <v>294</v>
      </c>
      <c r="B298" s="29" t="s">
        <v>430</v>
      </c>
      <c r="C298" s="16">
        <f>'Медикаменты Март'!L296</f>
        <v>0</v>
      </c>
      <c r="D298" s="26"/>
      <c r="E298" s="14"/>
      <c r="F298" s="18"/>
      <c r="G298" s="19"/>
      <c r="H298" s="20"/>
      <c r="I298" s="21"/>
      <c r="J298" s="14"/>
      <c r="K298" s="14">
        <f t="shared" si="8"/>
        <v>0</v>
      </c>
      <c r="L298" s="16">
        <f t="shared" si="9"/>
        <v>0</v>
      </c>
      <c r="M298" s="22">
        <v>44835</v>
      </c>
      <c r="N298" s="44"/>
      <c r="O298" s="23" t="s">
        <v>26</v>
      </c>
      <c r="P298" s="24" t="s">
        <v>17</v>
      </c>
      <c r="Q298" s="28" t="s">
        <v>431</v>
      </c>
    </row>
    <row r="299" spans="1:17">
      <c r="A299" s="14">
        <v>295</v>
      </c>
      <c r="B299" s="29" t="s">
        <v>432</v>
      </c>
      <c r="C299" s="16">
        <f>'Медикаменты Март'!L297</f>
        <v>0</v>
      </c>
      <c r="D299" s="17"/>
      <c r="E299" s="14"/>
      <c r="F299" s="18"/>
      <c r="G299" s="19"/>
      <c r="H299" s="20"/>
      <c r="I299" s="21"/>
      <c r="J299" s="14"/>
      <c r="K299" s="14">
        <f t="shared" si="8"/>
        <v>0</v>
      </c>
      <c r="L299" s="16">
        <f t="shared" si="9"/>
        <v>0</v>
      </c>
      <c r="M299" s="22"/>
      <c r="N299" s="44"/>
      <c r="O299" s="23" t="s">
        <v>16</v>
      </c>
      <c r="P299" s="24"/>
      <c r="Q299" s="25"/>
    </row>
    <row r="300" spans="1:17">
      <c r="A300" s="14">
        <v>296</v>
      </c>
      <c r="B300" s="29" t="s">
        <v>433</v>
      </c>
      <c r="C300" s="16">
        <f>'Медикаменты Март'!L298</f>
        <v>0</v>
      </c>
      <c r="D300" s="17"/>
      <c r="E300" s="14"/>
      <c r="F300" s="18"/>
      <c r="G300" s="19"/>
      <c r="H300" s="20"/>
      <c r="I300" s="21"/>
      <c r="J300" s="14"/>
      <c r="K300" s="14">
        <f t="shared" si="8"/>
        <v>0</v>
      </c>
      <c r="L300" s="16">
        <f t="shared" si="9"/>
        <v>0</v>
      </c>
      <c r="M300" s="22"/>
      <c r="N300" s="44"/>
      <c r="O300" s="23" t="s">
        <v>16</v>
      </c>
      <c r="P300" s="24"/>
      <c r="Q300" s="25"/>
    </row>
    <row r="301" spans="1:17">
      <c r="A301" s="14">
        <v>297</v>
      </c>
      <c r="B301" s="29" t="s">
        <v>434</v>
      </c>
      <c r="C301" s="16">
        <f>'Медикаменты Март'!L299</f>
        <v>0</v>
      </c>
      <c r="D301" s="17"/>
      <c r="E301" s="14"/>
      <c r="F301" s="18"/>
      <c r="G301" s="19"/>
      <c r="H301" s="20"/>
      <c r="I301" s="21"/>
      <c r="J301" s="14"/>
      <c r="K301" s="14">
        <f t="shared" si="8"/>
        <v>0</v>
      </c>
      <c r="L301" s="16">
        <f t="shared" si="9"/>
        <v>0</v>
      </c>
      <c r="M301" s="22"/>
      <c r="N301" s="44"/>
      <c r="O301" s="23" t="s">
        <v>16</v>
      </c>
      <c r="P301" s="24"/>
      <c r="Q301" s="25"/>
    </row>
    <row r="302" spans="1:17">
      <c r="A302" s="14">
        <v>298</v>
      </c>
      <c r="B302" s="29" t="s">
        <v>435</v>
      </c>
      <c r="C302" s="16">
        <f>'Медикаменты Март'!L300</f>
        <v>0</v>
      </c>
      <c r="D302" s="17"/>
      <c r="E302" s="14"/>
      <c r="F302" s="18"/>
      <c r="G302" s="19"/>
      <c r="H302" s="20"/>
      <c r="I302" s="21"/>
      <c r="J302" s="14"/>
      <c r="K302" s="14">
        <f t="shared" si="8"/>
        <v>0</v>
      </c>
      <c r="L302" s="16">
        <f t="shared" si="9"/>
        <v>0</v>
      </c>
      <c r="M302" s="22"/>
      <c r="N302" s="44"/>
      <c r="O302" s="23" t="s">
        <v>16</v>
      </c>
      <c r="P302" s="24"/>
      <c r="Q302" s="25"/>
    </row>
    <row r="303" spans="1:17">
      <c r="A303" s="14">
        <v>299</v>
      </c>
      <c r="B303" s="29" t="s">
        <v>436</v>
      </c>
      <c r="C303" s="16">
        <f>'Медикаменты Март'!L301</f>
        <v>0</v>
      </c>
      <c r="D303" s="17"/>
      <c r="E303" s="14"/>
      <c r="F303" s="18"/>
      <c r="G303" s="19"/>
      <c r="H303" s="20"/>
      <c r="I303" s="21"/>
      <c r="J303" s="14"/>
      <c r="K303" s="14">
        <f t="shared" si="8"/>
        <v>0</v>
      </c>
      <c r="L303" s="16">
        <f t="shared" si="9"/>
        <v>0</v>
      </c>
      <c r="M303" s="22"/>
      <c r="N303" s="44"/>
      <c r="O303" s="23" t="s">
        <v>16</v>
      </c>
      <c r="P303" s="24"/>
      <c r="Q303" s="25"/>
    </row>
    <row r="304" spans="1:17">
      <c r="A304" s="14">
        <v>300</v>
      </c>
      <c r="B304" s="29" t="s">
        <v>437</v>
      </c>
      <c r="C304" s="16">
        <f>'Медикаменты Март'!L302</f>
        <v>0</v>
      </c>
      <c r="D304" s="17"/>
      <c r="E304" s="14"/>
      <c r="F304" s="18"/>
      <c r="G304" s="19"/>
      <c r="H304" s="20"/>
      <c r="I304" s="21"/>
      <c r="J304" s="14"/>
      <c r="K304" s="14">
        <f t="shared" si="8"/>
        <v>0</v>
      </c>
      <c r="L304" s="16">
        <f t="shared" si="9"/>
        <v>0</v>
      </c>
      <c r="M304" s="22">
        <v>44440</v>
      </c>
      <c r="N304" s="44"/>
      <c r="O304" s="23" t="s">
        <v>16</v>
      </c>
      <c r="P304" s="24"/>
      <c r="Q304" s="23" t="s">
        <v>438</v>
      </c>
    </row>
    <row r="305" spans="1:17" ht="25.5">
      <c r="A305" s="14">
        <v>301</v>
      </c>
      <c r="B305" s="29" t="s">
        <v>439</v>
      </c>
      <c r="C305" s="16">
        <f>'Медикаменты Март'!L303</f>
        <v>30</v>
      </c>
      <c r="D305" s="17"/>
      <c r="E305" s="14"/>
      <c r="F305" s="18">
        <f>10+20</f>
        <v>30</v>
      </c>
      <c r="G305" s="19"/>
      <c r="H305" s="20"/>
      <c r="I305" s="21"/>
      <c r="J305" s="14"/>
      <c r="K305" s="14">
        <f t="shared" si="8"/>
        <v>30</v>
      </c>
      <c r="L305" s="16">
        <f t="shared" si="9"/>
        <v>0</v>
      </c>
      <c r="M305" s="22">
        <v>45047</v>
      </c>
      <c r="N305" s="44" t="s">
        <v>45</v>
      </c>
      <c r="O305" s="23" t="s">
        <v>16</v>
      </c>
      <c r="P305" s="24" t="s">
        <v>45</v>
      </c>
      <c r="Q305" s="23" t="s">
        <v>438</v>
      </c>
    </row>
    <row r="306" spans="1:17">
      <c r="A306" s="14">
        <v>302</v>
      </c>
      <c r="B306" s="29" t="s">
        <v>437</v>
      </c>
      <c r="C306" s="16">
        <f>'Медикаменты Март'!L304</f>
        <v>0</v>
      </c>
      <c r="D306" s="17"/>
      <c r="E306" s="14"/>
      <c r="F306" s="18"/>
      <c r="G306" s="19"/>
      <c r="H306" s="20"/>
      <c r="I306" s="21"/>
      <c r="J306" s="14"/>
      <c r="K306" s="14">
        <f t="shared" si="8"/>
        <v>0</v>
      </c>
      <c r="L306" s="16">
        <f t="shared" si="9"/>
        <v>0</v>
      </c>
      <c r="M306" s="22">
        <v>45047</v>
      </c>
      <c r="N306" s="44"/>
      <c r="O306" s="23" t="s">
        <v>26</v>
      </c>
      <c r="P306" s="24"/>
      <c r="Q306" s="23" t="s">
        <v>438</v>
      </c>
    </row>
    <row r="307" spans="1:17">
      <c r="A307" s="14">
        <v>303</v>
      </c>
      <c r="B307" s="29" t="s">
        <v>440</v>
      </c>
      <c r="C307" s="16">
        <f>'Медикаменты Март'!L305</f>
        <v>0</v>
      </c>
      <c r="D307" s="17"/>
      <c r="E307" s="14"/>
      <c r="F307" s="18"/>
      <c r="G307" s="19"/>
      <c r="H307" s="20"/>
      <c r="I307" s="21"/>
      <c r="J307" s="14"/>
      <c r="K307" s="14">
        <f t="shared" si="8"/>
        <v>0</v>
      </c>
      <c r="L307" s="16">
        <f t="shared" si="9"/>
        <v>0</v>
      </c>
      <c r="M307" s="22"/>
      <c r="N307" s="44"/>
      <c r="O307" s="23" t="s">
        <v>16</v>
      </c>
      <c r="P307" s="24"/>
      <c r="Q307" s="25"/>
    </row>
    <row r="308" spans="1:17">
      <c r="A308" s="14">
        <v>304</v>
      </c>
      <c r="B308" s="29" t="s">
        <v>441</v>
      </c>
      <c r="C308" s="16">
        <f>'Медикаменты Март'!L306</f>
        <v>0</v>
      </c>
      <c r="D308" s="17"/>
      <c r="E308" s="14"/>
      <c r="F308" s="18"/>
      <c r="G308" s="19"/>
      <c r="H308" s="20"/>
      <c r="I308" s="21"/>
      <c r="J308" s="14"/>
      <c r="K308" s="14">
        <f t="shared" si="8"/>
        <v>0</v>
      </c>
      <c r="L308" s="16">
        <f t="shared" si="9"/>
        <v>0</v>
      </c>
      <c r="M308" s="22"/>
      <c r="N308" s="44"/>
      <c r="O308" s="23" t="s">
        <v>16</v>
      </c>
      <c r="P308" s="24"/>
      <c r="Q308" s="25"/>
    </row>
    <row r="309" spans="1:17">
      <c r="A309" s="14">
        <v>305</v>
      </c>
      <c r="B309" s="29" t="s">
        <v>442</v>
      </c>
      <c r="C309" s="16">
        <f>'Медикаменты Март'!L307</f>
        <v>0</v>
      </c>
      <c r="D309" s="17"/>
      <c r="E309" s="14"/>
      <c r="F309" s="18"/>
      <c r="G309" s="19"/>
      <c r="H309" s="20"/>
      <c r="I309" s="21"/>
      <c r="J309" s="14"/>
      <c r="K309" s="14">
        <f t="shared" si="8"/>
        <v>0</v>
      </c>
      <c r="L309" s="16">
        <f t="shared" si="9"/>
        <v>0</v>
      </c>
      <c r="M309" s="22"/>
      <c r="N309" s="44"/>
      <c r="O309" s="23" t="s">
        <v>16</v>
      </c>
      <c r="P309" s="24"/>
      <c r="Q309" s="25"/>
    </row>
    <row r="310" spans="1:17">
      <c r="A310" s="14">
        <v>306</v>
      </c>
      <c r="B310" s="29" t="s">
        <v>443</v>
      </c>
      <c r="C310" s="16">
        <f>'Медикаменты Март'!L308</f>
        <v>0</v>
      </c>
      <c r="D310" s="17"/>
      <c r="E310" s="14"/>
      <c r="F310" s="18"/>
      <c r="G310" s="19"/>
      <c r="H310" s="20"/>
      <c r="I310" s="21"/>
      <c r="J310" s="14"/>
      <c r="K310" s="14">
        <f t="shared" si="8"/>
        <v>0</v>
      </c>
      <c r="L310" s="16">
        <f t="shared" si="9"/>
        <v>0</v>
      </c>
      <c r="M310" s="22"/>
      <c r="N310" s="44"/>
      <c r="O310" s="23" t="s">
        <v>16</v>
      </c>
      <c r="P310" s="24"/>
      <c r="Q310" s="25"/>
    </row>
    <row r="311" spans="1:17">
      <c r="A311" s="14">
        <v>307</v>
      </c>
      <c r="B311" s="29" t="s">
        <v>444</v>
      </c>
      <c r="C311" s="16">
        <f>'Медикаменты Март'!L309</f>
        <v>40</v>
      </c>
      <c r="D311" s="17"/>
      <c r="E311" s="14"/>
      <c r="F311" s="18">
        <f>10</f>
        <v>10</v>
      </c>
      <c r="G311" s="19"/>
      <c r="H311" s="20"/>
      <c r="I311" s="21"/>
      <c r="J311" s="14"/>
      <c r="K311" s="14">
        <f t="shared" si="8"/>
        <v>10</v>
      </c>
      <c r="L311" s="16">
        <f t="shared" si="9"/>
        <v>30</v>
      </c>
      <c r="M311" s="22">
        <v>44501</v>
      </c>
      <c r="N311" s="44" t="s">
        <v>45</v>
      </c>
      <c r="O311" s="23" t="s">
        <v>16</v>
      </c>
      <c r="P311" s="24" t="s">
        <v>17</v>
      </c>
      <c r="Q311" s="23" t="s">
        <v>445</v>
      </c>
    </row>
    <row r="312" spans="1:17">
      <c r="A312" s="14">
        <v>308</v>
      </c>
      <c r="B312" s="29" t="s">
        <v>446</v>
      </c>
      <c r="C312" s="16">
        <f>'Медикаменты Март'!L310</f>
        <v>0</v>
      </c>
      <c r="D312" s="17"/>
      <c r="E312" s="14"/>
      <c r="F312" s="18"/>
      <c r="G312" s="19"/>
      <c r="H312" s="20"/>
      <c r="I312" s="21"/>
      <c r="J312" s="14"/>
      <c r="K312" s="14">
        <f t="shared" si="8"/>
        <v>0</v>
      </c>
      <c r="L312" s="16">
        <f t="shared" si="9"/>
        <v>0</v>
      </c>
      <c r="M312" s="22"/>
      <c r="N312" s="44"/>
      <c r="O312" s="23" t="s">
        <v>16</v>
      </c>
      <c r="P312" s="24"/>
      <c r="Q312" s="25"/>
    </row>
    <row r="313" spans="1:17">
      <c r="A313" s="14">
        <v>309</v>
      </c>
      <c r="B313" s="29" t="s">
        <v>447</v>
      </c>
      <c r="C313" s="16">
        <f>'Медикаменты Март'!L311</f>
        <v>0</v>
      </c>
      <c r="D313" s="17"/>
      <c r="E313" s="14"/>
      <c r="F313" s="18"/>
      <c r="G313" s="19"/>
      <c r="H313" s="20"/>
      <c r="I313" s="21"/>
      <c r="J313" s="14"/>
      <c r="K313" s="14">
        <f t="shared" si="8"/>
        <v>0</v>
      </c>
      <c r="L313" s="16">
        <f t="shared" si="9"/>
        <v>0</v>
      </c>
      <c r="M313" s="22">
        <v>44593</v>
      </c>
      <c r="N313" s="44"/>
      <c r="O313" s="23" t="s">
        <v>16</v>
      </c>
      <c r="P313" s="24"/>
      <c r="Q313" s="23" t="s">
        <v>448</v>
      </c>
    </row>
    <row r="314" spans="1:17">
      <c r="A314" s="14">
        <v>310</v>
      </c>
      <c r="B314" s="29" t="s">
        <v>449</v>
      </c>
      <c r="C314" s="16">
        <f>'Медикаменты Март'!L312</f>
        <v>0</v>
      </c>
      <c r="D314" s="17"/>
      <c r="E314" s="14"/>
      <c r="F314" s="18"/>
      <c r="G314" s="19"/>
      <c r="H314" s="20"/>
      <c r="I314" s="21"/>
      <c r="J314" s="14"/>
      <c r="K314" s="14">
        <f t="shared" si="8"/>
        <v>0</v>
      </c>
      <c r="L314" s="16">
        <f t="shared" si="9"/>
        <v>0</v>
      </c>
      <c r="M314" s="22">
        <v>44228</v>
      </c>
      <c r="N314" s="44"/>
      <c r="O314" s="23" t="s">
        <v>16</v>
      </c>
      <c r="P314" s="24" t="s">
        <v>17</v>
      </c>
      <c r="Q314" s="23" t="s">
        <v>450</v>
      </c>
    </row>
    <row r="315" spans="1:17">
      <c r="A315" s="14">
        <v>311</v>
      </c>
      <c r="B315" s="29" t="s">
        <v>451</v>
      </c>
      <c r="C315" s="16">
        <f>'Медикаменты Март'!L313</f>
        <v>0</v>
      </c>
      <c r="D315" s="17"/>
      <c r="E315" s="14"/>
      <c r="F315" s="18"/>
      <c r="G315" s="19"/>
      <c r="H315" s="20"/>
      <c r="I315" s="21"/>
      <c r="J315" s="14"/>
      <c r="K315" s="14">
        <f t="shared" si="8"/>
        <v>0</v>
      </c>
      <c r="L315" s="16">
        <f t="shared" si="9"/>
        <v>0</v>
      </c>
      <c r="M315" s="22">
        <v>44317</v>
      </c>
      <c r="N315" s="44"/>
      <c r="O315" s="23" t="s">
        <v>16</v>
      </c>
      <c r="P315" s="24" t="s">
        <v>17</v>
      </c>
      <c r="Q315" s="23" t="s">
        <v>452</v>
      </c>
    </row>
    <row r="316" spans="1:17" ht="25.5">
      <c r="A316" s="14">
        <v>312</v>
      </c>
      <c r="B316" s="29" t="s">
        <v>453</v>
      </c>
      <c r="C316" s="16">
        <f>'Медикаменты Март'!L314</f>
        <v>19</v>
      </c>
      <c r="D316" s="17"/>
      <c r="E316" s="14"/>
      <c r="F316" s="18"/>
      <c r="G316" s="19"/>
      <c r="H316" s="20"/>
      <c r="I316" s="21"/>
      <c r="J316" s="14"/>
      <c r="K316" s="14">
        <f t="shared" si="8"/>
        <v>0</v>
      </c>
      <c r="L316" s="16">
        <f t="shared" si="9"/>
        <v>19</v>
      </c>
      <c r="M316" s="22">
        <v>44470</v>
      </c>
      <c r="N316" s="44" t="s">
        <v>45</v>
      </c>
      <c r="O316" s="23" t="s">
        <v>16</v>
      </c>
      <c r="P316" s="24" t="s">
        <v>17</v>
      </c>
      <c r="Q316" s="28" t="s">
        <v>454</v>
      </c>
    </row>
    <row r="317" spans="1:17">
      <c r="A317" s="14">
        <v>313</v>
      </c>
      <c r="B317" s="29" t="s">
        <v>455</v>
      </c>
      <c r="C317" s="16">
        <f>'Медикаменты Март'!L315</f>
        <v>0</v>
      </c>
      <c r="D317" s="17"/>
      <c r="E317" s="14"/>
      <c r="F317" s="18"/>
      <c r="G317" s="19"/>
      <c r="H317" s="20"/>
      <c r="I317" s="21"/>
      <c r="J317" s="14"/>
      <c r="K317" s="14">
        <f t="shared" si="8"/>
        <v>0</v>
      </c>
      <c r="L317" s="16">
        <f t="shared" si="9"/>
        <v>0</v>
      </c>
      <c r="M317" s="22"/>
      <c r="N317" s="44"/>
      <c r="O317" s="23" t="s">
        <v>16</v>
      </c>
      <c r="P317" s="24"/>
      <c r="Q317" s="25"/>
    </row>
    <row r="318" spans="1:17">
      <c r="A318" s="14">
        <v>314</v>
      </c>
      <c r="B318" s="29" t="s">
        <v>456</v>
      </c>
      <c r="C318" s="16">
        <f>'Медикаменты Март'!L316</f>
        <v>0</v>
      </c>
      <c r="D318" s="17"/>
      <c r="E318" s="14"/>
      <c r="F318" s="18"/>
      <c r="G318" s="19"/>
      <c r="H318" s="20"/>
      <c r="I318" s="21"/>
      <c r="J318" s="14"/>
      <c r="K318" s="14">
        <f t="shared" si="8"/>
        <v>0</v>
      </c>
      <c r="L318" s="16">
        <f t="shared" si="9"/>
        <v>0</v>
      </c>
      <c r="M318" s="22">
        <v>44287</v>
      </c>
      <c r="N318" s="44"/>
      <c r="O318" s="23" t="s">
        <v>16</v>
      </c>
      <c r="P318" s="24"/>
      <c r="Q318" s="23" t="s">
        <v>457</v>
      </c>
    </row>
    <row r="319" spans="1:17">
      <c r="A319" s="14">
        <v>315</v>
      </c>
      <c r="B319" s="29" t="s">
        <v>458</v>
      </c>
      <c r="C319" s="16">
        <f>'Медикаменты Март'!L317</f>
        <v>2</v>
      </c>
      <c r="D319" s="17"/>
      <c r="E319" s="14"/>
      <c r="F319" s="18">
        <f>2</f>
        <v>2</v>
      </c>
      <c r="G319" s="19"/>
      <c r="H319" s="20"/>
      <c r="I319" s="21"/>
      <c r="J319" s="14"/>
      <c r="K319" s="14">
        <f t="shared" si="8"/>
        <v>2</v>
      </c>
      <c r="L319" s="16">
        <f t="shared" si="9"/>
        <v>0</v>
      </c>
      <c r="M319" s="22">
        <v>44287</v>
      </c>
      <c r="N319" s="44" t="s">
        <v>45</v>
      </c>
      <c r="O319" s="23" t="s">
        <v>16</v>
      </c>
      <c r="P319" s="24" t="s">
        <v>45</v>
      </c>
      <c r="Q319" s="28" t="s">
        <v>459</v>
      </c>
    </row>
    <row r="320" spans="1:17">
      <c r="A320" s="14">
        <v>316</v>
      </c>
      <c r="B320" s="29" t="s">
        <v>460</v>
      </c>
      <c r="C320" s="16">
        <f>'Медикаменты Март'!L318</f>
        <v>0</v>
      </c>
      <c r="D320" s="17"/>
      <c r="E320" s="14"/>
      <c r="F320" s="18"/>
      <c r="G320" s="19"/>
      <c r="H320" s="20"/>
      <c r="I320" s="21"/>
      <c r="J320" s="14"/>
      <c r="K320" s="14">
        <f t="shared" si="8"/>
        <v>0</v>
      </c>
      <c r="L320" s="16">
        <f t="shared" si="9"/>
        <v>0</v>
      </c>
      <c r="M320" s="22">
        <v>45597</v>
      </c>
      <c r="N320" s="44"/>
      <c r="O320" s="23" t="s">
        <v>16</v>
      </c>
      <c r="P320" s="24" t="s">
        <v>45</v>
      </c>
      <c r="Q320" s="23" t="s">
        <v>461</v>
      </c>
    </row>
    <row r="321" spans="1:17">
      <c r="A321" s="14">
        <v>317</v>
      </c>
      <c r="B321" s="29" t="s">
        <v>462</v>
      </c>
      <c r="C321" s="16">
        <f>'Медикаменты Март'!L319</f>
        <v>0</v>
      </c>
      <c r="D321" s="17"/>
      <c r="E321" s="14"/>
      <c r="F321" s="18"/>
      <c r="G321" s="19"/>
      <c r="H321" s="20"/>
      <c r="I321" s="21"/>
      <c r="J321" s="14"/>
      <c r="K321" s="14">
        <f t="shared" si="8"/>
        <v>0</v>
      </c>
      <c r="L321" s="16">
        <f t="shared" si="9"/>
        <v>0</v>
      </c>
      <c r="M321" s="22">
        <v>43952</v>
      </c>
      <c r="N321" s="44"/>
      <c r="O321" s="23" t="s">
        <v>16</v>
      </c>
      <c r="P321" s="24"/>
      <c r="Q321" s="25"/>
    </row>
    <row r="322" spans="1:17">
      <c r="A322" s="14">
        <v>318</v>
      </c>
      <c r="B322" s="29" t="s">
        <v>463</v>
      </c>
      <c r="C322" s="16">
        <f>'Медикаменты Март'!L320</f>
        <v>0</v>
      </c>
      <c r="D322" s="17"/>
      <c r="E322" s="14"/>
      <c r="F322" s="18"/>
      <c r="G322" s="19"/>
      <c r="H322" s="20"/>
      <c r="I322" s="21"/>
      <c r="J322" s="14"/>
      <c r="K322" s="14">
        <f t="shared" si="8"/>
        <v>0</v>
      </c>
      <c r="L322" s="16">
        <f t="shared" si="9"/>
        <v>0</v>
      </c>
      <c r="M322" s="22"/>
      <c r="N322" s="44"/>
      <c r="O322" s="23" t="s">
        <v>16</v>
      </c>
      <c r="P322" s="24"/>
      <c r="Q322" s="25"/>
    </row>
    <row r="323" spans="1:17">
      <c r="A323" s="14">
        <v>319</v>
      </c>
      <c r="B323" s="29" t="s">
        <v>464</v>
      </c>
      <c r="C323" s="16">
        <f>'Медикаменты Март'!L321</f>
        <v>0</v>
      </c>
      <c r="D323" s="17"/>
      <c r="E323" s="14"/>
      <c r="F323" s="18"/>
      <c r="G323" s="19"/>
      <c r="H323" s="20"/>
      <c r="I323" s="21"/>
      <c r="J323" s="14"/>
      <c r="K323" s="14">
        <f t="shared" si="8"/>
        <v>0</v>
      </c>
      <c r="L323" s="16">
        <f t="shared" si="9"/>
        <v>0</v>
      </c>
      <c r="M323" s="22"/>
      <c r="N323" s="44"/>
      <c r="O323" s="23" t="s">
        <v>16</v>
      </c>
      <c r="P323" s="24"/>
      <c r="Q323" s="25"/>
    </row>
    <row r="324" spans="1:17">
      <c r="A324" s="14">
        <v>320</v>
      </c>
      <c r="B324" s="29" t="s">
        <v>465</v>
      </c>
      <c r="C324" s="16">
        <f>'Медикаменты Март'!L322</f>
        <v>0</v>
      </c>
      <c r="D324" s="17"/>
      <c r="E324" s="14"/>
      <c r="F324" s="18"/>
      <c r="G324" s="19"/>
      <c r="H324" s="20"/>
      <c r="I324" s="21"/>
      <c r="J324" s="14"/>
      <c r="K324" s="14">
        <f t="shared" si="8"/>
        <v>0</v>
      </c>
      <c r="L324" s="16">
        <f t="shared" si="9"/>
        <v>0</v>
      </c>
      <c r="M324" s="22"/>
      <c r="N324" s="44"/>
      <c r="O324" s="23" t="s">
        <v>16</v>
      </c>
      <c r="P324" s="24"/>
      <c r="Q324" s="25"/>
    </row>
    <row r="325" spans="1:17">
      <c r="A325" s="14">
        <v>321</v>
      </c>
      <c r="B325" s="29" t="s">
        <v>466</v>
      </c>
      <c r="C325" s="16">
        <f>'Медикаменты Март'!L323</f>
        <v>0</v>
      </c>
      <c r="D325" s="17"/>
      <c r="E325" s="14"/>
      <c r="F325" s="18"/>
      <c r="G325" s="19"/>
      <c r="H325" s="20"/>
      <c r="I325" s="21"/>
      <c r="J325" s="14"/>
      <c r="K325" s="14">
        <f t="shared" ref="K325:K388" si="10">SUM(F325:J325)</f>
        <v>0</v>
      </c>
      <c r="L325" s="16">
        <f t="shared" ref="L325:L388" si="11">(C325+E325)-K325</f>
        <v>0</v>
      </c>
      <c r="M325" s="22">
        <v>44835</v>
      </c>
      <c r="N325" s="44"/>
      <c r="O325" s="23" t="s">
        <v>16</v>
      </c>
      <c r="P325" s="24"/>
      <c r="Q325" s="25"/>
    </row>
    <row r="326" spans="1:17">
      <c r="A326" s="14">
        <v>322</v>
      </c>
      <c r="B326" s="29" t="s">
        <v>467</v>
      </c>
      <c r="C326" s="16">
        <f>'Медикаменты Март'!L324</f>
        <v>0</v>
      </c>
      <c r="D326" s="26"/>
      <c r="E326" s="14"/>
      <c r="F326" s="18"/>
      <c r="G326" s="19"/>
      <c r="H326" s="20"/>
      <c r="I326" s="21"/>
      <c r="J326" s="14"/>
      <c r="K326" s="14">
        <f t="shared" si="10"/>
        <v>0</v>
      </c>
      <c r="L326" s="16">
        <f t="shared" si="11"/>
        <v>0</v>
      </c>
      <c r="M326" s="22"/>
      <c r="N326" s="44"/>
      <c r="O326" s="23" t="s">
        <v>16</v>
      </c>
      <c r="P326" s="24"/>
      <c r="Q326" s="25"/>
    </row>
    <row r="327" spans="1:17">
      <c r="A327" s="14">
        <v>323</v>
      </c>
      <c r="B327" s="29" t="s">
        <v>468</v>
      </c>
      <c r="C327" s="16">
        <f>'Медикаменты Март'!L325</f>
        <v>0</v>
      </c>
      <c r="D327" s="17"/>
      <c r="E327" s="14"/>
      <c r="F327" s="18"/>
      <c r="G327" s="19"/>
      <c r="H327" s="20"/>
      <c r="I327" s="21"/>
      <c r="J327" s="14"/>
      <c r="K327" s="14">
        <f t="shared" si="10"/>
        <v>0</v>
      </c>
      <c r="L327" s="16">
        <f t="shared" si="11"/>
        <v>0</v>
      </c>
      <c r="M327" s="22"/>
      <c r="N327" s="44"/>
      <c r="O327" s="23" t="s">
        <v>16</v>
      </c>
      <c r="P327" s="24"/>
      <c r="Q327" s="25"/>
    </row>
    <row r="328" spans="1:17">
      <c r="A328" s="14">
        <v>324</v>
      </c>
      <c r="B328" s="29" t="s">
        <v>469</v>
      </c>
      <c r="C328" s="16">
        <f>'Медикаменты Март'!L326</f>
        <v>27</v>
      </c>
      <c r="D328" s="17"/>
      <c r="E328" s="14"/>
      <c r="F328" s="18"/>
      <c r="G328" s="19"/>
      <c r="H328" s="20"/>
      <c r="I328" s="21"/>
      <c r="J328" s="14"/>
      <c r="K328" s="14">
        <f t="shared" si="10"/>
        <v>0</v>
      </c>
      <c r="L328" s="16">
        <f t="shared" si="11"/>
        <v>27</v>
      </c>
      <c r="M328" s="22">
        <v>44652</v>
      </c>
      <c r="N328" s="44" t="s">
        <v>45</v>
      </c>
      <c r="O328" s="23" t="s">
        <v>16</v>
      </c>
      <c r="P328" s="24" t="s">
        <v>17</v>
      </c>
      <c r="Q328" s="28" t="s">
        <v>470</v>
      </c>
    </row>
    <row r="329" spans="1:17">
      <c r="A329" s="14">
        <v>325</v>
      </c>
      <c r="B329" s="29" t="s">
        <v>471</v>
      </c>
      <c r="C329" s="16">
        <f>'Медикаменты Март'!L327</f>
        <v>0</v>
      </c>
      <c r="D329" s="17"/>
      <c r="E329" s="14"/>
      <c r="F329" s="18"/>
      <c r="G329" s="19"/>
      <c r="H329" s="20"/>
      <c r="I329" s="21"/>
      <c r="J329" s="14"/>
      <c r="K329" s="14">
        <f t="shared" si="10"/>
        <v>0</v>
      </c>
      <c r="L329" s="16">
        <f t="shared" si="11"/>
        <v>0</v>
      </c>
      <c r="M329" s="22"/>
      <c r="N329" s="44"/>
      <c r="O329" s="23" t="s">
        <v>16</v>
      </c>
      <c r="P329" s="24"/>
      <c r="Q329" s="25"/>
    </row>
    <row r="330" spans="1:17">
      <c r="A330" s="14">
        <v>326</v>
      </c>
      <c r="B330" s="29" t="s">
        <v>472</v>
      </c>
      <c r="C330" s="16">
        <f>'Медикаменты Март'!L328</f>
        <v>0</v>
      </c>
      <c r="D330" s="17"/>
      <c r="E330" s="14"/>
      <c r="F330" s="18"/>
      <c r="G330" s="19"/>
      <c r="H330" s="20"/>
      <c r="I330" s="21"/>
      <c r="J330" s="14"/>
      <c r="K330" s="14">
        <f t="shared" si="10"/>
        <v>0</v>
      </c>
      <c r="L330" s="16">
        <f t="shared" si="11"/>
        <v>0</v>
      </c>
      <c r="M330" s="22">
        <v>44562</v>
      </c>
      <c r="N330" s="44"/>
      <c r="O330" s="23" t="s">
        <v>16</v>
      </c>
      <c r="P330" s="24"/>
      <c r="Q330" s="23" t="s">
        <v>473</v>
      </c>
    </row>
    <row r="331" spans="1:17">
      <c r="A331" s="14">
        <v>327</v>
      </c>
      <c r="B331" s="29" t="s">
        <v>474</v>
      </c>
      <c r="C331" s="16">
        <f>'Медикаменты Март'!L329</f>
        <v>0</v>
      </c>
      <c r="D331" s="17"/>
      <c r="E331" s="14"/>
      <c r="F331" s="18"/>
      <c r="G331" s="19"/>
      <c r="H331" s="20"/>
      <c r="I331" s="21"/>
      <c r="J331" s="14"/>
      <c r="K331" s="14">
        <f t="shared" si="10"/>
        <v>0</v>
      </c>
      <c r="L331" s="16">
        <f t="shared" si="11"/>
        <v>0</v>
      </c>
      <c r="M331" s="22">
        <v>44743</v>
      </c>
      <c r="N331" s="44"/>
      <c r="O331" s="23" t="s">
        <v>16</v>
      </c>
      <c r="P331" s="24"/>
      <c r="Q331" s="23" t="s">
        <v>475</v>
      </c>
    </row>
    <row r="332" spans="1:17">
      <c r="A332" s="14">
        <v>328</v>
      </c>
      <c r="B332" s="29" t="s">
        <v>476</v>
      </c>
      <c r="C332" s="16">
        <f>'Медикаменты Март'!L330</f>
        <v>0</v>
      </c>
      <c r="D332" s="17"/>
      <c r="E332" s="14"/>
      <c r="F332" s="18"/>
      <c r="G332" s="19"/>
      <c r="H332" s="20"/>
      <c r="I332" s="21"/>
      <c r="J332" s="14"/>
      <c r="K332" s="14">
        <f t="shared" si="10"/>
        <v>0</v>
      </c>
      <c r="L332" s="16">
        <f t="shared" si="11"/>
        <v>0</v>
      </c>
      <c r="M332" s="22">
        <v>44531</v>
      </c>
      <c r="N332" s="44"/>
      <c r="O332" s="23" t="s">
        <v>16</v>
      </c>
      <c r="P332" s="24" t="s">
        <v>45</v>
      </c>
      <c r="Q332" s="23" t="s">
        <v>477</v>
      </c>
    </row>
    <row r="333" spans="1:17">
      <c r="A333" s="14">
        <v>329</v>
      </c>
      <c r="B333" s="29" t="s">
        <v>478</v>
      </c>
      <c r="C333" s="16">
        <f>'Медикаменты Март'!L331</f>
        <v>0</v>
      </c>
      <c r="D333" s="17"/>
      <c r="E333" s="14"/>
      <c r="F333" s="18"/>
      <c r="G333" s="19"/>
      <c r="H333" s="20"/>
      <c r="I333" s="21"/>
      <c r="J333" s="14"/>
      <c r="K333" s="14">
        <f t="shared" si="10"/>
        <v>0</v>
      </c>
      <c r="L333" s="16">
        <f t="shared" si="11"/>
        <v>0</v>
      </c>
      <c r="M333" s="22"/>
      <c r="N333" s="44"/>
      <c r="O333" s="23" t="s">
        <v>16</v>
      </c>
      <c r="P333" s="24"/>
      <c r="Q333" s="25"/>
    </row>
    <row r="334" spans="1:17">
      <c r="A334" s="14">
        <v>330</v>
      </c>
      <c r="B334" s="29" t="s">
        <v>479</v>
      </c>
      <c r="C334" s="16">
        <f>'Медикаменты Март'!L332</f>
        <v>0</v>
      </c>
      <c r="D334" s="17"/>
      <c r="E334" s="14"/>
      <c r="F334" s="18"/>
      <c r="G334" s="19"/>
      <c r="H334" s="20"/>
      <c r="I334" s="21"/>
      <c r="J334" s="14"/>
      <c r="K334" s="14">
        <f t="shared" si="10"/>
        <v>0</v>
      </c>
      <c r="L334" s="16">
        <f t="shared" si="11"/>
        <v>0</v>
      </c>
      <c r="M334" s="22">
        <v>44743</v>
      </c>
      <c r="N334" s="44"/>
      <c r="O334" s="23" t="s">
        <v>16</v>
      </c>
      <c r="P334" s="24"/>
      <c r="Q334" s="28" t="s">
        <v>480</v>
      </c>
    </row>
    <row r="335" spans="1:17">
      <c r="A335" s="14">
        <v>331</v>
      </c>
      <c r="B335" s="29" t="s">
        <v>481</v>
      </c>
      <c r="C335" s="16">
        <f>'Медикаменты Март'!L333</f>
        <v>105</v>
      </c>
      <c r="D335" s="17"/>
      <c r="E335" s="14"/>
      <c r="F335" s="18">
        <f>20+5</f>
        <v>25</v>
      </c>
      <c r="G335" s="19"/>
      <c r="H335" s="20"/>
      <c r="I335" s="21"/>
      <c r="J335" s="14"/>
      <c r="K335" s="14">
        <f t="shared" si="10"/>
        <v>25</v>
      </c>
      <c r="L335" s="16">
        <f t="shared" si="11"/>
        <v>80</v>
      </c>
      <c r="M335" s="22">
        <v>45078</v>
      </c>
      <c r="N335" s="44" t="s">
        <v>45</v>
      </c>
      <c r="O335" s="23" t="s">
        <v>16</v>
      </c>
      <c r="P335" s="24" t="s">
        <v>17</v>
      </c>
      <c r="Q335" s="28" t="s">
        <v>558</v>
      </c>
    </row>
    <row r="336" spans="1:17">
      <c r="A336" s="14">
        <v>332</v>
      </c>
      <c r="B336" s="29" t="s">
        <v>481</v>
      </c>
      <c r="C336" s="16">
        <f>'Медикаменты Март'!L334</f>
        <v>0</v>
      </c>
      <c r="D336" s="17"/>
      <c r="E336" s="14"/>
      <c r="F336" s="18"/>
      <c r="G336" s="19"/>
      <c r="H336" s="20"/>
      <c r="I336" s="21"/>
      <c r="J336" s="14"/>
      <c r="K336" s="14">
        <f t="shared" si="10"/>
        <v>0</v>
      </c>
      <c r="L336" s="16">
        <f t="shared" si="11"/>
        <v>0</v>
      </c>
      <c r="M336" s="22">
        <v>45078</v>
      </c>
      <c r="N336" s="44" t="s">
        <v>45</v>
      </c>
      <c r="O336" s="23" t="s">
        <v>26</v>
      </c>
      <c r="P336" s="24" t="s">
        <v>17</v>
      </c>
      <c r="Q336" s="28" t="s">
        <v>558</v>
      </c>
    </row>
    <row r="337" spans="1:17">
      <c r="A337" s="14">
        <v>333</v>
      </c>
      <c r="B337" s="29" t="s">
        <v>483</v>
      </c>
      <c r="C337" s="16">
        <f>'Медикаменты Март'!L335</f>
        <v>35</v>
      </c>
      <c r="D337" s="17"/>
      <c r="E337" s="14"/>
      <c r="F337" s="18">
        <f>10+5+5+5</f>
        <v>25</v>
      </c>
      <c r="G337" s="19"/>
      <c r="H337" s="20"/>
      <c r="I337" s="21"/>
      <c r="J337" s="14"/>
      <c r="K337" s="14">
        <f t="shared" si="10"/>
        <v>25</v>
      </c>
      <c r="L337" s="16">
        <f t="shared" si="11"/>
        <v>10</v>
      </c>
      <c r="M337" s="22">
        <v>45689</v>
      </c>
      <c r="N337" s="44" t="s">
        <v>45</v>
      </c>
      <c r="O337" s="23" t="s">
        <v>16</v>
      </c>
      <c r="P337" s="24" t="s">
        <v>17</v>
      </c>
      <c r="Q337" s="28" t="s">
        <v>484</v>
      </c>
    </row>
    <row r="338" spans="1:17">
      <c r="A338" s="14">
        <v>334</v>
      </c>
      <c r="B338" s="29" t="s">
        <v>483</v>
      </c>
      <c r="C338" s="16">
        <f>'Медикаменты Март'!L336</f>
        <v>0</v>
      </c>
      <c r="D338" s="17"/>
      <c r="E338" s="14"/>
      <c r="F338" s="18"/>
      <c r="G338" s="19"/>
      <c r="H338" s="20"/>
      <c r="I338" s="21"/>
      <c r="J338" s="14"/>
      <c r="K338" s="14">
        <f t="shared" si="10"/>
        <v>0</v>
      </c>
      <c r="L338" s="16">
        <f t="shared" si="11"/>
        <v>0</v>
      </c>
      <c r="M338" s="22">
        <v>45689</v>
      </c>
      <c r="N338" s="44" t="s">
        <v>45</v>
      </c>
      <c r="O338" s="23" t="s">
        <v>26</v>
      </c>
      <c r="P338" s="24" t="s">
        <v>17</v>
      </c>
      <c r="Q338" s="28" t="s">
        <v>484</v>
      </c>
    </row>
    <row r="339" spans="1:17">
      <c r="A339" s="14">
        <v>335</v>
      </c>
      <c r="B339" s="29" t="s">
        <v>485</v>
      </c>
      <c r="C339" s="16">
        <f>'Медикаменты Март'!L337</f>
        <v>0</v>
      </c>
      <c r="D339" s="17"/>
      <c r="E339" s="14"/>
      <c r="F339" s="18"/>
      <c r="G339" s="19"/>
      <c r="H339" s="20"/>
      <c r="I339" s="21"/>
      <c r="J339" s="14"/>
      <c r="K339" s="14">
        <f t="shared" si="10"/>
        <v>0</v>
      </c>
      <c r="L339" s="16">
        <f t="shared" si="11"/>
        <v>0</v>
      </c>
      <c r="M339" s="22">
        <v>45597</v>
      </c>
      <c r="N339" s="44"/>
      <c r="O339" s="23" t="s">
        <v>16</v>
      </c>
      <c r="P339" s="24"/>
      <c r="Q339" s="28" t="s">
        <v>486</v>
      </c>
    </row>
    <row r="340" spans="1:17">
      <c r="A340" s="14">
        <v>336</v>
      </c>
      <c r="B340" s="29" t="s">
        <v>487</v>
      </c>
      <c r="C340" s="16">
        <f>'Медикаменты Март'!L338</f>
        <v>0</v>
      </c>
      <c r="D340" s="17"/>
      <c r="E340" s="14"/>
      <c r="F340" s="18"/>
      <c r="G340" s="19"/>
      <c r="H340" s="20"/>
      <c r="I340" s="21"/>
      <c r="J340" s="14"/>
      <c r="K340" s="14">
        <f t="shared" si="10"/>
        <v>0</v>
      </c>
      <c r="L340" s="16">
        <f t="shared" si="11"/>
        <v>0</v>
      </c>
      <c r="M340" s="22"/>
      <c r="N340" s="44"/>
      <c r="O340" s="23" t="s">
        <v>16</v>
      </c>
      <c r="P340" s="24"/>
      <c r="Q340" s="25"/>
    </row>
    <row r="341" spans="1:17">
      <c r="A341" s="14">
        <v>337</v>
      </c>
      <c r="B341" s="29" t="s">
        <v>488</v>
      </c>
      <c r="C341" s="16">
        <f>'Медикаменты Март'!L339</f>
        <v>58</v>
      </c>
      <c r="D341" s="17"/>
      <c r="E341" s="14"/>
      <c r="F341" s="18">
        <f>5+5+2+10</f>
        <v>22</v>
      </c>
      <c r="G341" s="19"/>
      <c r="H341" s="20"/>
      <c r="I341" s="21"/>
      <c r="J341" s="14"/>
      <c r="K341" s="14">
        <f t="shared" si="10"/>
        <v>22</v>
      </c>
      <c r="L341" s="16">
        <f t="shared" si="11"/>
        <v>36</v>
      </c>
      <c r="M341" s="22">
        <v>45200</v>
      </c>
      <c r="N341" s="44" t="s">
        <v>551</v>
      </c>
      <c r="O341" s="23" t="s">
        <v>16</v>
      </c>
      <c r="P341" s="24" t="s">
        <v>17</v>
      </c>
      <c r="Q341" s="23" t="s">
        <v>489</v>
      </c>
    </row>
    <row r="342" spans="1:17">
      <c r="A342" s="14">
        <v>338</v>
      </c>
      <c r="B342" s="29" t="s">
        <v>490</v>
      </c>
      <c r="C342" s="16">
        <f>'Медикаменты Март'!L340</f>
        <v>0</v>
      </c>
      <c r="D342" s="17"/>
      <c r="E342" s="14"/>
      <c r="F342" s="18"/>
      <c r="G342" s="19"/>
      <c r="H342" s="20"/>
      <c r="I342" s="21"/>
      <c r="J342" s="14"/>
      <c r="K342" s="14">
        <f t="shared" si="10"/>
        <v>0</v>
      </c>
      <c r="L342" s="16">
        <f t="shared" si="11"/>
        <v>0</v>
      </c>
      <c r="M342" s="22"/>
      <c r="N342" s="44"/>
      <c r="O342" s="23" t="s">
        <v>16</v>
      </c>
      <c r="P342" s="24"/>
      <c r="Q342" s="25"/>
    </row>
    <row r="343" spans="1:17" ht="25.5">
      <c r="A343" s="14">
        <v>339</v>
      </c>
      <c r="B343" s="29" t="s">
        <v>491</v>
      </c>
      <c r="C343" s="16">
        <f>'Медикаменты Март'!L341</f>
        <v>50</v>
      </c>
      <c r="D343" s="17"/>
      <c r="E343" s="14"/>
      <c r="F343" s="18"/>
      <c r="G343" s="19"/>
      <c r="H343" s="20"/>
      <c r="I343" s="21"/>
      <c r="J343" s="14"/>
      <c r="K343" s="14">
        <f t="shared" si="10"/>
        <v>0</v>
      </c>
      <c r="L343" s="16">
        <f t="shared" si="11"/>
        <v>50</v>
      </c>
      <c r="M343" s="22">
        <v>45231</v>
      </c>
      <c r="N343" s="44" t="s">
        <v>551</v>
      </c>
      <c r="O343" s="23" t="s">
        <v>16</v>
      </c>
      <c r="P343" s="24" t="s">
        <v>17</v>
      </c>
      <c r="Q343" s="23" t="s">
        <v>492</v>
      </c>
    </row>
    <row r="344" spans="1:17" ht="25.5">
      <c r="A344" s="14">
        <v>340</v>
      </c>
      <c r="B344" s="29" t="s">
        <v>491</v>
      </c>
      <c r="C344" s="16">
        <f>'Медикаменты Март'!L342</f>
        <v>350</v>
      </c>
      <c r="D344" s="17"/>
      <c r="E344" s="14"/>
      <c r="F344" s="18"/>
      <c r="G344" s="19"/>
      <c r="H344" s="20"/>
      <c r="I344" s="21"/>
      <c r="J344" s="14"/>
      <c r="K344" s="14">
        <f t="shared" si="10"/>
        <v>0</v>
      </c>
      <c r="L344" s="16">
        <f t="shared" si="11"/>
        <v>350</v>
      </c>
      <c r="M344" s="22">
        <v>44896</v>
      </c>
      <c r="N344" s="44" t="s">
        <v>551</v>
      </c>
      <c r="O344" s="23" t="s">
        <v>16</v>
      </c>
      <c r="P344" s="24" t="s">
        <v>17</v>
      </c>
      <c r="Q344" s="23" t="s">
        <v>492</v>
      </c>
    </row>
    <row r="345" spans="1:17">
      <c r="A345" s="14">
        <v>341</v>
      </c>
      <c r="B345" s="29" t="s">
        <v>493</v>
      </c>
      <c r="C345" s="16">
        <f>'Медикаменты Март'!L343</f>
        <v>100</v>
      </c>
      <c r="D345" s="17"/>
      <c r="E345" s="14"/>
      <c r="F345" s="18"/>
      <c r="G345" s="19"/>
      <c r="H345" s="20"/>
      <c r="I345" s="21"/>
      <c r="J345" s="14"/>
      <c r="K345" s="14">
        <f t="shared" si="10"/>
        <v>0</v>
      </c>
      <c r="L345" s="16">
        <f t="shared" si="11"/>
        <v>100</v>
      </c>
      <c r="M345" s="22">
        <v>44774</v>
      </c>
      <c r="N345" s="44" t="s">
        <v>551</v>
      </c>
      <c r="O345" s="23" t="s">
        <v>16</v>
      </c>
      <c r="P345" s="24" t="s">
        <v>17</v>
      </c>
      <c r="Q345" s="23" t="s">
        <v>494</v>
      </c>
    </row>
    <row r="346" spans="1:17">
      <c r="A346" s="14">
        <v>342</v>
      </c>
      <c r="B346" s="29" t="s">
        <v>495</v>
      </c>
      <c r="C346" s="16">
        <f>'Медикаменты Март'!L344</f>
        <v>0</v>
      </c>
      <c r="D346" s="17"/>
      <c r="E346" s="14"/>
      <c r="F346" s="18"/>
      <c r="G346" s="19"/>
      <c r="H346" s="20"/>
      <c r="I346" s="21"/>
      <c r="J346" s="14"/>
      <c r="K346" s="14">
        <f t="shared" si="10"/>
        <v>0</v>
      </c>
      <c r="L346" s="16">
        <f t="shared" si="11"/>
        <v>0</v>
      </c>
      <c r="M346" s="22"/>
      <c r="N346" s="44"/>
      <c r="O346" s="23" t="s">
        <v>16</v>
      </c>
      <c r="P346" s="24"/>
      <c r="Q346" s="25"/>
    </row>
    <row r="347" spans="1:17">
      <c r="A347" s="14">
        <v>343</v>
      </c>
      <c r="B347" s="29" t="s">
        <v>496</v>
      </c>
      <c r="C347" s="16">
        <f>'Медикаменты Март'!L345</f>
        <v>0</v>
      </c>
      <c r="D347" s="17"/>
      <c r="E347" s="14"/>
      <c r="F347" s="18"/>
      <c r="G347" s="19"/>
      <c r="H347" s="20"/>
      <c r="I347" s="21"/>
      <c r="J347" s="14"/>
      <c r="K347" s="14">
        <f t="shared" si="10"/>
        <v>0</v>
      </c>
      <c r="L347" s="16">
        <f t="shared" si="11"/>
        <v>0</v>
      </c>
      <c r="M347" s="22">
        <v>44256</v>
      </c>
      <c r="N347" s="44"/>
      <c r="O347" s="23" t="s">
        <v>16</v>
      </c>
      <c r="P347" s="24"/>
      <c r="Q347" s="28" t="s">
        <v>497</v>
      </c>
    </row>
    <row r="348" spans="1:17">
      <c r="A348" s="14">
        <v>344</v>
      </c>
      <c r="B348" s="29" t="s">
        <v>498</v>
      </c>
      <c r="C348" s="16">
        <f>'Медикаменты Март'!L346</f>
        <v>100</v>
      </c>
      <c r="D348" s="17"/>
      <c r="E348" s="14"/>
      <c r="F348" s="18"/>
      <c r="G348" s="19"/>
      <c r="H348" s="20"/>
      <c r="I348" s="21"/>
      <c r="J348" s="14"/>
      <c r="K348" s="14">
        <f t="shared" si="10"/>
        <v>0</v>
      </c>
      <c r="L348" s="16">
        <f t="shared" si="11"/>
        <v>100</v>
      </c>
      <c r="M348" s="22">
        <v>44805</v>
      </c>
      <c r="N348" s="44" t="s">
        <v>45</v>
      </c>
      <c r="O348" s="23" t="s">
        <v>16</v>
      </c>
      <c r="P348" s="24" t="s">
        <v>17</v>
      </c>
      <c r="Q348" s="23" t="s">
        <v>499</v>
      </c>
    </row>
    <row r="349" spans="1:17">
      <c r="A349" s="14">
        <v>345</v>
      </c>
      <c r="B349" s="29" t="s">
        <v>500</v>
      </c>
      <c r="C349" s="16">
        <f>'Медикаменты Март'!L347</f>
        <v>0</v>
      </c>
      <c r="D349" s="17"/>
      <c r="E349" s="14"/>
      <c r="F349" s="18"/>
      <c r="G349" s="19"/>
      <c r="H349" s="20"/>
      <c r="I349" s="21"/>
      <c r="J349" s="14"/>
      <c r="K349" s="14">
        <f t="shared" si="10"/>
        <v>0</v>
      </c>
      <c r="L349" s="16">
        <f t="shared" si="11"/>
        <v>0</v>
      </c>
      <c r="M349" s="22"/>
      <c r="N349" s="44"/>
      <c r="O349" s="23" t="s">
        <v>16</v>
      </c>
      <c r="P349" s="24"/>
      <c r="Q349" s="25"/>
    </row>
    <row r="350" spans="1:17">
      <c r="A350" s="14">
        <v>346</v>
      </c>
      <c r="B350" s="29" t="s">
        <v>501</v>
      </c>
      <c r="C350" s="16">
        <f>'Медикаменты Март'!L348</f>
        <v>0</v>
      </c>
      <c r="D350" s="17"/>
      <c r="E350" s="14"/>
      <c r="F350" s="18"/>
      <c r="G350" s="19"/>
      <c r="H350" s="20"/>
      <c r="I350" s="21"/>
      <c r="J350" s="14"/>
      <c r="K350" s="14">
        <f t="shared" si="10"/>
        <v>0</v>
      </c>
      <c r="L350" s="16">
        <f t="shared" si="11"/>
        <v>0</v>
      </c>
      <c r="M350" s="22"/>
      <c r="N350" s="44"/>
      <c r="O350" s="23" t="s">
        <v>16</v>
      </c>
      <c r="P350" s="24"/>
      <c r="Q350" s="25"/>
    </row>
    <row r="351" spans="1:17">
      <c r="A351" s="14">
        <v>347</v>
      </c>
      <c r="B351" s="29" t="s">
        <v>502</v>
      </c>
      <c r="C351" s="16">
        <f>'Медикаменты Март'!L349</f>
        <v>0</v>
      </c>
      <c r="D351" s="17"/>
      <c r="E351" s="14"/>
      <c r="F351" s="18"/>
      <c r="G351" s="19"/>
      <c r="H351" s="20"/>
      <c r="I351" s="21"/>
      <c r="J351" s="14"/>
      <c r="K351" s="14">
        <f t="shared" si="10"/>
        <v>0</v>
      </c>
      <c r="L351" s="16">
        <f t="shared" si="11"/>
        <v>0</v>
      </c>
      <c r="M351" s="22">
        <v>44866</v>
      </c>
      <c r="N351" s="44"/>
      <c r="O351" s="23" t="s">
        <v>26</v>
      </c>
      <c r="P351" s="24"/>
      <c r="Q351" s="25"/>
    </row>
    <row r="352" spans="1:17">
      <c r="A352" s="14">
        <v>348</v>
      </c>
      <c r="B352" s="29" t="s">
        <v>503</v>
      </c>
      <c r="C352" s="16">
        <f>'Медикаменты Март'!L350</f>
        <v>134</v>
      </c>
      <c r="D352" s="26"/>
      <c r="E352" s="14"/>
      <c r="F352" s="18">
        <f>5+10+3+5</f>
        <v>23</v>
      </c>
      <c r="G352" s="19"/>
      <c r="H352" s="20"/>
      <c r="I352" s="21"/>
      <c r="J352" s="14"/>
      <c r="K352" s="14">
        <f t="shared" si="10"/>
        <v>23</v>
      </c>
      <c r="L352" s="16">
        <f t="shared" si="11"/>
        <v>111</v>
      </c>
      <c r="M352" s="22">
        <v>44713</v>
      </c>
      <c r="N352" s="44" t="s">
        <v>45</v>
      </c>
      <c r="O352" s="23" t="s">
        <v>16</v>
      </c>
      <c r="P352" s="24" t="s">
        <v>17</v>
      </c>
      <c r="Q352" s="28" t="s">
        <v>504</v>
      </c>
    </row>
    <row r="353" spans="1:17">
      <c r="A353" s="14">
        <v>349</v>
      </c>
      <c r="B353" s="29" t="s">
        <v>505</v>
      </c>
      <c r="C353" s="16">
        <f>'Медикаменты Март'!L351</f>
        <v>0</v>
      </c>
      <c r="D353" s="17"/>
      <c r="E353" s="14"/>
      <c r="F353" s="18"/>
      <c r="G353" s="19"/>
      <c r="H353" s="20"/>
      <c r="I353" s="21"/>
      <c r="J353" s="14"/>
      <c r="K353" s="14">
        <f t="shared" si="10"/>
        <v>0</v>
      </c>
      <c r="L353" s="16">
        <f t="shared" si="11"/>
        <v>0</v>
      </c>
      <c r="M353" s="22"/>
      <c r="N353" s="44"/>
      <c r="O353" s="23" t="s">
        <v>16</v>
      </c>
      <c r="P353" s="24"/>
      <c r="Q353" s="25"/>
    </row>
    <row r="354" spans="1:17">
      <c r="A354" s="14">
        <v>350</v>
      </c>
      <c r="B354" s="29" t="s">
        <v>506</v>
      </c>
      <c r="C354" s="16">
        <f>'Медикаменты Март'!L352</f>
        <v>46</v>
      </c>
      <c r="D354" s="26"/>
      <c r="E354" s="14"/>
      <c r="F354" s="18">
        <f>5</f>
        <v>5</v>
      </c>
      <c r="G354" s="19"/>
      <c r="H354" s="20"/>
      <c r="I354" s="21"/>
      <c r="J354" s="14"/>
      <c r="K354" s="14">
        <f t="shared" si="10"/>
        <v>5</v>
      </c>
      <c r="L354" s="16">
        <f t="shared" si="11"/>
        <v>41</v>
      </c>
      <c r="M354" s="22">
        <v>44531</v>
      </c>
      <c r="N354" s="44" t="s">
        <v>45</v>
      </c>
      <c r="O354" s="23" t="s">
        <v>16</v>
      </c>
      <c r="P354" s="24" t="s">
        <v>17</v>
      </c>
      <c r="Q354" s="28" t="s">
        <v>507</v>
      </c>
    </row>
    <row r="355" spans="1:17" ht="25.5">
      <c r="A355" s="14">
        <v>351</v>
      </c>
      <c r="B355" s="29" t="s">
        <v>508</v>
      </c>
      <c r="C355" s="16">
        <f>'Медикаменты Март'!L353</f>
        <v>412</v>
      </c>
      <c r="D355" s="17"/>
      <c r="E355" s="14"/>
      <c r="F355" s="18"/>
      <c r="G355" s="19"/>
      <c r="H355" s="20"/>
      <c r="I355" s="21"/>
      <c r="J355" s="14"/>
      <c r="K355" s="14">
        <f t="shared" si="10"/>
        <v>0</v>
      </c>
      <c r="L355" s="16">
        <f t="shared" si="11"/>
        <v>412</v>
      </c>
      <c r="M355" s="22">
        <v>45108</v>
      </c>
      <c r="N355" s="44" t="s">
        <v>551</v>
      </c>
      <c r="O355" s="23" t="s">
        <v>16</v>
      </c>
      <c r="P355" s="24" t="s">
        <v>17</v>
      </c>
      <c r="Q355" s="28" t="s">
        <v>509</v>
      </c>
    </row>
    <row r="356" spans="1:17">
      <c r="A356" s="14">
        <v>352</v>
      </c>
      <c r="B356" s="29" t="s">
        <v>510</v>
      </c>
      <c r="C356" s="16">
        <f>'Медикаменты Март'!L354</f>
        <v>0</v>
      </c>
      <c r="D356" s="17"/>
      <c r="E356" s="14"/>
      <c r="F356" s="18"/>
      <c r="G356" s="19"/>
      <c r="H356" s="20"/>
      <c r="I356" s="21"/>
      <c r="J356" s="14"/>
      <c r="K356" s="14">
        <f t="shared" si="10"/>
        <v>0</v>
      </c>
      <c r="L356" s="16">
        <f t="shared" si="11"/>
        <v>0</v>
      </c>
      <c r="M356" s="22"/>
      <c r="N356" s="44"/>
      <c r="O356" s="23" t="s">
        <v>16</v>
      </c>
      <c r="P356" s="24"/>
      <c r="Q356" s="25"/>
    </row>
    <row r="357" spans="1:17">
      <c r="A357" s="14">
        <v>353</v>
      </c>
      <c r="B357" s="29" t="s">
        <v>511</v>
      </c>
      <c r="C357" s="16">
        <f>'Медикаменты Март'!L355</f>
        <v>0</v>
      </c>
      <c r="D357" s="17"/>
      <c r="E357" s="14"/>
      <c r="F357" s="18"/>
      <c r="G357" s="19"/>
      <c r="H357" s="20"/>
      <c r="I357" s="21"/>
      <c r="J357" s="14"/>
      <c r="K357" s="14">
        <f t="shared" si="10"/>
        <v>0</v>
      </c>
      <c r="L357" s="16">
        <f t="shared" si="11"/>
        <v>0</v>
      </c>
      <c r="M357" s="22"/>
      <c r="N357" s="44"/>
      <c r="O357" s="23" t="s">
        <v>16</v>
      </c>
      <c r="P357" s="24"/>
      <c r="Q357" s="25"/>
    </row>
    <row r="358" spans="1:17">
      <c r="A358" s="14">
        <v>354</v>
      </c>
      <c r="B358" s="29" t="s">
        <v>512</v>
      </c>
      <c r="C358" s="16">
        <f>'Медикаменты Март'!L356</f>
        <v>41</v>
      </c>
      <c r="D358" s="17"/>
      <c r="E358" s="14"/>
      <c r="F358" s="18">
        <f>5+13+2+13</f>
        <v>33</v>
      </c>
      <c r="G358" s="19"/>
      <c r="H358" s="20"/>
      <c r="I358" s="21"/>
      <c r="J358" s="14"/>
      <c r="K358" s="14">
        <f t="shared" si="10"/>
        <v>33</v>
      </c>
      <c r="L358" s="16">
        <f t="shared" si="11"/>
        <v>8</v>
      </c>
      <c r="M358" s="22">
        <v>44682</v>
      </c>
      <c r="N358" s="44" t="s">
        <v>45</v>
      </c>
      <c r="O358" s="23" t="s">
        <v>16</v>
      </c>
      <c r="P358" s="24" t="s">
        <v>17</v>
      </c>
      <c r="Q358" s="23" t="s">
        <v>513</v>
      </c>
    </row>
    <row r="359" spans="1:17">
      <c r="A359" s="14">
        <v>355</v>
      </c>
      <c r="B359" s="29" t="s">
        <v>514</v>
      </c>
      <c r="C359" s="16">
        <f>'Медикаменты Март'!L357</f>
        <v>85</v>
      </c>
      <c r="D359" s="17"/>
      <c r="E359" s="14"/>
      <c r="F359" s="18">
        <f>5+15+2+8</f>
        <v>30</v>
      </c>
      <c r="G359" s="19"/>
      <c r="H359" s="20"/>
      <c r="I359" s="21"/>
      <c r="J359" s="14"/>
      <c r="K359" s="14">
        <f t="shared" si="10"/>
        <v>30</v>
      </c>
      <c r="L359" s="16">
        <f t="shared" si="11"/>
        <v>55</v>
      </c>
      <c r="M359" s="22">
        <v>44652</v>
      </c>
      <c r="N359" s="44" t="s">
        <v>45</v>
      </c>
      <c r="O359" s="23" t="s">
        <v>16</v>
      </c>
      <c r="P359" s="24" t="s">
        <v>17</v>
      </c>
      <c r="Q359" s="23" t="s">
        <v>515</v>
      </c>
    </row>
    <row r="360" spans="1:17">
      <c r="A360" s="14">
        <v>356</v>
      </c>
      <c r="B360" s="29" t="s">
        <v>516</v>
      </c>
      <c r="C360" s="16">
        <f>'Медикаменты Март'!L358</f>
        <v>0</v>
      </c>
      <c r="D360" s="17"/>
      <c r="E360" s="14"/>
      <c r="F360" s="18"/>
      <c r="G360" s="19"/>
      <c r="H360" s="20"/>
      <c r="I360" s="21"/>
      <c r="J360" s="14"/>
      <c r="K360" s="14">
        <f t="shared" si="10"/>
        <v>0</v>
      </c>
      <c r="L360" s="16">
        <f t="shared" si="11"/>
        <v>0</v>
      </c>
      <c r="M360" s="22"/>
      <c r="N360" s="44"/>
      <c r="O360" s="23" t="s">
        <v>16</v>
      </c>
      <c r="P360" s="24"/>
      <c r="Q360" s="25"/>
    </row>
    <row r="361" spans="1:17">
      <c r="A361" s="14">
        <v>357</v>
      </c>
      <c r="B361" s="29" t="s">
        <v>517</v>
      </c>
      <c r="C361" s="16">
        <f>'Медикаменты Март'!L359</f>
        <v>0</v>
      </c>
      <c r="D361" s="17"/>
      <c r="E361" s="14"/>
      <c r="F361" s="18"/>
      <c r="G361" s="19"/>
      <c r="H361" s="20"/>
      <c r="I361" s="21"/>
      <c r="J361" s="14"/>
      <c r="K361" s="14">
        <f t="shared" si="10"/>
        <v>0</v>
      </c>
      <c r="L361" s="16">
        <f t="shared" si="11"/>
        <v>0</v>
      </c>
      <c r="M361" s="22">
        <v>44682</v>
      </c>
      <c r="N361" s="44"/>
      <c r="O361" s="23" t="s">
        <v>26</v>
      </c>
      <c r="P361" s="24" t="s">
        <v>17</v>
      </c>
      <c r="Q361" s="23" t="s">
        <v>518</v>
      </c>
    </row>
    <row r="362" spans="1:17">
      <c r="A362" s="14">
        <v>358</v>
      </c>
      <c r="B362" s="29" t="s">
        <v>519</v>
      </c>
      <c r="C362" s="16">
        <f>'Медикаменты Март'!L360</f>
        <v>0</v>
      </c>
      <c r="D362" s="17"/>
      <c r="E362" s="14"/>
      <c r="F362" s="18"/>
      <c r="G362" s="19"/>
      <c r="H362" s="20"/>
      <c r="I362" s="21"/>
      <c r="J362" s="14"/>
      <c r="K362" s="14">
        <f t="shared" si="10"/>
        <v>0</v>
      </c>
      <c r="L362" s="16">
        <f t="shared" si="11"/>
        <v>0</v>
      </c>
      <c r="M362" s="22">
        <v>44409</v>
      </c>
      <c r="N362" s="44"/>
      <c r="O362" s="23" t="s">
        <v>16</v>
      </c>
      <c r="P362" s="24"/>
      <c r="Q362" s="25"/>
    </row>
    <row r="363" spans="1:17">
      <c r="A363" s="14">
        <v>359</v>
      </c>
      <c r="B363" s="29" t="s">
        <v>520</v>
      </c>
      <c r="C363" s="16">
        <f>'Медикаменты Март'!L361</f>
        <v>0</v>
      </c>
      <c r="D363" s="17"/>
      <c r="E363" s="14"/>
      <c r="F363" s="18"/>
      <c r="G363" s="19"/>
      <c r="H363" s="20"/>
      <c r="I363" s="21"/>
      <c r="J363" s="14"/>
      <c r="K363" s="14">
        <f t="shared" si="10"/>
        <v>0</v>
      </c>
      <c r="L363" s="16">
        <f t="shared" si="11"/>
        <v>0</v>
      </c>
      <c r="M363" s="22">
        <v>44805</v>
      </c>
      <c r="N363" s="44"/>
      <c r="O363" s="23" t="s">
        <v>26</v>
      </c>
      <c r="P363" s="24" t="s">
        <v>17</v>
      </c>
      <c r="Q363" s="23" t="s">
        <v>521</v>
      </c>
    </row>
    <row r="364" spans="1:17">
      <c r="A364" s="14">
        <v>360</v>
      </c>
      <c r="B364" s="29" t="s">
        <v>522</v>
      </c>
      <c r="C364" s="16">
        <f>'Медикаменты Март'!L362</f>
        <v>0</v>
      </c>
      <c r="D364" s="17"/>
      <c r="E364" s="14"/>
      <c r="F364" s="18"/>
      <c r="G364" s="19"/>
      <c r="H364" s="20"/>
      <c r="I364" s="21"/>
      <c r="J364" s="14"/>
      <c r="K364" s="14">
        <f t="shared" si="10"/>
        <v>0</v>
      </c>
      <c r="L364" s="16">
        <f t="shared" si="11"/>
        <v>0</v>
      </c>
      <c r="M364" s="22"/>
      <c r="N364" s="44"/>
      <c r="O364" s="23" t="s">
        <v>16</v>
      </c>
      <c r="P364" s="24"/>
      <c r="Q364" s="25"/>
    </row>
    <row r="365" spans="1:17">
      <c r="A365" s="14">
        <v>361</v>
      </c>
      <c r="B365" s="29" t="s">
        <v>523</v>
      </c>
      <c r="C365" s="16">
        <f>'Медикаменты Март'!L363</f>
        <v>0</v>
      </c>
      <c r="D365" s="17"/>
      <c r="E365" s="14"/>
      <c r="F365" s="18"/>
      <c r="G365" s="19"/>
      <c r="H365" s="20"/>
      <c r="I365" s="21"/>
      <c r="J365" s="14"/>
      <c r="K365" s="14">
        <f t="shared" si="10"/>
        <v>0</v>
      </c>
      <c r="L365" s="16">
        <f t="shared" si="11"/>
        <v>0</v>
      </c>
      <c r="M365" s="22">
        <v>44228</v>
      </c>
      <c r="N365" s="44"/>
      <c r="O365" s="23" t="s">
        <v>16</v>
      </c>
      <c r="P365" s="24"/>
      <c r="Q365" s="23" t="s">
        <v>524</v>
      </c>
    </row>
    <row r="366" spans="1:17">
      <c r="A366" s="14">
        <v>362</v>
      </c>
      <c r="B366" s="29" t="s">
        <v>525</v>
      </c>
      <c r="C366" s="16">
        <f>'Медикаменты Март'!L364</f>
        <v>86</v>
      </c>
      <c r="D366" s="17"/>
      <c r="E366" s="14"/>
      <c r="F366" s="18"/>
      <c r="G366" s="19"/>
      <c r="H366" s="20"/>
      <c r="I366" s="21"/>
      <c r="J366" s="14"/>
      <c r="K366" s="14">
        <f t="shared" si="10"/>
        <v>0</v>
      </c>
      <c r="L366" s="16">
        <f t="shared" si="11"/>
        <v>86</v>
      </c>
      <c r="M366" s="22">
        <v>44958</v>
      </c>
      <c r="N366" s="44" t="s">
        <v>45</v>
      </c>
      <c r="O366" s="23" t="s">
        <v>16</v>
      </c>
      <c r="P366" s="24" t="s">
        <v>17</v>
      </c>
      <c r="Q366" s="23" t="s">
        <v>526</v>
      </c>
    </row>
    <row r="367" spans="1:17">
      <c r="A367" s="14">
        <v>363</v>
      </c>
      <c r="B367" s="29" t="s">
        <v>527</v>
      </c>
      <c r="C367" s="16">
        <f>'Медикаменты Март'!L365</f>
        <v>6</v>
      </c>
      <c r="D367" s="17"/>
      <c r="E367" s="14"/>
      <c r="F367" s="18"/>
      <c r="G367" s="19"/>
      <c r="H367" s="20"/>
      <c r="I367" s="21"/>
      <c r="J367" s="14"/>
      <c r="K367" s="14">
        <f t="shared" si="10"/>
        <v>0</v>
      </c>
      <c r="L367" s="16">
        <f t="shared" si="11"/>
        <v>6</v>
      </c>
      <c r="M367" s="22">
        <v>44652</v>
      </c>
      <c r="N367" s="44" t="s">
        <v>45</v>
      </c>
      <c r="O367" s="23" t="s">
        <v>16</v>
      </c>
      <c r="P367" s="24" t="s">
        <v>17</v>
      </c>
      <c r="Q367" s="28" t="s">
        <v>528</v>
      </c>
    </row>
    <row r="368" spans="1:17">
      <c r="A368" s="14">
        <v>364</v>
      </c>
      <c r="B368" s="29" t="s">
        <v>527</v>
      </c>
      <c r="C368" s="16">
        <f>'Медикаменты Март'!L366</f>
        <v>25</v>
      </c>
      <c r="D368" s="17"/>
      <c r="E368" s="14"/>
      <c r="F368" s="18"/>
      <c r="G368" s="19"/>
      <c r="H368" s="20"/>
      <c r="I368" s="21"/>
      <c r="J368" s="14"/>
      <c r="K368" s="14">
        <f t="shared" si="10"/>
        <v>0</v>
      </c>
      <c r="L368" s="16">
        <f t="shared" si="11"/>
        <v>25</v>
      </c>
      <c r="M368" s="22">
        <v>44896</v>
      </c>
      <c r="N368" s="44" t="s">
        <v>45</v>
      </c>
      <c r="O368" s="23" t="s">
        <v>16</v>
      </c>
      <c r="P368" s="24" t="s">
        <v>17</v>
      </c>
      <c r="Q368" s="28" t="s">
        <v>528</v>
      </c>
    </row>
  </sheetData>
  <autoFilter ref="A2:Q368"/>
  <mergeCells count="18">
    <mergeCell ref="P2:P4"/>
    <mergeCell ref="Q2:Q4"/>
    <mergeCell ref="A1:Q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2:M4"/>
    <mergeCell ref="N2:N4"/>
    <mergeCell ref="O2:O4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3018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26</vt:i4>
      </vt:variant>
      <vt:variant>
        <vt:lpstr>Именованные диапазоны</vt:lpstr>
      </vt:variant>
      <vt:variant>
        <vt:i4>26</vt:i4>
      </vt:variant>
    </vt:vector>
  </HeadingPairs>
  <TitlesOfParts>
    <vt:vector size="52" baseType="lpstr">
      <vt:lpstr>Медикаменты Январь</vt:lpstr>
      <vt:lpstr>Перевязочные Январь</vt:lpstr>
      <vt:lpstr>Медикаменты Январь_2</vt:lpstr>
      <vt:lpstr>Перевязочные Январь_2</vt:lpstr>
      <vt:lpstr>Медикаменты Февраль</vt:lpstr>
      <vt:lpstr>Перевязочные Февраль</vt:lpstr>
      <vt:lpstr>Медикаменты Март</vt:lpstr>
      <vt:lpstr>Перевязочные Март</vt:lpstr>
      <vt:lpstr>Медикаменты Апрель</vt:lpstr>
      <vt:lpstr>Перевязочные Апрель</vt:lpstr>
      <vt:lpstr>Медикаменты Май</vt:lpstr>
      <vt:lpstr>Перевязочные Май</vt:lpstr>
      <vt:lpstr>Медикаменты Июнь</vt:lpstr>
      <vt:lpstr>Перевязочные Июнь</vt:lpstr>
      <vt:lpstr>Медикаменты Июль</vt:lpstr>
      <vt:lpstr>Перевязочные Июль</vt:lpstr>
      <vt:lpstr>Медикаменты Август</vt:lpstr>
      <vt:lpstr>Перевязочные Август</vt:lpstr>
      <vt:lpstr>Медикаменты Сентябрь</vt:lpstr>
      <vt:lpstr>Перевязочные Сентябрь</vt:lpstr>
      <vt:lpstr>Медикаменты Октябрь</vt:lpstr>
      <vt:lpstr>Перевязочные Октябрь</vt:lpstr>
      <vt:lpstr>Медикаменты Ноябрь</vt:lpstr>
      <vt:lpstr>Перевязочные Ноябрь</vt:lpstr>
      <vt:lpstr>Медикаменты Декабрь</vt:lpstr>
      <vt:lpstr>Перевязочные Декабрь</vt:lpstr>
      <vt:lpstr>'Медикаменты Август'!_FilterDatabase_0</vt:lpstr>
      <vt:lpstr>'Медикаменты Апрель'!_FilterDatabase_0</vt:lpstr>
      <vt:lpstr>'Медикаменты Декабрь'!_FilterDatabase_0</vt:lpstr>
      <vt:lpstr>'Медикаменты Июль'!_FilterDatabase_0</vt:lpstr>
      <vt:lpstr>'Медикаменты Июнь'!_FilterDatabase_0</vt:lpstr>
      <vt:lpstr>'Медикаменты Май'!_FilterDatabase_0</vt:lpstr>
      <vt:lpstr>'Медикаменты Март'!_FilterDatabase_0</vt:lpstr>
      <vt:lpstr>'Медикаменты Ноябрь'!_FilterDatabase_0</vt:lpstr>
      <vt:lpstr>'Медикаменты Октябрь'!_FilterDatabase_0</vt:lpstr>
      <vt:lpstr>'Медикаменты Сентябрь'!_FilterDatabase_0</vt:lpstr>
      <vt:lpstr>'Медикаменты Февраль'!_FilterDatabase_0</vt:lpstr>
      <vt:lpstr>'Медикаменты Январь'!_FilterDatabase_0</vt:lpstr>
      <vt:lpstr>'Медикаменты Январь_2'!_FilterDatabase_0</vt:lpstr>
      <vt:lpstr>'Медикаменты Август'!_FilterDatabase_1</vt:lpstr>
      <vt:lpstr>'Медикаменты Февраль'!_FilterDatabase_10</vt:lpstr>
      <vt:lpstr>'Медикаменты Январь'!_FilterDatabase_11</vt:lpstr>
      <vt:lpstr>'Медикаменты Январь_2'!_FilterDatabase_12</vt:lpstr>
      <vt:lpstr>'Медикаменты Апрель'!_FilterDatabase_2</vt:lpstr>
      <vt:lpstr>'Медикаменты Июль'!_FilterDatabase_3</vt:lpstr>
      <vt:lpstr>'Медикаменты Июнь'!_FilterDatabase_4</vt:lpstr>
      <vt:lpstr>'Медикаменты Май'!_FilterDatabase_5</vt:lpstr>
      <vt:lpstr>'Медикаменты Март'!_FilterDatabase_6</vt:lpstr>
      <vt:lpstr>'Медикаменты Декабрь'!_FilterDatabase_7</vt:lpstr>
      <vt:lpstr>'Медикаменты Ноябрь'!_FilterDatabase_7</vt:lpstr>
      <vt:lpstr>'Медикаменты Октябрь'!_FilterDatabase_8</vt:lpstr>
      <vt:lpstr>'Медикаменты Сентябрь'!_FilterDatabase_9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Тараканов Николай Викторович</dc:creator>
  <dc:description/>
  <cp:lastModifiedBy>ПС</cp:lastModifiedBy>
  <cp:revision>256</cp:revision>
  <dcterms:created xsi:type="dcterms:W3CDTF">2020-01-21T12:58:47Z</dcterms:created>
  <dcterms:modified xsi:type="dcterms:W3CDTF">2022-01-13T20:52:54Z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