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Ansys\05 Curso\2018-2\01 Aulas\04 SHELL181\Exercício 3.B - Estudo de malha\"/>
    </mc:Choice>
  </mc:AlternateContent>
  <bookViews>
    <workbookView xWindow="120" yWindow="120" windowWidth="12120" windowHeight="8325"/>
  </bookViews>
  <sheets>
    <sheet name="Principal" sheetId="28241" r:id="rId1"/>
    <sheet name="Esforços" sheetId="28247" r:id="rId2"/>
    <sheet name="ELUM-Pos" sheetId="28255" r:id="rId3"/>
    <sheet name="ELUM-Neg" sheetId="28262" r:id="rId4"/>
    <sheet name="ELUV" sheetId="28260" r:id="rId5"/>
    <sheet name="ELSD" sheetId="28263" r:id="rId6"/>
    <sheet name="ELSW-Pos" sheetId="28264" r:id="rId7"/>
    <sheet name="ELSW-Neg" sheetId="28265" r:id="rId8"/>
    <sheet name="ELSW-Ta" sheetId="28259" r:id="rId9"/>
    <sheet name="ELSW-Tb" sheetId="28261" r:id="rId10"/>
  </sheets>
  <definedNames>
    <definedName name="_xlnm.Print_Area" localSheetId="5">ELSD!$A$1:$J$90</definedName>
    <definedName name="_xlnm.Print_Area" localSheetId="7">'ELSW-Neg'!$A$1:$H$80</definedName>
    <definedName name="_xlnm.Print_Area" localSheetId="6">'ELSW-Pos'!$A$1:$J$90</definedName>
    <definedName name="_xlnm.Print_Area" localSheetId="8">'ELSW-Ta'!$A$1:$F$70</definedName>
    <definedName name="_xlnm.Print_Area" localSheetId="9">'ELSW-Tb'!$A$1:$F$59</definedName>
    <definedName name="_xlnm.Print_Area" localSheetId="3">'ELUM-Neg'!$A$1:$H$60</definedName>
    <definedName name="_xlnm.Print_Area" localSheetId="2">'ELUM-Pos'!$A$1:$H$85</definedName>
    <definedName name="_xlnm.Print_Area" localSheetId="4">ELUV!$A$1:$N$43</definedName>
    <definedName name="_xlnm.Print_Area" localSheetId="1">Esforços!$BP$15:$CF$133</definedName>
    <definedName name="_xlnm.Print_Area" localSheetId="0">Principal!$B$2:$X$80</definedName>
  </definedNames>
  <calcPr calcId="152511"/>
</workbook>
</file>

<file path=xl/calcChain.xml><?xml version="1.0" encoding="utf-8"?>
<calcChain xmlns="http://schemas.openxmlformats.org/spreadsheetml/2006/main">
  <c r="B83" i="28263" l="1"/>
  <c r="B85" i="28263" s="1"/>
  <c r="E78" i="28241" s="1"/>
  <c r="C85" i="28263"/>
  <c r="F11" i="28247"/>
  <c r="F12" i="28247"/>
  <c r="J4" i="28247" s="1"/>
  <c r="C26" i="28262"/>
  <c r="D26" i="28262"/>
  <c r="E26" i="28262"/>
  <c r="E30" i="28262"/>
  <c r="B26" i="28262"/>
  <c r="C26" i="28255"/>
  <c r="D26" i="28255"/>
  <c r="D30" i="28255"/>
  <c r="E26" i="28255"/>
  <c r="B26" i="28255"/>
  <c r="B30" i="28255"/>
  <c r="AA8" i="28241"/>
  <c r="I21" i="28241"/>
  <c r="E4" i="28247"/>
  <c r="E3" i="28247"/>
  <c r="AE18" i="28241"/>
  <c r="AE19" i="28241"/>
  <c r="AE20" i="28241"/>
  <c r="AE21" i="28241"/>
  <c r="AE22" i="28241"/>
  <c r="AE23" i="28241"/>
  <c r="G4" i="28247"/>
  <c r="G5" i="28247"/>
  <c r="AE24" i="28241"/>
  <c r="AE25" i="28241"/>
  <c r="AE26" i="28241"/>
  <c r="AE27" i="28241"/>
  <c r="AE28" i="28241"/>
  <c r="AE29" i="28241"/>
  <c r="AE30" i="28241"/>
  <c r="AE31" i="28241"/>
  <c r="AE32" i="28241"/>
  <c r="AE33" i="28241"/>
  <c r="B8" i="28265"/>
  <c r="B9" i="28265"/>
  <c r="C8" i="28265"/>
  <c r="C12" i="28265"/>
  <c r="C14" i="28265"/>
  <c r="C9" i="28265"/>
  <c r="D8" i="28265"/>
  <c r="B8" i="28264"/>
  <c r="C8" i="28264"/>
  <c r="C12" i="28264"/>
  <c r="C19" i="28264"/>
  <c r="C9" i="28264"/>
  <c r="D8" i="28264"/>
  <c r="D9" i="28264"/>
  <c r="E8" i="28264"/>
  <c r="E9" i="28264"/>
  <c r="F9" i="28264"/>
  <c r="B8" i="28263"/>
  <c r="C8" i="28263"/>
  <c r="C9" i="28263"/>
  <c r="C11" i="28263"/>
  <c r="D8" i="28263"/>
  <c r="D9" i="28263"/>
  <c r="E7" i="28247"/>
  <c r="B28" i="28255"/>
  <c r="R19" i="28241"/>
  <c r="B25" i="28262"/>
  <c r="B25" i="28255"/>
  <c r="B8" i="28255"/>
  <c r="B10" i="28255"/>
  <c r="B28" i="28262"/>
  <c r="B8" i="28262"/>
  <c r="B10" i="28262"/>
  <c r="C27" i="28255"/>
  <c r="C28" i="28255"/>
  <c r="C30" i="28255"/>
  <c r="C25" i="28255"/>
  <c r="C8" i="28255"/>
  <c r="C13" i="28255"/>
  <c r="C28" i="28262"/>
  <c r="C8" i="28262"/>
  <c r="C10" i="28262"/>
  <c r="C25" i="28262"/>
  <c r="D34" i="28241"/>
  <c r="D27" i="28255"/>
  <c r="D28" i="28255"/>
  <c r="D25" i="28255"/>
  <c r="D8" i="28255"/>
  <c r="D10" i="28255"/>
  <c r="D28" i="28262"/>
  <c r="D30" i="28262"/>
  <c r="D8" i="28262"/>
  <c r="D10" i="28262"/>
  <c r="D25" i="28262"/>
  <c r="E27" i="28255"/>
  <c r="E28" i="28255"/>
  <c r="E30" i="28255"/>
  <c r="E25" i="28255"/>
  <c r="E32" i="28255"/>
  <c r="E8" i="28255"/>
  <c r="E13" i="28255"/>
  <c r="E28" i="28262"/>
  <c r="E8" i="28262"/>
  <c r="E25" i="28262"/>
  <c r="B29" i="28262"/>
  <c r="B31" i="28262"/>
  <c r="B15" i="28262"/>
  <c r="B17" i="28262"/>
  <c r="B19" i="28262"/>
  <c r="B23" i="28262"/>
  <c r="D15" i="28262"/>
  <c r="D17" i="28262"/>
  <c r="D19" i="28262"/>
  <c r="D29" i="28262"/>
  <c r="D31" i="28262"/>
  <c r="D13" i="28262"/>
  <c r="D55" i="28262"/>
  <c r="F41" i="28241"/>
  <c r="AG39" i="28241"/>
  <c r="AG40" i="28241"/>
  <c r="AG38" i="28241"/>
  <c r="AG41" i="28241"/>
  <c r="AG42" i="28241"/>
  <c r="B15" i="28255"/>
  <c r="B17" i="28255"/>
  <c r="B19" i="28255"/>
  <c r="AA13" i="28241"/>
  <c r="AA14" i="28241"/>
  <c r="B5" i="28255"/>
  <c r="B80" i="28255"/>
  <c r="B23" i="28255"/>
  <c r="D15" i="28255"/>
  <c r="D79" i="28255"/>
  <c r="D17" i="28255"/>
  <c r="D13" i="28255"/>
  <c r="E41" i="28241"/>
  <c r="AH40" i="28241"/>
  <c r="AH38" i="28241"/>
  <c r="AH41" i="28241"/>
  <c r="AI40" i="28241"/>
  <c r="AI38" i="28241"/>
  <c r="AI41" i="28241"/>
  <c r="C29" i="28262"/>
  <c r="C31" i="28262"/>
  <c r="C15" i="28262"/>
  <c r="C17" i="28262"/>
  <c r="C19" i="28262"/>
  <c r="C27" i="28262"/>
  <c r="C23" i="28262"/>
  <c r="E15" i="28262"/>
  <c r="E17" i="28262"/>
  <c r="E19" i="28262"/>
  <c r="E29" i="28262"/>
  <c r="E31" i="28262"/>
  <c r="H41" i="28241"/>
  <c r="AJ39" i="28241"/>
  <c r="AJ40" i="28241"/>
  <c r="AJ38" i="28241"/>
  <c r="AJ41" i="28241"/>
  <c r="AJ42" i="28241"/>
  <c r="C15" i="28255"/>
  <c r="C17" i="28255"/>
  <c r="C19" i="28255"/>
  <c r="E15" i="28255"/>
  <c r="E17" i="28255"/>
  <c r="E19" i="28255"/>
  <c r="E41" i="28255"/>
  <c r="G41" i="28241"/>
  <c r="AK38" i="28241"/>
  <c r="AK41" i="28241"/>
  <c r="AK40" i="28241"/>
  <c r="AL40" i="28241"/>
  <c r="AL38" i="28241"/>
  <c r="AL41" i="28241"/>
  <c r="Z43" i="28241"/>
  <c r="Z44" i="28241"/>
  <c r="H47" i="28241"/>
  <c r="AM39" i="28241"/>
  <c r="AM40" i="28241"/>
  <c r="AN39" i="28241"/>
  <c r="AN40" i="28241"/>
  <c r="G74" i="28247"/>
  <c r="B25" i="28265"/>
  <c r="B34" i="28265"/>
  <c r="B23" i="28265"/>
  <c r="B50" i="28265"/>
  <c r="I73" i="28247"/>
  <c r="E25" i="28265"/>
  <c r="E34" i="28265"/>
  <c r="E36" i="28265"/>
  <c r="E8" i="28265"/>
  <c r="E35" i="28265"/>
  <c r="E23" i="28265"/>
  <c r="E50" i="28265"/>
  <c r="E31" i="28265"/>
  <c r="E30" i="28265"/>
  <c r="E75" i="28265"/>
  <c r="D25" i="28265"/>
  <c r="D34" i="28265"/>
  <c r="D36" i="28265"/>
  <c r="D35" i="28265"/>
  <c r="D23" i="28265"/>
  <c r="D31" i="28265"/>
  <c r="D30" i="28265"/>
  <c r="D25" i="28264"/>
  <c r="D26" i="28264"/>
  <c r="D23" i="28264"/>
  <c r="D57" i="28264"/>
  <c r="D24" i="28264"/>
  <c r="D34" i="28264"/>
  <c r="D36" i="28264"/>
  <c r="D29" i="28255"/>
  <c r="D31" i="28255"/>
  <c r="B29" i="28255"/>
  <c r="B31" i="28255"/>
  <c r="D12" i="28264"/>
  <c r="D14" i="28264"/>
  <c r="D19" i="28264"/>
  <c r="D35" i="28264"/>
  <c r="D31" i="28264"/>
  <c r="D30" i="28264"/>
  <c r="D85" i="28264"/>
  <c r="G36" i="28264"/>
  <c r="G33" i="28264"/>
  <c r="G24" i="28264"/>
  <c r="G57" i="28264"/>
  <c r="H74" i="28247"/>
  <c r="E25" i="28264"/>
  <c r="E34" i="28264"/>
  <c r="E29" i="28255"/>
  <c r="E31" i="28255"/>
  <c r="C29" i="28255"/>
  <c r="C31" i="28255"/>
  <c r="E12" i="28264"/>
  <c r="E14" i="28264"/>
  <c r="E19" i="28264"/>
  <c r="E35" i="28264"/>
  <c r="E26" i="28264"/>
  <c r="E23" i="28264"/>
  <c r="E57" i="28264"/>
  <c r="E31" i="28264"/>
  <c r="E85" i="28264"/>
  <c r="E30" i="28264"/>
  <c r="J28" i="28260"/>
  <c r="K122" i="28247"/>
  <c r="K74" i="28247"/>
  <c r="K71" i="28247"/>
  <c r="L71" i="28247"/>
  <c r="L123" i="28247"/>
  <c r="M74" i="28247"/>
  <c r="M123" i="28247"/>
  <c r="J73" i="28247"/>
  <c r="J123" i="28247"/>
  <c r="K28" i="28260"/>
  <c r="E26" i="28265"/>
  <c r="E24" i="28265"/>
  <c r="C25" i="28265"/>
  <c r="C34" i="28265"/>
  <c r="C35" i="28265"/>
  <c r="C23" i="28265"/>
  <c r="C50" i="28265"/>
  <c r="C30" i="28265"/>
  <c r="C16" i="28265"/>
  <c r="C18" i="28265"/>
  <c r="C26" i="28265"/>
  <c r="C24" i="28265"/>
  <c r="C21" i="28265"/>
  <c r="C25" i="28264"/>
  <c r="C34" i="28264"/>
  <c r="C36" i="28264"/>
  <c r="C74" i="28264"/>
  <c r="C75" i="28264"/>
  <c r="C35" i="28264"/>
  <c r="C26" i="28264"/>
  <c r="C30" i="28264"/>
  <c r="C16" i="28264"/>
  <c r="C18" i="28264"/>
  <c r="C23" i="28264"/>
  <c r="C24" i="28264"/>
  <c r="C21" i="28264"/>
  <c r="E24" i="28264"/>
  <c r="B12" i="28265"/>
  <c r="B19" i="28265"/>
  <c r="B35" i="28265"/>
  <c r="B30" i="28265"/>
  <c r="B16" i="28265"/>
  <c r="B18" i="28265"/>
  <c r="B26" i="28265"/>
  <c r="B21" i="28265"/>
  <c r="D26" i="28265"/>
  <c r="B25" i="28264"/>
  <c r="B34" i="28264"/>
  <c r="B35" i="28264"/>
  <c r="B26" i="28264"/>
  <c r="B30" i="28264"/>
  <c r="B16" i="28264"/>
  <c r="B18" i="28264"/>
  <c r="B23" i="28264"/>
  <c r="B57" i="28264"/>
  <c r="B21" i="28264"/>
  <c r="B19" i="28260"/>
  <c r="B21" i="28260"/>
  <c r="B20" i="28260"/>
  <c r="B18" i="28260"/>
  <c r="B7" i="28260"/>
  <c r="B9" i="28260"/>
  <c r="F19" i="28260"/>
  <c r="F21" i="28260"/>
  <c r="F20" i="28260"/>
  <c r="F18" i="28260"/>
  <c r="F7" i="28260"/>
  <c r="F32" i="28260"/>
  <c r="E79" i="28265"/>
  <c r="E16" i="28265"/>
  <c r="C31" i="28265"/>
  <c r="C79" i="28265"/>
  <c r="B18" i="28259"/>
  <c r="B19" i="28259"/>
  <c r="B6" i="28259"/>
  <c r="B7" i="28259"/>
  <c r="B8" i="28259"/>
  <c r="B9" i="28259"/>
  <c r="D79" i="28241"/>
  <c r="B21" i="28263"/>
  <c r="C21" i="28263"/>
  <c r="F41" i="28260"/>
  <c r="F9" i="28260"/>
  <c r="D27" i="28262"/>
  <c r="D32" i="28262"/>
  <c r="D59" i="28262"/>
  <c r="D23" i="28262"/>
  <c r="E23" i="28262"/>
  <c r="B13" i="28262"/>
  <c r="C13" i="28262"/>
  <c r="C5" i="28255"/>
  <c r="C23" i="28255"/>
  <c r="B13" i="28255"/>
  <c r="B23" i="28263"/>
  <c r="B24" i="28263"/>
  <c r="B38" i="28263"/>
  <c r="B26" i="28263"/>
  <c r="B25" i="28263"/>
  <c r="D11" i="28241"/>
  <c r="E70" i="28247"/>
  <c r="E122" i="28247"/>
  <c r="E123" i="28247"/>
  <c r="H74" i="28241"/>
  <c r="E23" i="28255"/>
  <c r="D23" i="28255"/>
  <c r="R15" i="28241"/>
  <c r="AG63" i="28241"/>
  <c r="D15" i="28241"/>
  <c r="AM38" i="28241"/>
  <c r="B87" i="28263"/>
  <c r="B89" i="28263"/>
  <c r="F78" i="28241"/>
  <c r="Q70" i="28241"/>
  <c r="O36" i="28241"/>
  <c r="L34" i="28241"/>
  <c r="B34" i="28263"/>
  <c r="B35" i="28263"/>
  <c r="F21" i="28264"/>
  <c r="F21" i="28263"/>
  <c r="F18" i="28247"/>
  <c r="S28" i="28241"/>
  <c r="V38" i="28241"/>
  <c r="C19" i="28260"/>
  <c r="C21" i="28260"/>
  <c r="C20" i="28260"/>
  <c r="C18" i="28260"/>
  <c r="I18" i="28247"/>
  <c r="J18" i="28247"/>
  <c r="J19" i="28247"/>
  <c r="C18" i="28261"/>
  <c r="C42" i="28261"/>
  <c r="C19" i="28261"/>
  <c r="C21" i="28261"/>
  <c r="C34" i="28261"/>
  <c r="C12" i="28261"/>
  <c r="C15" i="28261"/>
  <c r="B12" i="28261"/>
  <c r="B15" i="28261"/>
  <c r="B18" i="28261"/>
  <c r="B19" i="28261"/>
  <c r="B21" i="28261"/>
  <c r="B34" i="28261"/>
  <c r="G23" i="28247"/>
  <c r="F24" i="28247"/>
  <c r="B14" i="28265"/>
  <c r="D16" i="28265"/>
  <c r="B31" i="28265"/>
  <c r="B79" i="28265"/>
  <c r="D79" i="28265"/>
  <c r="H24" i="28247"/>
  <c r="I23" i="28247"/>
  <c r="I24" i="28247"/>
  <c r="C18" i="28259"/>
  <c r="C34" i="28259"/>
  <c r="B34" i="28259"/>
  <c r="AG56" i="28241"/>
  <c r="AG57" i="28241"/>
  <c r="AG59" i="28241"/>
  <c r="K21" i="28260"/>
  <c r="K41" i="28260"/>
  <c r="K9" i="28260"/>
  <c r="J21" i="28260"/>
  <c r="J22" i="28260"/>
  <c r="J34" i="28260"/>
  <c r="J41" i="28260"/>
  <c r="J9" i="28260"/>
  <c r="J40" i="28260"/>
  <c r="J42" i="28260"/>
  <c r="K32" i="28260"/>
  <c r="J10" i="28260"/>
  <c r="J11" i="28260"/>
  <c r="J12" i="28260"/>
  <c r="J31" i="28260"/>
  <c r="J36" i="28260"/>
  <c r="J33" i="28260"/>
  <c r="K16" i="28260"/>
  <c r="J16" i="28260"/>
  <c r="K10" i="28260"/>
  <c r="K11" i="28260"/>
  <c r="K12" i="28260"/>
  <c r="G18" i="28260"/>
  <c r="G19" i="28260"/>
  <c r="G20" i="28260"/>
  <c r="G7" i="28260"/>
  <c r="H18" i="28260"/>
  <c r="H19" i="28260"/>
  <c r="H20" i="28260"/>
  <c r="H7" i="28260"/>
  <c r="H9" i="28260"/>
  <c r="I18" i="28260"/>
  <c r="I19" i="28260"/>
  <c r="I20" i="28260"/>
  <c r="I7" i="28260"/>
  <c r="I41" i="28260"/>
  <c r="G12" i="28263"/>
  <c r="G24" i="28263"/>
  <c r="G38" i="28263"/>
  <c r="G51" i="28263"/>
  <c r="G36" i="28263"/>
  <c r="G33" i="28263"/>
  <c r="G9" i="28263"/>
  <c r="G11" i="28263"/>
  <c r="G89" i="28263"/>
  <c r="F12" i="28263"/>
  <c r="F24" i="28263"/>
  <c r="F38" i="28263"/>
  <c r="F39" i="28263"/>
  <c r="F9" i="28263"/>
  <c r="F10" i="28263"/>
  <c r="F11" i="28263"/>
  <c r="F51" i="28263"/>
  <c r="F36" i="28263"/>
  <c r="F89" i="28263"/>
  <c r="G57" i="28263"/>
  <c r="F57" i="28263"/>
  <c r="F33" i="28263"/>
  <c r="G29" i="28263"/>
  <c r="F29" i="28263"/>
  <c r="F18" i="28263"/>
  <c r="G10" i="28263"/>
  <c r="F12" i="28264"/>
  <c r="F19" i="28264"/>
  <c r="F36" i="28264"/>
  <c r="F33" i="28264"/>
  <c r="F51" i="28264"/>
  <c r="F24" i="28264"/>
  <c r="F57" i="28264"/>
  <c r="F18" i="28264"/>
  <c r="F38" i="28264"/>
  <c r="G12" i="28264"/>
  <c r="G14" i="28264"/>
  <c r="G19" i="28264"/>
  <c r="G51" i="28264"/>
  <c r="G9" i="28264"/>
  <c r="D51" i="28264"/>
  <c r="E51" i="28264"/>
  <c r="G29" i="28264"/>
  <c r="G38" i="28264"/>
  <c r="G39" i="28264"/>
  <c r="G41" i="28264"/>
  <c r="G85" i="28264"/>
  <c r="B51" i="28264"/>
  <c r="B89" i="28264"/>
  <c r="D89" i="28264"/>
  <c r="E89" i="28264"/>
  <c r="C89" i="28264"/>
  <c r="C51" i="28264"/>
  <c r="C57" i="28264"/>
  <c r="C16" i="28263"/>
  <c r="C18" i="28263"/>
  <c r="B16" i="28263"/>
  <c r="B18" i="28263"/>
  <c r="E16" i="28263"/>
  <c r="D16" i="28263"/>
  <c r="D16" i="28264"/>
  <c r="E16" i="28264"/>
  <c r="E8" i="28263"/>
  <c r="E25" i="28263"/>
  <c r="E34" i="28263"/>
  <c r="E36" i="28263"/>
  <c r="E35" i="28263"/>
  <c r="E51" i="28263"/>
  <c r="D12" i="28263"/>
  <c r="D14" i="28263"/>
  <c r="D19" i="28263"/>
  <c r="D25" i="28263"/>
  <c r="D34" i="28263"/>
  <c r="D36" i="28263"/>
  <c r="D35" i="28263"/>
  <c r="D51" i="28263"/>
  <c r="D26" i="28263"/>
  <c r="D23" i="28263"/>
  <c r="D57" i="28263"/>
  <c r="E23" i="28263"/>
  <c r="E57" i="28263"/>
  <c r="C12" i="28263"/>
  <c r="C14" i="28263"/>
  <c r="C19" i="28263"/>
  <c r="C25" i="28263"/>
  <c r="C36" i="28263"/>
  <c r="C34" i="28263"/>
  <c r="C35" i="28263"/>
  <c r="C51" i="28263"/>
  <c r="C26" i="28263"/>
  <c r="C23" i="28263"/>
  <c r="C57" i="28263"/>
  <c r="B51" i="28263"/>
  <c r="B57" i="28263"/>
  <c r="C31" i="28264"/>
  <c r="B31" i="28264"/>
  <c r="C31" i="28263"/>
  <c r="D31" i="28263"/>
  <c r="E31" i="28263"/>
  <c r="B31" i="28263"/>
  <c r="E30" i="28263"/>
  <c r="D30" i="28263"/>
  <c r="C30" i="28263"/>
  <c r="B30" i="28263"/>
  <c r="C10" i="28263"/>
  <c r="C14" i="28264"/>
  <c r="G83" i="28247"/>
  <c r="F83" i="28247"/>
  <c r="D18" i="28260"/>
  <c r="E18" i="28260"/>
  <c r="K84" i="28247"/>
  <c r="K24" i="28247"/>
  <c r="C7" i="28260"/>
  <c r="C10" i="28260"/>
  <c r="C11" i="28260"/>
  <c r="C12" i="28260"/>
  <c r="C31" i="28260"/>
  <c r="G32" i="28260"/>
  <c r="L84" i="28247"/>
  <c r="L19" i="28247"/>
  <c r="D19" i="28260"/>
  <c r="D20" i="28260"/>
  <c r="D21" i="28260"/>
  <c r="D7" i="28260"/>
  <c r="D10" i="28260"/>
  <c r="D11" i="28260"/>
  <c r="D12" i="28260"/>
  <c r="D31" i="28260"/>
  <c r="H32" i="28260"/>
  <c r="I32" i="28260"/>
  <c r="I83" i="28247"/>
  <c r="E7" i="28260"/>
  <c r="E41" i="28260"/>
  <c r="E10" i="28260"/>
  <c r="E11" i="28260"/>
  <c r="E12" i="28260"/>
  <c r="E31" i="28260"/>
  <c r="E19" i="28260"/>
  <c r="E20" i="28260"/>
  <c r="M18" i="28247"/>
  <c r="M84" i="28247"/>
  <c r="M24" i="28247"/>
  <c r="H83" i="28247"/>
  <c r="H84" i="28247"/>
  <c r="I10" i="28260"/>
  <c r="I11" i="28260"/>
  <c r="I12" i="28260"/>
  <c r="F10" i="28260"/>
  <c r="F11" i="28260"/>
  <c r="F12" i="28260"/>
  <c r="I14" i="28260"/>
  <c r="I16" i="28260"/>
  <c r="H14" i="28260"/>
  <c r="H16" i="28260"/>
  <c r="G14" i="28260"/>
  <c r="G16" i="28260"/>
  <c r="F14" i="28260"/>
  <c r="F16" i="28260"/>
  <c r="G31" i="28247"/>
  <c r="I32" i="28247"/>
  <c r="F31" i="28247"/>
  <c r="E83" i="28247"/>
  <c r="E32" i="28247"/>
  <c r="E84" i="28247"/>
  <c r="E87" i="28263"/>
  <c r="E89" i="28263"/>
  <c r="C87" i="28263"/>
  <c r="C89" i="28263"/>
  <c r="D87" i="28263"/>
  <c r="D89" i="28263"/>
  <c r="C48" i="28259"/>
  <c r="C20" i="28259"/>
  <c r="C6" i="28259"/>
  <c r="C10" i="28259"/>
  <c r="C14" i="28259"/>
  <c r="C19" i="28259"/>
  <c r="C21" i="28259"/>
  <c r="C22" i="28259"/>
  <c r="C24" i="28259"/>
  <c r="C42" i="28259"/>
  <c r="AN38" i="28241"/>
  <c r="C6" i="28261"/>
  <c r="C22" i="28261"/>
  <c r="C24" i="28261"/>
  <c r="B6" i="28261"/>
  <c r="B7" i="28261"/>
  <c r="B8" i="28261"/>
  <c r="B9" i="28261"/>
  <c r="B22" i="28261"/>
  <c r="B24" i="28261"/>
  <c r="B20" i="28261"/>
  <c r="B58" i="28261"/>
  <c r="C58" i="28261"/>
  <c r="B21" i="28259"/>
  <c r="B10" i="28259"/>
  <c r="B14" i="28259"/>
  <c r="B22" i="28259"/>
  <c r="B24" i="28259"/>
  <c r="E21" i="28247"/>
  <c r="B12" i="28259"/>
  <c r="B15" i="28259"/>
  <c r="C7" i="28259"/>
  <c r="C8" i="28259"/>
  <c r="C9" i="28259"/>
  <c r="C12" i="28259"/>
  <c r="C15" i="28259"/>
  <c r="C69" i="28259"/>
  <c r="B69" i="28259"/>
  <c r="F124" i="28247"/>
  <c r="I20" i="28247"/>
  <c r="H124" i="28247"/>
  <c r="G20" i="28247"/>
  <c r="G125" i="28247"/>
  <c r="G21" i="28247"/>
  <c r="M20" i="28247"/>
  <c r="M125" i="28247"/>
  <c r="J31" i="28247"/>
  <c r="J21" i="28247"/>
  <c r="J32" i="28247"/>
  <c r="L21" i="28247"/>
  <c r="H72" i="28247"/>
  <c r="I72" i="28247"/>
  <c r="F72" i="28247"/>
  <c r="M72" i="28247"/>
  <c r="C9" i="28260"/>
  <c r="E9" i="28260"/>
  <c r="C14" i="28260"/>
  <c r="C16" i="28260"/>
  <c r="D14" i="28260"/>
  <c r="D16" i="28260"/>
  <c r="E14" i="28260"/>
  <c r="E16" i="28260"/>
  <c r="C40" i="28260"/>
  <c r="D40" i="28260"/>
  <c r="E40" i="28260"/>
  <c r="C41" i="28260"/>
  <c r="B14" i="28260"/>
  <c r="B16" i="28260"/>
  <c r="B40" i="28260"/>
  <c r="B41" i="28260"/>
  <c r="B42" i="28259"/>
  <c r="E72" i="28247"/>
  <c r="F80" i="28247"/>
  <c r="G80" i="28247"/>
  <c r="I80" i="28247"/>
  <c r="M80" i="28247"/>
  <c r="L80" i="28247"/>
  <c r="K81" i="28247"/>
  <c r="E115" i="28247"/>
  <c r="E116" i="28247"/>
  <c r="E77" i="28247"/>
  <c r="E81" i="28247"/>
  <c r="H76" i="28247"/>
  <c r="H116" i="28247"/>
  <c r="F54" i="28247"/>
  <c r="F55" i="28247"/>
  <c r="F120" i="28247"/>
  <c r="I119" i="28247"/>
  <c r="I76" i="28247"/>
  <c r="I77" i="28247"/>
  <c r="G54" i="28247"/>
  <c r="G120" i="28247"/>
  <c r="U4" i="28241"/>
  <c r="W29" i="28247"/>
  <c r="W78" i="28241"/>
  <c r="W77" i="28241"/>
  <c r="W76" i="28241"/>
  <c r="W75" i="28241"/>
  <c r="W74" i="28241"/>
  <c r="W73" i="28241"/>
  <c r="W72" i="28241"/>
  <c r="W71" i="28241"/>
  <c r="W70" i="28241"/>
  <c r="W69" i="28241"/>
  <c r="W68" i="28241"/>
  <c r="W67" i="28241"/>
  <c r="W66" i="28241"/>
  <c r="W65" i="28241"/>
  <c r="W64" i="28241"/>
  <c r="W60" i="28241"/>
  <c r="W59" i="28241"/>
  <c r="W58" i="28241"/>
  <c r="W57" i="28241"/>
  <c r="W56" i="28241"/>
  <c r="W55" i="28241"/>
  <c r="W54" i="28241"/>
  <c r="W53" i="28241"/>
  <c r="W52" i="28241"/>
  <c r="W51" i="28241"/>
  <c r="W50" i="28241"/>
  <c r="W49" i="28241"/>
  <c r="W48" i="28241"/>
  <c r="W47" i="28241"/>
  <c r="W46" i="28241"/>
  <c r="W42" i="28241"/>
  <c r="W41" i="28241"/>
  <c r="W40" i="28241"/>
  <c r="W39" i="28241"/>
  <c r="W38" i="28241"/>
  <c r="W37" i="28241"/>
  <c r="W36" i="28241"/>
  <c r="W35" i="28241"/>
  <c r="W34" i="28241"/>
  <c r="W33" i="28241"/>
  <c r="W32" i="28241"/>
  <c r="W31" i="28241"/>
  <c r="W30" i="28241"/>
  <c r="W29" i="28241"/>
  <c r="W28" i="28241"/>
  <c r="K78" i="28241"/>
  <c r="K77" i="28241"/>
  <c r="K76" i="28241"/>
  <c r="K75" i="28241"/>
  <c r="K74" i="28241"/>
  <c r="K73" i="28241"/>
  <c r="K72" i="28241"/>
  <c r="K71" i="28241"/>
  <c r="K70" i="28241"/>
  <c r="K69" i="28241"/>
  <c r="K68" i="28241"/>
  <c r="K67" i="28241"/>
  <c r="K66" i="28241"/>
  <c r="K65" i="28241"/>
  <c r="K64" i="28241"/>
  <c r="K60" i="28241"/>
  <c r="K59" i="28241"/>
  <c r="K58" i="28241"/>
  <c r="K57" i="28241"/>
  <c r="K56" i="28241"/>
  <c r="K55" i="28241"/>
  <c r="K54" i="28241"/>
  <c r="K53" i="28241"/>
  <c r="K52" i="28241"/>
  <c r="K51" i="28241"/>
  <c r="K50" i="28241"/>
  <c r="K49" i="28241"/>
  <c r="K48" i="28241"/>
  <c r="K47" i="28241"/>
  <c r="K46" i="28241"/>
  <c r="K42" i="28241"/>
  <c r="K41" i="28241"/>
  <c r="K40" i="28241"/>
  <c r="K39" i="28241"/>
  <c r="K38" i="28241"/>
  <c r="K37" i="28241"/>
  <c r="K36" i="28241"/>
  <c r="K35" i="28241"/>
  <c r="K34" i="28241"/>
  <c r="K33" i="28241"/>
  <c r="K32" i="28241"/>
  <c r="K31" i="28241"/>
  <c r="K30" i="28241"/>
  <c r="K29" i="28241"/>
  <c r="K28" i="28241"/>
  <c r="V79" i="28241"/>
  <c r="U79" i="28241"/>
  <c r="T79" i="28241"/>
  <c r="S79" i="28241"/>
  <c r="R79" i="28241"/>
  <c r="Q79" i="28241"/>
  <c r="P79" i="28241"/>
  <c r="O79" i="28241"/>
  <c r="N79" i="28241"/>
  <c r="M79" i="28241"/>
  <c r="L79" i="28241"/>
  <c r="V61" i="28241"/>
  <c r="U61" i="28241"/>
  <c r="T61" i="28241"/>
  <c r="S61" i="28241"/>
  <c r="R61" i="28241"/>
  <c r="Q61" i="28241"/>
  <c r="P61" i="28241"/>
  <c r="O61" i="28241"/>
  <c r="N61" i="28241"/>
  <c r="M61" i="28241"/>
  <c r="L61" i="28241"/>
  <c r="V43" i="28241"/>
  <c r="U43" i="28241"/>
  <c r="T43" i="28241"/>
  <c r="S43" i="28241"/>
  <c r="R43" i="28241"/>
  <c r="Q43" i="28241"/>
  <c r="P43" i="28241"/>
  <c r="O43" i="28241"/>
  <c r="N43" i="28241"/>
  <c r="M43" i="28241"/>
  <c r="L43" i="28241"/>
  <c r="V63" i="28241"/>
  <c r="U63" i="28241"/>
  <c r="T63" i="28241"/>
  <c r="S63" i="28241"/>
  <c r="R63" i="28241"/>
  <c r="Q63" i="28241"/>
  <c r="P63" i="28241"/>
  <c r="O63" i="28241"/>
  <c r="N63" i="28241"/>
  <c r="M63" i="28241"/>
  <c r="L63" i="28241"/>
  <c r="V45" i="28241"/>
  <c r="U45" i="28241"/>
  <c r="T45" i="28241"/>
  <c r="S45" i="28241"/>
  <c r="R45" i="28241"/>
  <c r="Q45" i="28241"/>
  <c r="P45" i="28241"/>
  <c r="O45" i="28241"/>
  <c r="N45" i="28241"/>
  <c r="M45" i="28241"/>
  <c r="L45" i="28241"/>
  <c r="V27" i="28241"/>
  <c r="U27" i="28241"/>
  <c r="T27" i="28241"/>
  <c r="S27" i="28241"/>
  <c r="R27" i="28241"/>
  <c r="Q27" i="28241"/>
  <c r="P27" i="28241"/>
  <c r="O27" i="28241"/>
  <c r="N27" i="28241"/>
  <c r="M27" i="28241"/>
  <c r="L27" i="28241"/>
  <c r="W11" i="28241"/>
  <c r="W12" i="28241"/>
  <c r="W13" i="28241"/>
  <c r="W14" i="28241"/>
  <c r="W15" i="28241"/>
  <c r="W16" i="28241"/>
  <c r="W17" i="28241"/>
  <c r="W18" i="28241"/>
  <c r="W19" i="28241"/>
  <c r="W20" i="28241"/>
  <c r="W21" i="28241"/>
  <c r="W22" i="28241"/>
  <c r="W23" i="28241"/>
  <c r="W24" i="28241"/>
  <c r="W10" i="28241"/>
  <c r="L25" i="28241"/>
  <c r="M25" i="28241"/>
  <c r="N25" i="28241"/>
  <c r="O25" i="28241"/>
  <c r="P25" i="28241"/>
  <c r="Q25" i="28241"/>
  <c r="R25" i="28241"/>
  <c r="S25" i="28241"/>
  <c r="T25" i="28241"/>
  <c r="U25" i="28241"/>
  <c r="V25" i="28241"/>
  <c r="K11" i="28241"/>
  <c r="K12" i="28241"/>
  <c r="K13" i="28241"/>
  <c r="K14" i="28241"/>
  <c r="K15" i="28241"/>
  <c r="K16" i="28241"/>
  <c r="K17" i="28241"/>
  <c r="K18" i="28241"/>
  <c r="K19" i="28241"/>
  <c r="K20" i="28241"/>
  <c r="K21" i="28241"/>
  <c r="K22" i="28241"/>
  <c r="K23" i="28241"/>
  <c r="K24" i="28241"/>
  <c r="K10" i="28241"/>
  <c r="M9" i="28241"/>
  <c r="N9" i="28241"/>
  <c r="O9" i="28241"/>
  <c r="P9" i="28241"/>
  <c r="Q9" i="28241"/>
  <c r="R9" i="28241"/>
  <c r="S9" i="28241"/>
  <c r="T9" i="28241"/>
  <c r="U9" i="28241"/>
  <c r="V9" i="28241"/>
  <c r="L9" i="28241"/>
  <c r="F112" i="28247"/>
  <c r="F34" i="28247"/>
  <c r="F35" i="28247"/>
  <c r="G112" i="28247"/>
  <c r="G34" i="28247"/>
  <c r="G126" i="28247"/>
  <c r="H34" i="28247"/>
  <c r="H113" i="28247"/>
  <c r="H126" i="28247"/>
  <c r="H35" i="28247"/>
  <c r="I126" i="28247"/>
  <c r="I35" i="28247"/>
  <c r="E34" i="28247"/>
  <c r="E54" i="28247"/>
  <c r="E113" i="28247"/>
  <c r="E55" i="28247"/>
  <c r="E120" i="28247"/>
  <c r="K119" i="28247"/>
  <c r="K115" i="28247"/>
  <c r="K76" i="28247"/>
  <c r="K126" i="28247"/>
  <c r="K120" i="28247"/>
  <c r="K77" i="28247"/>
  <c r="L112" i="28247"/>
  <c r="L34" i="28247"/>
  <c r="L22" i="28247"/>
  <c r="L113" i="28247"/>
  <c r="L35" i="28247"/>
  <c r="L55" i="28247"/>
  <c r="L77" i="28247"/>
  <c r="M54" i="28247"/>
  <c r="M119" i="28247"/>
  <c r="M113" i="28247"/>
  <c r="M126" i="28247"/>
  <c r="M35" i="28247"/>
  <c r="M116" i="28247"/>
  <c r="J34" i="28247"/>
  <c r="J119" i="28247"/>
  <c r="J115" i="28247"/>
  <c r="J76" i="28247"/>
  <c r="J55" i="28247"/>
  <c r="J120" i="28247"/>
  <c r="J77" i="28247"/>
  <c r="G132" i="28247"/>
  <c r="BJ133" i="28247"/>
  <c r="BI133" i="28247"/>
  <c r="BJ120" i="28247"/>
  <c r="BI120" i="28247"/>
  <c r="BJ107" i="28247"/>
  <c r="BI107" i="28247"/>
  <c r="BJ94" i="28247"/>
  <c r="BI94" i="28247"/>
  <c r="BJ81" i="28247"/>
  <c r="BI81" i="28247"/>
  <c r="BJ68" i="28247"/>
  <c r="BI68" i="28247"/>
  <c r="BJ55" i="28247"/>
  <c r="BI55" i="28247"/>
  <c r="BG55" i="28247"/>
  <c r="BJ42" i="28247"/>
  <c r="BI42" i="28247"/>
  <c r="BG42" i="28247"/>
  <c r="BJ29" i="28247"/>
  <c r="BI29" i="28247"/>
  <c r="BG29" i="28247"/>
  <c r="DP133" i="28247"/>
  <c r="DO133" i="28247"/>
  <c r="DP120" i="28247"/>
  <c r="DO120" i="28247"/>
  <c r="DP107" i="28247"/>
  <c r="DO107" i="28247"/>
  <c r="DP94" i="28247"/>
  <c r="DO94" i="28247"/>
  <c r="DP81" i="28247"/>
  <c r="DO81" i="28247"/>
  <c r="DP68" i="28247"/>
  <c r="DO68" i="28247"/>
  <c r="DP55" i="28247"/>
  <c r="DO55" i="28247"/>
  <c r="DM55" i="28247"/>
  <c r="DP42" i="28247"/>
  <c r="DO42" i="28247"/>
  <c r="DM42" i="28247"/>
  <c r="DP29" i="28247"/>
  <c r="DO29" i="28247"/>
  <c r="DM29" i="28247"/>
  <c r="CV15" i="28247"/>
  <c r="CI15" i="28247"/>
  <c r="DC133" i="28247"/>
  <c r="DB132" i="28247"/>
  <c r="DB133" i="28247"/>
  <c r="DC120" i="28247"/>
  <c r="DB119" i="28247"/>
  <c r="DB120" i="28247"/>
  <c r="DC107" i="28247"/>
  <c r="DB106" i="28247"/>
  <c r="DB107" i="28247"/>
  <c r="DC94" i="28247"/>
  <c r="DB93" i="28247"/>
  <c r="DB94" i="28247"/>
  <c r="DC81" i="28247"/>
  <c r="DB80" i="28247"/>
  <c r="DB81" i="28247"/>
  <c r="DC68" i="28247"/>
  <c r="DB67" i="28247"/>
  <c r="DB68" i="28247"/>
  <c r="DC55" i="28247"/>
  <c r="DB54" i="28247"/>
  <c r="DB55" i="28247"/>
  <c r="DC42" i="28247"/>
  <c r="DB41" i="28247"/>
  <c r="DB42" i="28247"/>
  <c r="DC29" i="28247"/>
  <c r="DB28" i="28247"/>
  <c r="DB29" i="28247"/>
  <c r="W133" i="28247"/>
  <c r="I133" i="28247"/>
  <c r="V133" i="28247"/>
  <c r="W120" i="28247"/>
  <c r="V120" i="28247"/>
  <c r="W107" i="28247"/>
  <c r="V107" i="28247"/>
  <c r="W94" i="28247"/>
  <c r="V94" i="28247"/>
  <c r="W81" i="28247"/>
  <c r="V81" i="28247"/>
  <c r="W68" i="28247"/>
  <c r="V68" i="28247"/>
  <c r="W55" i="28247"/>
  <c r="I55" i="28247"/>
  <c r="V55" i="28247"/>
  <c r="W42" i="28247"/>
  <c r="V42" i="28247"/>
  <c r="V29" i="28247"/>
  <c r="AJ132" i="28247"/>
  <c r="AJ133" i="28247"/>
  <c r="AI132" i="28247"/>
  <c r="AI133" i="28247"/>
  <c r="AJ119" i="28247"/>
  <c r="AJ120" i="28247"/>
  <c r="AI119" i="28247"/>
  <c r="AI120" i="28247"/>
  <c r="AJ107" i="28247"/>
  <c r="AI106" i="28247"/>
  <c r="AI107" i="28247"/>
  <c r="AJ93" i="28247"/>
  <c r="AJ94" i="28247"/>
  <c r="AI93" i="28247"/>
  <c r="AI94" i="28247"/>
  <c r="AJ80" i="28247"/>
  <c r="AJ81" i="28247"/>
  <c r="AI80" i="28247"/>
  <c r="AI81" i="28247"/>
  <c r="AJ68" i="28247"/>
  <c r="AI67" i="28247"/>
  <c r="AI68" i="28247"/>
  <c r="AJ54" i="28247"/>
  <c r="AJ55" i="28247"/>
  <c r="AI54" i="28247"/>
  <c r="AI55" i="28247"/>
  <c r="AJ41" i="28247"/>
  <c r="AJ42" i="28247"/>
  <c r="AI41" i="28247"/>
  <c r="AI42" i="28247"/>
  <c r="AJ29" i="28247"/>
  <c r="AI28" i="28247"/>
  <c r="AI29" i="28247"/>
  <c r="AW29" i="28247"/>
  <c r="AV28" i="28247"/>
  <c r="AV29" i="28247"/>
  <c r="AW132" i="28247"/>
  <c r="AW133" i="28247"/>
  <c r="AV132" i="28247"/>
  <c r="AV133" i="28247"/>
  <c r="AW119" i="28247"/>
  <c r="AW120" i="28247"/>
  <c r="AV119" i="28247"/>
  <c r="AV120" i="28247"/>
  <c r="AW107" i="28247"/>
  <c r="AV106" i="28247"/>
  <c r="AV107" i="28247"/>
  <c r="AW93" i="28247"/>
  <c r="AW94" i="28247"/>
  <c r="AV93" i="28247"/>
  <c r="AV94" i="28247"/>
  <c r="AW80" i="28247"/>
  <c r="AW81" i="28247"/>
  <c r="AV80" i="28247"/>
  <c r="AV81" i="28247"/>
  <c r="AW68" i="28247"/>
  <c r="AV67" i="28247"/>
  <c r="AV68" i="28247"/>
  <c r="AW54" i="28247"/>
  <c r="AW55" i="28247"/>
  <c r="AV54" i="28247"/>
  <c r="AV55" i="28247"/>
  <c r="AW41" i="28247"/>
  <c r="AW42" i="28247"/>
  <c r="AV41" i="28247"/>
  <c r="AV42" i="28247"/>
  <c r="CP133" i="28247"/>
  <c r="CB132" i="28247"/>
  <c r="CF132" i="28247"/>
  <c r="BT132" i="28247"/>
  <c r="CC132" i="28247"/>
  <c r="CP120" i="28247"/>
  <c r="CB119" i="28247"/>
  <c r="CE119" i="28247"/>
  <c r="CP107" i="28247"/>
  <c r="CB106" i="28247"/>
  <c r="CP94" i="28247"/>
  <c r="CB93" i="28247"/>
  <c r="CD93" i="28247"/>
  <c r="CF93" i="28247"/>
  <c r="CC93" i="28247"/>
  <c r="CG93" i="28247"/>
  <c r="BV93" i="28247"/>
  <c r="BV94" i="28247"/>
  <c r="CP81" i="28247"/>
  <c r="CB80" i="28247"/>
  <c r="CC80" i="28247"/>
  <c r="CF80" i="28247"/>
  <c r="CD80" i="28247"/>
  <c r="CE80" i="28247"/>
  <c r="CP68" i="28247"/>
  <c r="CB67" i="28247"/>
  <c r="CD67" i="28247"/>
  <c r="CP55" i="28247"/>
  <c r="CB54" i="28247"/>
  <c r="CP42" i="28247"/>
  <c r="CB41" i="28247"/>
  <c r="CC41" i="28247"/>
  <c r="CE41" i="28247"/>
  <c r="CG41" i="28247"/>
  <c r="BV41" i="28247"/>
  <c r="BV42" i="28247"/>
  <c r="CP29" i="28247"/>
  <c r="CB28" i="28247"/>
  <c r="CC28" i="28247"/>
  <c r="CG28" i="28247"/>
  <c r="BV28" i="28247"/>
  <c r="BV29" i="28247"/>
  <c r="CF28" i="28247"/>
  <c r="BT28" i="28247"/>
  <c r="BI9" i="28247"/>
  <c r="BJ9" i="28247"/>
  <c r="BF9" i="28247"/>
  <c r="BG9" i="28247"/>
  <c r="AG31" i="28247"/>
  <c r="AG32" i="28247"/>
  <c r="CB39" i="28247"/>
  <c r="CF39" i="28247"/>
  <c r="CC39" i="28247"/>
  <c r="CG39" i="28247"/>
  <c r="BV39" i="28247"/>
  <c r="CE39" i="28247"/>
  <c r="CZ39" i="28247"/>
  <c r="CB19" i="28247"/>
  <c r="CF19" i="28247"/>
  <c r="BT19" i="28247"/>
  <c r="CY19" i="28247"/>
  <c r="CC19" i="28247"/>
  <c r="CG19" i="28247"/>
  <c r="BV19" i="28247"/>
  <c r="CZ19" i="28247"/>
  <c r="DB19" i="28247"/>
  <c r="CB20" i="28247"/>
  <c r="CC20" i="28247"/>
  <c r="CG20" i="28247"/>
  <c r="BV20" i="28247"/>
  <c r="CF20" i="28247"/>
  <c r="CY20" i="28247"/>
  <c r="CZ20" i="28247"/>
  <c r="DB20" i="28247"/>
  <c r="CB21" i="28247"/>
  <c r="CF21" i="28247"/>
  <c r="BT21" i="28247"/>
  <c r="BS21" i="28247"/>
  <c r="CL21" i="28247"/>
  <c r="CY21" i="28247"/>
  <c r="CC21" i="28247"/>
  <c r="CG21" i="28247"/>
  <c r="BV21" i="28247"/>
  <c r="CO21" i="28247"/>
  <c r="CZ21" i="28247"/>
  <c r="DB21" i="28247"/>
  <c r="CB22" i="28247"/>
  <c r="CY22" i="28247"/>
  <c r="CZ22" i="28247"/>
  <c r="DB22" i="28247"/>
  <c r="CB23" i="28247"/>
  <c r="CY23" i="28247"/>
  <c r="CZ23" i="28247"/>
  <c r="DB23" i="28247"/>
  <c r="CB24" i="28247"/>
  <c r="CC24" i="28247"/>
  <c r="CY24" i="28247"/>
  <c r="CG24" i="28247"/>
  <c r="BV24" i="28247"/>
  <c r="CZ24" i="28247"/>
  <c r="DB24" i="28247"/>
  <c r="CB25" i="28247"/>
  <c r="CY25" i="28247"/>
  <c r="CZ25" i="28247"/>
  <c r="DB25" i="28247"/>
  <c r="CB26" i="28247"/>
  <c r="CF26" i="28247"/>
  <c r="BT26" i="28247"/>
  <c r="BS26" i="28247"/>
  <c r="CL26" i="28247"/>
  <c r="CY26" i="28247"/>
  <c r="CC26" i="28247"/>
  <c r="CG26" i="28247"/>
  <c r="BV26" i="28247"/>
  <c r="CO26" i="28247"/>
  <c r="CZ26" i="28247"/>
  <c r="DB26" i="28247"/>
  <c r="CB27" i="28247"/>
  <c r="CF27" i="28247"/>
  <c r="BT27" i="28247"/>
  <c r="CY27" i="28247"/>
  <c r="CC27" i="28247"/>
  <c r="CG27" i="28247"/>
  <c r="BV27" i="28247"/>
  <c r="CZ27" i="28247"/>
  <c r="DB27" i="28247"/>
  <c r="CY28" i="28247"/>
  <c r="CZ28" i="28247"/>
  <c r="CZ29" i="28247"/>
  <c r="CB31" i="28247"/>
  <c r="CY31" i="28247"/>
  <c r="CE31" i="28247"/>
  <c r="CZ31" i="28247"/>
  <c r="DB31" i="28247"/>
  <c r="CB32" i="28247"/>
  <c r="CF32" i="28247"/>
  <c r="CY32" i="28247"/>
  <c r="CC32" i="28247"/>
  <c r="BW32" i="28247"/>
  <c r="CE32" i="28247"/>
  <c r="CZ32" i="28247"/>
  <c r="DB32" i="28247"/>
  <c r="CB33" i="28247"/>
  <c r="CY33" i="28247"/>
  <c r="CE33" i="28247"/>
  <c r="CZ33" i="28247"/>
  <c r="DB33" i="28247"/>
  <c r="CB34" i="28247"/>
  <c r="CY34" i="28247"/>
  <c r="CE34" i="28247"/>
  <c r="CZ34" i="28247"/>
  <c r="DB34" i="28247"/>
  <c r="CB35" i="28247"/>
  <c r="CF35" i="28247"/>
  <c r="CY35" i="28247"/>
  <c r="CC35" i="28247"/>
  <c r="CG35" i="28247"/>
  <c r="BV35" i="28247"/>
  <c r="CM35" i="28247"/>
  <c r="CE35" i="28247"/>
  <c r="CZ35" i="28247"/>
  <c r="DB35" i="28247"/>
  <c r="CB36" i="28247"/>
  <c r="CF36" i="28247"/>
  <c r="BT36" i="28247"/>
  <c r="BS36" i="28247"/>
  <c r="CL36" i="28247"/>
  <c r="CY36" i="28247"/>
  <c r="CC36" i="28247"/>
  <c r="CE36" i="28247"/>
  <c r="CZ36" i="28247"/>
  <c r="DB36" i="28247"/>
  <c r="CB37" i="28247"/>
  <c r="CC37" i="28247"/>
  <c r="CF37" i="28247"/>
  <c r="BS37" i="28247"/>
  <c r="CL37" i="28247"/>
  <c r="CY37" i="28247"/>
  <c r="CE37" i="28247"/>
  <c r="CG37" i="28247"/>
  <c r="BV37" i="28247"/>
  <c r="CZ37" i="28247"/>
  <c r="DB37" i="28247"/>
  <c r="CB38" i="28247"/>
  <c r="CY38" i="28247"/>
  <c r="CE38" i="28247"/>
  <c r="CZ38" i="28247"/>
  <c r="DB38" i="28247"/>
  <c r="CY39" i="28247"/>
  <c r="DB39" i="28247"/>
  <c r="CB40" i="28247"/>
  <c r="CY40" i="28247"/>
  <c r="CE40" i="28247"/>
  <c r="CZ40" i="28247"/>
  <c r="DB40" i="28247"/>
  <c r="CY41" i="28247"/>
  <c r="CZ41" i="28247"/>
  <c r="CZ42" i="28247"/>
  <c r="CB44" i="28247"/>
  <c r="CY44" i="28247"/>
  <c r="CZ44" i="28247"/>
  <c r="DB44" i="28247"/>
  <c r="CB45" i="28247"/>
  <c r="CC45" i="28247"/>
  <c r="CG45" i="28247"/>
  <c r="CY45" i="28247"/>
  <c r="BV45" i="28247"/>
  <c r="CZ45" i="28247"/>
  <c r="DB45" i="28247"/>
  <c r="CB46" i="28247"/>
  <c r="CC46" i="28247"/>
  <c r="CF46" i="28247"/>
  <c r="CY46" i="28247"/>
  <c r="CG46" i="28247"/>
  <c r="BV46" i="28247"/>
  <c r="CZ46" i="28247"/>
  <c r="DB46" i="28247"/>
  <c r="CB47" i="28247"/>
  <c r="CF47" i="28247"/>
  <c r="CY47" i="28247"/>
  <c r="CZ47" i="28247"/>
  <c r="DB47" i="28247"/>
  <c r="CB48" i="28247"/>
  <c r="CF48" i="28247"/>
  <c r="BT48" i="28247"/>
  <c r="CC48" i="28247"/>
  <c r="CY48" i="28247"/>
  <c r="CZ48" i="28247"/>
  <c r="DB48" i="28247"/>
  <c r="CB49" i="28247"/>
  <c r="CC49" i="28247"/>
  <c r="CG49" i="28247"/>
  <c r="CF49" i="28247"/>
  <c r="CY49" i="28247"/>
  <c r="BV49" i="28247"/>
  <c r="CZ49" i="28247"/>
  <c r="DB49" i="28247"/>
  <c r="CB50" i="28247"/>
  <c r="CC50" i="28247"/>
  <c r="CF50" i="28247"/>
  <c r="BS50" i="28247"/>
  <c r="CL50" i="28247"/>
  <c r="CY50" i="28247"/>
  <c r="BT50" i="28247"/>
  <c r="CG50" i="28247"/>
  <c r="BV50" i="28247"/>
  <c r="CZ50" i="28247"/>
  <c r="DB50" i="28247"/>
  <c r="CB51" i="28247"/>
  <c r="CY51" i="28247"/>
  <c r="CZ51" i="28247"/>
  <c r="DB51" i="28247"/>
  <c r="CB52" i="28247"/>
  <c r="CY52" i="28247"/>
  <c r="CZ52" i="28247"/>
  <c r="DB52" i="28247"/>
  <c r="CB53" i="28247"/>
  <c r="CY53" i="28247"/>
  <c r="CZ53" i="28247"/>
  <c r="DB53" i="28247"/>
  <c r="CY54" i="28247"/>
  <c r="CZ54" i="28247"/>
  <c r="CZ55" i="28247"/>
  <c r="CB57" i="28247"/>
  <c r="CY57" i="28247"/>
  <c r="CD57" i="28247"/>
  <c r="CZ57" i="28247"/>
  <c r="DB57" i="28247"/>
  <c r="CB58" i="28247"/>
  <c r="CY58" i="28247"/>
  <c r="CD58" i="28247"/>
  <c r="CZ58" i="28247"/>
  <c r="DB58" i="28247"/>
  <c r="CB59" i="28247"/>
  <c r="CY59" i="28247"/>
  <c r="CD59" i="28247"/>
  <c r="CZ59" i="28247"/>
  <c r="DB59" i="28247"/>
  <c r="CB60" i="28247"/>
  <c r="CC60" i="28247"/>
  <c r="CG60" i="28247"/>
  <c r="BS60" i="28247"/>
  <c r="CL60" i="28247"/>
  <c r="CY60" i="28247"/>
  <c r="CD60" i="28247"/>
  <c r="CF60" i="28247"/>
  <c r="BT60" i="28247"/>
  <c r="CZ60" i="28247"/>
  <c r="DB60" i="28247"/>
  <c r="CB61" i="28247"/>
  <c r="CY61" i="28247"/>
  <c r="CD61" i="28247"/>
  <c r="CZ61" i="28247"/>
  <c r="DB61" i="28247"/>
  <c r="CB62" i="28247"/>
  <c r="CY62" i="28247"/>
  <c r="CD62" i="28247"/>
  <c r="CZ62" i="28247"/>
  <c r="DB62" i="28247"/>
  <c r="CB63" i="28247"/>
  <c r="CY63" i="28247"/>
  <c r="CD63" i="28247"/>
  <c r="CZ63" i="28247"/>
  <c r="DB63" i="28247"/>
  <c r="CB64" i="28247"/>
  <c r="CC64" i="28247"/>
  <c r="CG64" i="28247"/>
  <c r="BS64" i="28247"/>
  <c r="CY64" i="28247"/>
  <c r="CD64" i="28247"/>
  <c r="CF64" i="28247"/>
  <c r="BT64" i="28247"/>
  <c r="CZ64" i="28247"/>
  <c r="DB64" i="28247"/>
  <c r="CB65" i="28247"/>
  <c r="CY65" i="28247"/>
  <c r="CD65" i="28247"/>
  <c r="CZ65" i="28247"/>
  <c r="DB65" i="28247"/>
  <c r="CB66" i="28247"/>
  <c r="CY66" i="28247"/>
  <c r="CD66" i="28247"/>
  <c r="CZ66" i="28247"/>
  <c r="DB66" i="28247"/>
  <c r="CY67" i="28247"/>
  <c r="CZ67" i="28247"/>
  <c r="CB70" i="28247"/>
  <c r="CD70" i="28247"/>
  <c r="CY70" i="28247"/>
  <c r="CE70" i="28247"/>
  <c r="CZ70" i="28247"/>
  <c r="DB70" i="28247"/>
  <c r="CB71" i="28247"/>
  <c r="CD71" i="28247"/>
  <c r="CY71" i="28247"/>
  <c r="CE71" i="28247"/>
  <c r="CZ71" i="28247"/>
  <c r="DB71" i="28247"/>
  <c r="CB72" i="28247"/>
  <c r="CD72" i="28247"/>
  <c r="CY72" i="28247"/>
  <c r="CE72" i="28247"/>
  <c r="CZ72" i="28247"/>
  <c r="DB72" i="28247"/>
  <c r="CB73" i="28247"/>
  <c r="CD73" i="28247"/>
  <c r="CY73" i="28247"/>
  <c r="CE73" i="28247"/>
  <c r="CZ73" i="28247"/>
  <c r="DB73" i="28247"/>
  <c r="CB74" i="28247"/>
  <c r="CD74" i="28247"/>
  <c r="CF74" i="28247"/>
  <c r="BS74" i="28247"/>
  <c r="CL74" i="28247"/>
  <c r="CY74" i="28247"/>
  <c r="BT74" i="28247"/>
  <c r="CM74" i="28247"/>
  <c r="CC74" i="28247"/>
  <c r="CG74" i="28247"/>
  <c r="CE74" i="28247"/>
  <c r="BV74" i="28247"/>
  <c r="CZ74" i="28247"/>
  <c r="DB74" i="28247"/>
  <c r="CB75" i="28247"/>
  <c r="BU75" i="28247"/>
  <c r="CF75" i="28247"/>
  <c r="CD75" i="28247"/>
  <c r="CY75" i="28247"/>
  <c r="CE75" i="28247"/>
  <c r="CZ75" i="28247"/>
  <c r="DB75" i="28247"/>
  <c r="CB76" i="28247"/>
  <c r="CD76" i="28247"/>
  <c r="CF76" i="28247"/>
  <c r="BS76" i="28247"/>
  <c r="CL76" i="28247"/>
  <c r="CY76" i="28247"/>
  <c r="CE76" i="28247"/>
  <c r="CZ76" i="28247"/>
  <c r="DB76" i="28247"/>
  <c r="CB77" i="28247"/>
  <c r="CC77" i="28247"/>
  <c r="CD77" i="28247"/>
  <c r="CF77" i="28247"/>
  <c r="BS77" i="28247"/>
  <c r="CL77" i="28247"/>
  <c r="CY77" i="28247"/>
  <c r="CE77" i="28247"/>
  <c r="CZ77" i="28247"/>
  <c r="DB77" i="28247"/>
  <c r="CB78" i="28247"/>
  <c r="CF78" i="28247"/>
  <c r="CD78" i="28247"/>
  <c r="CY78" i="28247"/>
  <c r="CE78" i="28247"/>
  <c r="CZ78" i="28247"/>
  <c r="DB78" i="28247"/>
  <c r="CB79" i="28247"/>
  <c r="CF79" i="28247"/>
  <c r="BS79" i="28247"/>
  <c r="CL79" i="28247"/>
  <c r="CD79" i="28247"/>
  <c r="CY79" i="28247"/>
  <c r="CC79" i="28247"/>
  <c r="CE79" i="28247"/>
  <c r="CZ79" i="28247"/>
  <c r="DB79" i="28247"/>
  <c r="CY80" i="28247"/>
  <c r="CZ80" i="28247"/>
  <c r="CB83" i="28247"/>
  <c r="CF83" i="28247"/>
  <c r="BT83" i="28247"/>
  <c r="CD83" i="28247"/>
  <c r="CY83" i="28247"/>
  <c r="CZ83" i="28247"/>
  <c r="DB83" i="28247"/>
  <c r="CB84" i="28247"/>
  <c r="CC84" i="28247"/>
  <c r="CG84" i="28247"/>
  <c r="CD84" i="28247"/>
  <c r="CF84" i="28247"/>
  <c r="BS84" i="28247"/>
  <c r="CY84" i="28247"/>
  <c r="BV84" i="28247"/>
  <c r="CZ84" i="28247"/>
  <c r="DB84" i="28247"/>
  <c r="CB85" i="28247"/>
  <c r="CF85" i="28247"/>
  <c r="CD85" i="28247"/>
  <c r="CY85" i="28247"/>
  <c r="CZ85" i="28247"/>
  <c r="DB85" i="28247"/>
  <c r="CB86" i="28247"/>
  <c r="CC86" i="28247"/>
  <c r="CG86" i="28247"/>
  <c r="BV86" i="28247"/>
  <c r="CD86" i="28247"/>
  <c r="CF86" i="28247"/>
  <c r="CY86" i="28247"/>
  <c r="CZ86" i="28247"/>
  <c r="DB86" i="28247"/>
  <c r="CB87" i="28247"/>
  <c r="CF87" i="28247"/>
  <c r="BT87" i="28247"/>
  <c r="CD87" i="28247"/>
  <c r="CY87" i="28247"/>
  <c r="CZ87" i="28247"/>
  <c r="DB87" i="28247"/>
  <c r="CB88" i="28247"/>
  <c r="CC88" i="28247"/>
  <c r="CD88" i="28247"/>
  <c r="CF88" i="28247"/>
  <c r="CY88" i="28247"/>
  <c r="CZ88" i="28247"/>
  <c r="DB88" i="28247"/>
  <c r="CB89" i="28247"/>
  <c r="BU89" i="28247"/>
  <c r="CD89" i="28247"/>
  <c r="CY89" i="28247"/>
  <c r="CZ89" i="28247"/>
  <c r="DB89" i="28247"/>
  <c r="CB90" i="28247"/>
  <c r="CC90" i="28247"/>
  <c r="CG90" i="28247"/>
  <c r="CD90" i="28247"/>
  <c r="CF90" i="28247"/>
  <c r="CY90" i="28247"/>
  <c r="BV90" i="28247"/>
  <c r="CZ90" i="28247"/>
  <c r="DB90" i="28247"/>
  <c r="CB91" i="28247"/>
  <c r="CF91" i="28247"/>
  <c r="BS91" i="28247"/>
  <c r="BT91" i="28247"/>
  <c r="CD91" i="28247"/>
  <c r="CY91" i="28247"/>
  <c r="CZ91" i="28247"/>
  <c r="DB91" i="28247"/>
  <c r="CB92" i="28247"/>
  <c r="CC92" i="28247"/>
  <c r="CD92" i="28247"/>
  <c r="CF92" i="28247"/>
  <c r="BS92" i="28247"/>
  <c r="CY92" i="28247"/>
  <c r="CZ92" i="28247"/>
  <c r="DB92" i="28247"/>
  <c r="CY93" i="28247"/>
  <c r="CZ93" i="28247"/>
  <c r="CB96" i="28247"/>
  <c r="CY96" i="28247"/>
  <c r="CZ96" i="28247"/>
  <c r="DB96" i="28247"/>
  <c r="CB97" i="28247"/>
  <c r="CC97" i="28247"/>
  <c r="CG97" i="28247"/>
  <c r="BV97" i="28247"/>
  <c r="CY97" i="28247"/>
  <c r="CF97" i="28247"/>
  <c r="BT97" i="28247"/>
  <c r="CZ97" i="28247"/>
  <c r="DB97" i="28247"/>
  <c r="CB98" i="28247"/>
  <c r="CC98" i="28247"/>
  <c r="CG98" i="28247"/>
  <c r="CY98" i="28247"/>
  <c r="CZ98" i="28247"/>
  <c r="DB98" i="28247"/>
  <c r="CB99" i="28247"/>
  <c r="CY99" i="28247"/>
  <c r="CZ99" i="28247"/>
  <c r="DB99" i="28247"/>
  <c r="CB100" i="28247"/>
  <c r="CC100" i="28247"/>
  <c r="CG100" i="28247"/>
  <c r="CY100" i="28247"/>
  <c r="CZ100" i="28247"/>
  <c r="DB100" i="28247"/>
  <c r="CB101" i="28247"/>
  <c r="CY101" i="28247"/>
  <c r="CZ101" i="28247"/>
  <c r="DB101" i="28247"/>
  <c r="CB102" i="28247"/>
  <c r="CF102" i="28247"/>
  <c r="BT102" i="28247"/>
  <c r="CC102" i="28247"/>
  <c r="CG102" i="28247"/>
  <c r="CY102" i="28247"/>
  <c r="CZ102" i="28247"/>
  <c r="DB102" i="28247"/>
  <c r="CB103" i="28247"/>
  <c r="CC103" i="28247"/>
  <c r="CF103" i="28247"/>
  <c r="BT103" i="28247"/>
  <c r="CG103" i="28247"/>
  <c r="BV103" i="28247"/>
  <c r="BS103" i="28247"/>
  <c r="CL103" i="28247"/>
  <c r="CY103" i="28247"/>
  <c r="CZ103" i="28247"/>
  <c r="DB103" i="28247"/>
  <c r="CB104" i="28247"/>
  <c r="CC104" i="28247"/>
  <c r="CG104" i="28247"/>
  <c r="CY104" i="28247"/>
  <c r="CZ104" i="28247"/>
  <c r="DB104" i="28247"/>
  <c r="CB105" i="28247"/>
  <c r="CY105" i="28247"/>
  <c r="CZ105" i="28247"/>
  <c r="DB105" i="28247"/>
  <c r="CY106" i="28247"/>
  <c r="CZ106" i="28247"/>
  <c r="CB109" i="28247"/>
  <c r="CF109" i="28247"/>
  <c r="BT109" i="28247"/>
  <c r="CE109" i="28247"/>
  <c r="CY109" i="28247"/>
  <c r="CZ109" i="28247"/>
  <c r="DB109" i="28247"/>
  <c r="CB110" i="28247"/>
  <c r="CE110" i="28247"/>
  <c r="CY110" i="28247"/>
  <c r="CZ110" i="28247"/>
  <c r="DB110" i="28247"/>
  <c r="CB111" i="28247"/>
  <c r="CF111" i="28247"/>
  <c r="BT111" i="28247"/>
  <c r="CE111" i="28247"/>
  <c r="CY111" i="28247"/>
  <c r="CZ111" i="28247"/>
  <c r="DB111" i="28247"/>
  <c r="CB112" i="28247"/>
  <c r="CE112" i="28247"/>
  <c r="CY112" i="28247"/>
  <c r="CZ112" i="28247"/>
  <c r="DB112" i="28247"/>
  <c r="CB113" i="28247"/>
  <c r="CF113" i="28247"/>
  <c r="BT113" i="28247"/>
  <c r="CE113" i="28247"/>
  <c r="CY113" i="28247"/>
  <c r="CZ113" i="28247"/>
  <c r="DB113" i="28247"/>
  <c r="CB114" i="28247"/>
  <c r="CC114" i="28247"/>
  <c r="CE114" i="28247"/>
  <c r="CY114" i="28247"/>
  <c r="CZ114" i="28247"/>
  <c r="DB114" i="28247"/>
  <c r="CB115" i="28247"/>
  <c r="CC115" i="28247"/>
  <c r="CE115" i="28247"/>
  <c r="CY115" i="28247"/>
  <c r="CF115" i="28247"/>
  <c r="BT115" i="28247"/>
  <c r="CZ115" i="28247"/>
  <c r="DB115" i="28247"/>
  <c r="CB116" i="28247"/>
  <c r="CE116" i="28247"/>
  <c r="CY116" i="28247"/>
  <c r="CZ116" i="28247"/>
  <c r="DB116" i="28247"/>
  <c r="CB117" i="28247"/>
  <c r="CE117" i="28247"/>
  <c r="CY117" i="28247"/>
  <c r="CZ117" i="28247"/>
  <c r="DB117" i="28247"/>
  <c r="CB118" i="28247"/>
  <c r="CF118" i="28247"/>
  <c r="BT118" i="28247"/>
  <c r="CE118" i="28247"/>
  <c r="CY118" i="28247"/>
  <c r="CZ118" i="28247"/>
  <c r="DB118" i="28247"/>
  <c r="CY119" i="28247"/>
  <c r="CZ119" i="28247"/>
  <c r="CB122" i="28247"/>
  <c r="CF122" i="28247"/>
  <c r="CY122" i="28247"/>
  <c r="CZ122" i="28247"/>
  <c r="DB122" i="28247"/>
  <c r="CB123" i="28247"/>
  <c r="CC123" i="28247"/>
  <c r="BW123" i="28247"/>
  <c r="CG123" i="28247"/>
  <c r="BV123" i="28247"/>
  <c r="CF123" i="28247"/>
  <c r="BS123" i="28247"/>
  <c r="CL123" i="28247"/>
  <c r="CY123" i="28247"/>
  <c r="CZ123" i="28247"/>
  <c r="DB123" i="28247"/>
  <c r="CB124" i="28247"/>
  <c r="CY124" i="28247"/>
  <c r="CZ124" i="28247"/>
  <c r="DB124" i="28247"/>
  <c r="CB125" i="28247"/>
  <c r="CY125" i="28247"/>
  <c r="CZ125" i="28247"/>
  <c r="DB125" i="28247"/>
  <c r="CB126" i="28247"/>
  <c r="CF126" i="28247"/>
  <c r="CY126" i="28247"/>
  <c r="CC126" i="28247"/>
  <c r="CZ126" i="28247"/>
  <c r="DB126" i="28247"/>
  <c r="CB127" i="28247"/>
  <c r="CC127" i="28247"/>
  <c r="CG127" i="28247"/>
  <c r="BV127" i="28247"/>
  <c r="CF127" i="28247"/>
  <c r="BS127" i="28247"/>
  <c r="CL127" i="28247"/>
  <c r="CY127" i="28247"/>
  <c r="CZ127" i="28247"/>
  <c r="DB127" i="28247"/>
  <c r="CB128" i="28247"/>
  <c r="CF128" i="28247"/>
  <c r="CY128" i="28247"/>
  <c r="CZ128" i="28247"/>
  <c r="DB128" i="28247"/>
  <c r="CB129" i="28247"/>
  <c r="CY129" i="28247"/>
  <c r="CZ129" i="28247"/>
  <c r="DB129" i="28247"/>
  <c r="CB130" i="28247"/>
  <c r="CF130" i="28247"/>
  <c r="BS130" i="28247"/>
  <c r="CL130" i="28247"/>
  <c r="BT130" i="28247"/>
  <c r="CY130" i="28247"/>
  <c r="CC130" i="28247"/>
  <c r="BW130" i="28247"/>
  <c r="CZ130" i="28247"/>
  <c r="DB130" i="28247"/>
  <c r="CB131" i="28247"/>
  <c r="CC131" i="28247"/>
  <c r="CG131" i="28247"/>
  <c r="BV131" i="28247"/>
  <c r="CF131" i="28247"/>
  <c r="BT131" i="28247"/>
  <c r="BS131" i="28247"/>
  <c r="CL131" i="28247"/>
  <c r="CY131" i="28247"/>
  <c r="CO131" i="28247"/>
  <c r="CZ131" i="28247"/>
  <c r="DB131" i="28247"/>
  <c r="BS132" i="28247"/>
  <c r="CL132" i="28247"/>
  <c r="CY132" i="28247"/>
  <c r="CZ132" i="28247"/>
  <c r="CB18" i="28247"/>
  <c r="CC18" i="28247"/>
  <c r="CG18" i="28247"/>
  <c r="BV18" i="28247"/>
  <c r="CF18" i="28247"/>
  <c r="CZ18" i="28247"/>
  <c r="DB18" i="28247"/>
  <c r="CY18" i="28247"/>
  <c r="AH70" i="28247"/>
  <c r="AH71" i="28247"/>
  <c r="AG70" i="28247"/>
  <c r="AG71" i="28247"/>
  <c r="E132" i="28247"/>
  <c r="L132" i="28247"/>
  <c r="AG19" i="28247"/>
  <c r="AG18" i="28247"/>
  <c r="AI19" i="28247"/>
  <c r="AI71" i="28247"/>
  <c r="AI32" i="28247"/>
  <c r="AI18" i="28247"/>
  <c r="AI70" i="28247"/>
  <c r="AI31" i="28247"/>
  <c r="AJ71" i="28247"/>
  <c r="AJ32" i="28247"/>
  <c r="AJ70" i="28247"/>
  <c r="AJ31" i="28247"/>
  <c r="J132" i="28247"/>
  <c r="K132" i="28247"/>
  <c r="M132" i="28247"/>
  <c r="AG20" i="28247"/>
  <c r="AI20" i="28247"/>
  <c r="AG21" i="28247"/>
  <c r="AI21" i="28247"/>
  <c r="AG22" i="28247"/>
  <c r="AI22" i="28247"/>
  <c r="AG23" i="28247"/>
  <c r="AI23" i="28247"/>
  <c r="AG24" i="28247"/>
  <c r="AI24" i="28247"/>
  <c r="E25" i="28247"/>
  <c r="AG25" i="28247"/>
  <c r="F25" i="28247"/>
  <c r="G25" i="28247"/>
  <c r="AI25" i="28247"/>
  <c r="H25" i="28247"/>
  <c r="I25" i="28247"/>
  <c r="J25" i="28247"/>
  <c r="K25" i="28247"/>
  <c r="L25" i="28247"/>
  <c r="M25" i="28247"/>
  <c r="E26" i="28247"/>
  <c r="AG26" i="28247"/>
  <c r="F26" i="28247"/>
  <c r="G26" i="28247"/>
  <c r="AI26" i="28247"/>
  <c r="H26" i="28247"/>
  <c r="I26" i="28247"/>
  <c r="J26" i="28247"/>
  <c r="K26" i="28247"/>
  <c r="L26" i="28247"/>
  <c r="M26" i="28247"/>
  <c r="E27" i="28247"/>
  <c r="AG27" i="28247"/>
  <c r="F27" i="28247"/>
  <c r="G27" i="28247"/>
  <c r="AI27" i="28247"/>
  <c r="H27" i="28247"/>
  <c r="I27" i="28247"/>
  <c r="J27" i="28247"/>
  <c r="K27" i="28247"/>
  <c r="L27" i="28247"/>
  <c r="M27" i="28247"/>
  <c r="E28" i="28247"/>
  <c r="AG28" i="28247"/>
  <c r="F28" i="28247"/>
  <c r="G28" i="28247"/>
  <c r="H28" i="28247"/>
  <c r="I28" i="28247"/>
  <c r="J28" i="28247"/>
  <c r="K28" i="28247"/>
  <c r="L28" i="28247"/>
  <c r="M28" i="28247"/>
  <c r="E29" i="28247"/>
  <c r="F29" i="28247"/>
  <c r="G29" i="28247"/>
  <c r="H29" i="28247"/>
  <c r="I29" i="28247"/>
  <c r="J29" i="28247"/>
  <c r="K29" i="28247"/>
  <c r="L29" i="28247"/>
  <c r="M29" i="28247"/>
  <c r="E30" i="28247"/>
  <c r="F30" i="28247"/>
  <c r="G30" i="28247"/>
  <c r="H30" i="28247"/>
  <c r="I30" i="28247"/>
  <c r="J30" i="28247"/>
  <c r="K30" i="28247"/>
  <c r="L30" i="28247"/>
  <c r="M30" i="28247"/>
  <c r="E33" i="28247"/>
  <c r="AG33" i="28247"/>
  <c r="F33" i="28247"/>
  <c r="G33" i="28247"/>
  <c r="AI33" i="28247"/>
  <c r="H33" i="28247"/>
  <c r="AJ33" i="28247"/>
  <c r="I33" i="28247"/>
  <c r="J33" i="28247"/>
  <c r="K33" i="28247"/>
  <c r="L33" i="28247"/>
  <c r="M33" i="28247"/>
  <c r="AG34" i="28247"/>
  <c r="AI34" i="28247"/>
  <c r="AJ34" i="28247"/>
  <c r="AG35" i="28247"/>
  <c r="AI35" i="28247"/>
  <c r="AJ35" i="28247"/>
  <c r="E36" i="28247"/>
  <c r="AG36" i="28247"/>
  <c r="F36" i="28247"/>
  <c r="G36" i="28247"/>
  <c r="AI36" i="28247"/>
  <c r="H36" i="28247"/>
  <c r="AJ36" i="28247"/>
  <c r="I36" i="28247"/>
  <c r="J36" i="28247"/>
  <c r="K36" i="28247"/>
  <c r="L36" i="28247"/>
  <c r="M36" i="28247"/>
  <c r="E37" i="28247"/>
  <c r="AG37" i="28247"/>
  <c r="F37" i="28247"/>
  <c r="G37" i="28247"/>
  <c r="AI37" i="28247"/>
  <c r="H37" i="28247"/>
  <c r="AJ37" i="28247"/>
  <c r="I37" i="28247"/>
  <c r="J37" i="28247"/>
  <c r="K37" i="28247"/>
  <c r="L37" i="28247"/>
  <c r="M37" i="28247"/>
  <c r="E38" i="28247"/>
  <c r="AG38" i="28247"/>
  <c r="F38" i="28247"/>
  <c r="G38" i="28247"/>
  <c r="AI38" i="28247"/>
  <c r="H38" i="28247"/>
  <c r="AJ38" i="28247"/>
  <c r="I38" i="28247"/>
  <c r="J38" i="28247"/>
  <c r="K38" i="28247"/>
  <c r="L38" i="28247"/>
  <c r="M38" i="28247"/>
  <c r="E39" i="28247"/>
  <c r="AG39" i="28247"/>
  <c r="F39" i="28247"/>
  <c r="G39" i="28247"/>
  <c r="AI39" i="28247"/>
  <c r="H39" i="28247"/>
  <c r="AJ39" i="28247"/>
  <c r="I39" i="28247"/>
  <c r="J39" i="28247"/>
  <c r="K39" i="28247"/>
  <c r="L39" i="28247"/>
  <c r="M39" i="28247"/>
  <c r="E40" i="28247"/>
  <c r="AG40" i="28247"/>
  <c r="F40" i="28247"/>
  <c r="G40" i="28247"/>
  <c r="AI40" i="28247"/>
  <c r="H40" i="28247"/>
  <c r="AJ40" i="28247"/>
  <c r="I40" i="28247"/>
  <c r="J40" i="28247"/>
  <c r="K40" i="28247"/>
  <c r="L40" i="28247"/>
  <c r="M40" i="28247"/>
  <c r="E41" i="28247"/>
  <c r="AG41" i="28247"/>
  <c r="F41" i="28247"/>
  <c r="G41" i="28247"/>
  <c r="H41" i="28247"/>
  <c r="I41" i="28247"/>
  <c r="J41" i="28247"/>
  <c r="K41" i="28247"/>
  <c r="L41" i="28247"/>
  <c r="M41" i="28247"/>
  <c r="E42" i="28247"/>
  <c r="F42" i="28247"/>
  <c r="G42" i="28247"/>
  <c r="H42" i="28247"/>
  <c r="I42" i="28247"/>
  <c r="J42" i="28247"/>
  <c r="K42" i="28247"/>
  <c r="L42" i="28247"/>
  <c r="M42" i="28247"/>
  <c r="E43" i="28247"/>
  <c r="F43" i="28247"/>
  <c r="G43" i="28247"/>
  <c r="H43" i="28247"/>
  <c r="I43" i="28247"/>
  <c r="J43" i="28247"/>
  <c r="K43" i="28247"/>
  <c r="L43" i="28247"/>
  <c r="M43" i="28247"/>
  <c r="E44" i="28247"/>
  <c r="AG44" i="28247"/>
  <c r="F44" i="28247"/>
  <c r="G44" i="28247"/>
  <c r="AI44" i="28247"/>
  <c r="H44" i="28247"/>
  <c r="AJ44" i="28247"/>
  <c r="I44" i="28247"/>
  <c r="J44" i="28247"/>
  <c r="K44" i="28247"/>
  <c r="L44" i="28247"/>
  <c r="M44" i="28247"/>
  <c r="E45" i="28247"/>
  <c r="AG45" i="28247"/>
  <c r="F45" i="28247"/>
  <c r="G45" i="28247"/>
  <c r="AI45" i="28247"/>
  <c r="H45" i="28247"/>
  <c r="AJ45" i="28247"/>
  <c r="I45" i="28247"/>
  <c r="J45" i="28247"/>
  <c r="K45" i="28247"/>
  <c r="L45" i="28247"/>
  <c r="M45" i="28247"/>
  <c r="E46" i="28247"/>
  <c r="AG46" i="28247"/>
  <c r="F46" i="28247"/>
  <c r="G46" i="28247"/>
  <c r="AI46" i="28247"/>
  <c r="H46" i="28247"/>
  <c r="AJ46" i="28247"/>
  <c r="I46" i="28247"/>
  <c r="J46" i="28247"/>
  <c r="K46" i="28247"/>
  <c r="L46" i="28247"/>
  <c r="M46" i="28247"/>
  <c r="E47" i="28247"/>
  <c r="AG47" i="28247"/>
  <c r="F47" i="28247"/>
  <c r="G47" i="28247"/>
  <c r="AI47" i="28247"/>
  <c r="H47" i="28247"/>
  <c r="AJ47" i="28247"/>
  <c r="I47" i="28247"/>
  <c r="J47" i="28247"/>
  <c r="K47" i="28247"/>
  <c r="L47" i="28247"/>
  <c r="M47" i="28247"/>
  <c r="E48" i="28247"/>
  <c r="AG48" i="28247"/>
  <c r="F48" i="28247"/>
  <c r="G48" i="28247"/>
  <c r="AI48" i="28247"/>
  <c r="H48" i="28247"/>
  <c r="AJ48" i="28247"/>
  <c r="I48" i="28247"/>
  <c r="J48" i="28247"/>
  <c r="K48" i="28247"/>
  <c r="L48" i="28247"/>
  <c r="M48" i="28247"/>
  <c r="E49" i="28247"/>
  <c r="AG49" i="28247"/>
  <c r="F49" i="28247"/>
  <c r="G49" i="28247"/>
  <c r="AI49" i="28247"/>
  <c r="H49" i="28247"/>
  <c r="AJ49" i="28247"/>
  <c r="I49" i="28247"/>
  <c r="J49" i="28247"/>
  <c r="K49" i="28247"/>
  <c r="L49" i="28247"/>
  <c r="M49" i="28247"/>
  <c r="E50" i="28247"/>
  <c r="AG50" i="28247"/>
  <c r="F50" i="28247"/>
  <c r="G50" i="28247"/>
  <c r="AI50" i="28247"/>
  <c r="H50" i="28247"/>
  <c r="AJ50" i="28247"/>
  <c r="I50" i="28247"/>
  <c r="J50" i="28247"/>
  <c r="K50" i="28247"/>
  <c r="L50" i="28247"/>
  <c r="M50" i="28247"/>
  <c r="E51" i="28247"/>
  <c r="AG51" i="28247"/>
  <c r="F51" i="28247"/>
  <c r="G51" i="28247"/>
  <c r="AI51" i="28247"/>
  <c r="H51" i="28247"/>
  <c r="AJ51" i="28247"/>
  <c r="I51" i="28247"/>
  <c r="J51" i="28247"/>
  <c r="K51" i="28247"/>
  <c r="L51" i="28247"/>
  <c r="M51" i="28247"/>
  <c r="E52" i="28247"/>
  <c r="AG52" i="28247"/>
  <c r="F52" i="28247"/>
  <c r="G52" i="28247"/>
  <c r="AI52" i="28247"/>
  <c r="H52" i="28247"/>
  <c r="AJ52" i="28247"/>
  <c r="I52" i="28247"/>
  <c r="J52" i="28247"/>
  <c r="K52" i="28247"/>
  <c r="L52" i="28247"/>
  <c r="M52" i="28247"/>
  <c r="E53" i="28247"/>
  <c r="AG53" i="28247"/>
  <c r="F53" i="28247"/>
  <c r="G53" i="28247"/>
  <c r="AI53" i="28247"/>
  <c r="H53" i="28247"/>
  <c r="AJ53" i="28247"/>
  <c r="I53" i="28247"/>
  <c r="J53" i="28247"/>
  <c r="K53" i="28247"/>
  <c r="L53" i="28247"/>
  <c r="M53" i="28247"/>
  <c r="AG54" i="28247"/>
  <c r="E56" i="28247"/>
  <c r="F56" i="28247"/>
  <c r="G56" i="28247"/>
  <c r="H56" i="28247"/>
  <c r="I56" i="28247"/>
  <c r="J56" i="28247"/>
  <c r="K56" i="28247"/>
  <c r="L56" i="28247"/>
  <c r="M56" i="28247"/>
  <c r="E57" i="28247"/>
  <c r="AG57" i="28247"/>
  <c r="F57" i="28247"/>
  <c r="AH57" i="28247"/>
  <c r="G57" i="28247"/>
  <c r="AI57" i="28247"/>
  <c r="H57" i="28247"/>
  <c r="I57" i="28247"/>
  <c r="J57" i="28247"/>
  <c r="K57" i="28247"/>
  <c r="L57" i="28247"/>
  <c r="M57" i="28247"/>
  <c r="E58" i="28247"/>
  <c r="AG58" i="28247"/>
  <c r="F58" i="28247"/>
  <c r="AH58" i="28247"/>
  <c r="G58" i="28247"/>
  <c r="AI58" i="28247"/>
  <c r="H58" i="28247"/>
  <c r="I58" i="28247"/>
  <c r="J58" i="28247"/>
  <c r="K58" i="28247"/>
  <c r="L58" i="28247"/>
  <c r="M58" i="28247"/>
  <c r="E59" i="28247"/>
  <c r="AG59" i="28247"/>
  <c r="F59" i="28247"/>
  <c r="AH59" i="28247"/>
  <c r="G59" i="28247"/>
  <c r="AI59" i="28247"/>
  <c r="H59" i="28247"/>
  <c r="I59" i="28247"/>
  <c r="J59" i="28247"/>
  <c r="K59" i="28247"/>
  <c r="L59" i="28247"/>
  <c r="M59" i="28247"/>
  <c r="E60" i="28247"/>
  <c r="AG60" i="28247"/>
  <c r="F60" i="28247"/>
  <c r="AH60" i="28247"/>
  <c r="G60" i="28247"/>
  <c r="AI60" i="28247"/>
  <c r="H60" i="28247"/>
  <c r="I60" i="28247"/>
  <c r="J60" i="28247"/>
  <c r="K60" i="28247"/>
  <c r="L60" i="28247"/>
  <c r="M60" i="28247"/>
  <c r="E61" i="28247"/>
  <c r="AG61" i="28247"/>
  <c r="F61" i="28247"/>
  <c r="AH61" i="28247"/>
  <c r="G61" i="28247"/>
  <c r="AI61" i="28247"/>
  <c r="H61" i="28247"/>
  <c r="I61" i="28247"/>
  <c r="J61" i="28247"/>
  <c r="K61" i="28247"/>
  <c r="L61" i="28247"/>
  <c r="M61" i="28247"/>
  <c r="E62" i="28247"/>
  <c r="AG62" i="28247"/>
  <c r="F62" i="28247"/>
  <c r="AH62" i="28247"/>
  <c r="G62" i="28247"/>
  <c r="AI62" i="28247"/>
  <c r="H62" i="28247"/>
  <c r="I62" i="28247"/>
  <c r="J62" i="28247"/>
  <c r="K62" i="28247"/>
  <c r="L62" i="28247"/>
  <c r="M62" i="28247"/>
  <c r="E63" i="28247"/>
  <c r="AG63" i="28247"/>
  <c r="F63" i="28247"/>
  <c r="AH63" i="28247"/>
  <c r="G63" i="28247"/>
  <c r="AI63" i="28247"/>
  <c r="H63" i="28247"/>
  <c r="I63" i="28247"/>
  <c r="J63" i="28247"/>
  <c r="K63" i="28247"/>
  <c r="L63" i="28247"/>
  <c r="M63" i="28247"/>
  <c r="E64" i="28247"/>
  <c r="AG64" i="28247"/>
  <c r="F64" i="28247"/>
  <c r="AH64" i="28247"/>
  <c r="G64" i="28247"/>
  <c r="AI64" i="28247"/>
  <c r="H64" i="28247"/>
  <c r="I64" i="28247"/>
  <c r="J64" i="28247"/>
  <c r="K64" i="28247"/>
  <c r="L64" i="28247"/>
  <c r="M64" i="28247"/>
  <c r="E65" i="28247"/>
  <c r="AG65" i="28247"/>
  <c r="F65" i="28247"/>
  <c r="AH65" i="28247"/>
  <c r="G65" i="28247"/>
  <c r="AI65" i="28247"/>
  <c r="H65" i="28247"/>
  <c r="I65" i="28247"/>
  <c r="J65" i="28247"/>
  <c r="K65" i="28247"/>
  <c r="L65" i="28247"/>
  <c r="M65" i="28247"/>
  <c r="E66" i="28247"/>
  <c r="AG66" i="28247"/>
  <c r="F66" i="28247"/>
  <c r="AH66" i="28247"/>
  <c r="G66" i="28247"/>
  <c r="AI66" i="28247"/>
  <c r="H66" i="28247"/>
  <c r="I66" i="28247"/>
  <c r="J66" i="28247"/>
  <c r="K66" i="28247"/>
  <c r="L66" i="28247"/>
  <c r="M66" i="28247"/>
  <c r="E67" i="28247"/>
  <c r="AG67" i="28247"/>
  <c r="F67" i="28247"/>
  <c r="AH67" i="28247"/>
  <c r="G67" i="28247"/>
  <c r="H67" i="28247"/>
  <c r="I67" i="28247"/>
  <c r="J67" i="28247"/>
  <c r="K67" i="28247"/>
  <c r="L67" i="28247"/>
  <c r="M67" i="28247"/>
  <c r="E68" i="28247"/>
  <c r="F68" i="28247"/>
  <c r="G68" i="28247"/>
  <c r="H68" i="28247"/>
  <c r="I68" i="28247"/>
  <c r="J68" i="28247"/>
  <c r="K68" i="28247"/>
  <c r="L68" i="28247"/>
  <c r="M68" i="28247"/>
  <c r="E69" i="28247"/>
  <c r="F69" i="28247"/>
  <c r="G69" i="28247"/>
  <c r="H69" i="28247"/>
  <c r="I69" i="28247"/>
  <c r="J69" i="28247"/>
  <c r="K69" i="28247"/>
  <c r="L69" i="28247"/>
  <c r="M69" i="28247"/>
  <c r="AG72" i="28247"/>
  <c r="AH72" i="28247"/>
  <c r="AI72" i="28247"/>
  <c r="AJ72" i="28247"/>
  <c r="AG73" i="28247"/>
  <c r="AH73" i="28247"/>
  <c r="AI73" i="28247"/>
  <c r="AJ73" i="28247"/>
  <c r="AG74" i="28247"/>
  <c r="AH74" i="28247"/>
  <c r="AI74" i="28247"/>
  <c r="AJ74" i="28247"/>
  <c r="E75" i="28247"/>
  <c r="AG75" i="28247"/>
  <c r="F75" i="28247"/>
  <c r="AH75" i="28247"/>
  <c r="G75" i="28247"/>
  <c r="AI75" i="28247"/>
  <c r="H75" i="28247"/>
  <c r="AJ75" i="28247"/>
  <c r="I75" i="28247"/>
  <c r="J75" i="28247"/>
  <c r="K75" i="28247"/>
  <c r="L75" i="28247"/>
  <c r="M75" i="28247"/>
  <c r="AG76" i="28247"/>
  <c r="AH76" i="28247"/>
  <c r="AI76" i="28247"/>
  <c r="AJ76" i="28247"/>
  <c r="AG77" i="28247"/>
  <c r="AH77" i="28247"/>
  <c r="AI77" i="28247"/>
  <c r="AJ77" i="28247"/>
  <c r="E78" i="28247"/>
  <c r="AG78" i="28247"/>
  <c r="F78" i="28247"/>
  <c r="AH78" i="28247"/>
  <c r="G78" i="28247"/>
  <c r="AI78" i="28247"/>
  <c r="H78" i="28247"/>
  <c r="AJ78" i="28247"/>
  <c r="I78" i="28247"/>
  <c r="J78" i="28247"/>
  <c r="K78" i="28247"/>
  <c r="L78" i="28247"/>
  <c r="M78" i="28247"/>
  <c r="E79" i="28247"/>
  <c r="AG79" i="28247"/>
  <c r="F79" i="28247"/>
  <c r="AH79" i="28247"/>
  <c r="G79" i="28247"/>
  <c r="AI79" i="28247"/>
  <c r="H79" i="28247"/>
  <c r="AJ79" i="28247"/>
  <c r="I79" i="28247"/>
  <c r="J79" i="28247"/>
  <c r="K79" i="28247"/>
  <c r="L79" i="28247"/>
  <c r="M79" i="28247"/>
  <c r="AG80" i="28247"/>
  <c r="AH80" i="28247"/>
  <c r="E82" i="28247"/>
  <c r="F82" i="28247"/>
  <c r="G82" i="28247"/>
  <c r="H82" i="28247"/>
  <c r="I82" i="28247"/>
  <c r="J82" i="28247"/>
  <c r="K82" i="28247"/>
  <c r="L82" i="28247"/>
  <c r="M82" i="28247"/>
  <c r="AG83" i="28247"/>
  <c r="AH83" i="28247"/>
  <c r="AI83" i="28247"/>
  <c r="AJ83" i="28247"/>
  <c r="AG84" i="28247"/>
  <c r="AH84" i="28247"/>
  <c r="AI84" i="28247"/>
  <c r="AJ84" i="28247"/>
  <c r="E85" i="28247"/>
  <c r="AG85" i="28247"/>
  <c r="F85" i="28247"/>
  <c r="AH85" i="28247"/>
  <c r="G85" i="28247"/>
  <c r="AI85" i="28247"/>
  <c r="H85" i="28247"/>
  <c r="AJ85" i="28247"/>
  <c r="I85" i="28247"/>
  <c r="J85" i="28247"/>
  <c r="K85" i="28247"/>
  <c r="L85" i="28247"/>
  <c r="M85" i="28247"/>
  <c r="E86" i="28247"/>
  <c r="AG86" i="28247"/>
  <c r="F86" i="28247"/>
  <c r="AH86" i="28247"/>
  <c r="G86" i="28247"/>
  <c r="AI86" i="28247"/>
  <c r="H86" i="28247"/>
  <c r="AJ86" i="28247"/>
  <c r="I86" i="28247"/>
  <c r="J86" i="28247"/>
  <c r="K86" i="28247"/>
  <c r="L86" i="28247"/>
  <c r="M86" i="28247"/>
  <c r="E87" i="28247"/>
  <c r="AG87" i="28247"/>
  <c r="F87" i="28247"/>
  <c r="AH87" i="28247"/>
  <c r="G87" i="28247"/>
  <c r="AI87" i="28247"/>
  <c r="H87" i="28247"/>
  <c r="AJ87" i="28247"/>
  <c r="I87" i="28247"/>
  <c r="J87" i="28247"/>
  <c r="K87" i="28247"/>
  <c r="L87" i="28247"/>
  <c r="M87" i="28247"/>
  <c r="E88" i="28247"/>
  <c r="AG88" i="28247"/>
  <c r="F88" i="28247"/>
  <c r="AH88" i="28247"/>
  <c r="G88" i="28247"/>
  <c r="AI88" i="28247"/>
  <c r="H88" i="28247"/>
  <c r="AJ88" i="28247"/>
  <c r="I88" i="28247"/>
  <c r="J88" i="28247"/>
  <c r="K88" i="28247"/>
  <c r="L88" i="28247"/>
  <c r="M88" i="28247"/>
  <c r="E89" i="28247"/>
  <c r="AG89" i="28247"/>
  <c r="F89" i="28247"/>
  <c r="AH89" i="28247"/>
  <c r="G89" i="28247"/>
  <c r="AI89" i="28247"/>
  <c r="H89" i="28247"/>
  <c r="AJ89" i="28247"/>
  <c r="I89" i="28247"/>
  <c r="J89" i="28247"/>
  <c r="K89" i="28247"/>
  <c r="L89" i="28247"/>
  <c r="M89" i="28247"/>
  <c r="E90" i="28247"/>
  <c r="AG90" i="28247"/>
  <c r="F90" i="28247"/>
  <c r="AH90" i="28247"/>
  <c r="G90" i="28247"/>
  <c r="AI90" i="28247"/>
  <c r="H90" i="28247"/>
  <c r="AJ90" i="28247"/>
  <c r="I90" i="28247"/>
  <c r="J90" i="28247"/>
  <c r="K90" i="28247"/>
  <c r="L90" i="28247"/>
  <c r="M90" i="28247"/>
  <c r="E91" i="28247"/>
  <c r="AG91" i="28247"/>
  <c r="F91" i="28247"/>
  <c r="AH91" i="28247"/>
  <c r="G91" i="28247"/>
  <c r="AI91" i="28247"/>
  <c r="H91" i="28247"/>
  <c r="AJ91" i="28247"/>
  <c r="I91" i="28247"/>
  <c r="J91" i="28247"/>
  <c r="K91" i="28247"/>
  <c r="L91" i="28247"/>
  <c r="M91" i="28247"/>
  <c r="E92" i="28247"/>
  <c r="AG92" i="28247"/>
  <c r="F92" i="28247"/>
  <c r="AH92" i="28247"/>
  <c r="G92" i="28247"/>
  <c r="AI92" i="28247"/>
  <c r="H92" i="28247"/>
  <c r="AJ92" i="28247"/>
  <c r="I92" i="28247"/>
  <c r="J92" i="28247"/>
  <c r="K92" i="28247"/>
  <c r="L92" i="28247"/>
  <c r="M92" i="28247"/>
  <c r="E93" i="28247"/>
  <c r="AG93" i="28247"/>
  <c r="F93" i="28247"/>
  <c r="AH93" i="28247"/>
  <c r="G93" i="28247"/>
  <c r="H93" i="28247"/>
  <c r="I93" i="28247"/>
  <c r="J93" i="28247"/>
  <c r="K93" i="28247"/>
  <c r="L93" i="28247"/>
  <c r="M93" i="28247"/>
  <c r="E94" i="28247"/>
  <c r="F94" i="28247"/>
  <c r="G94" i="28247"/>
  <c r="H94" i="28247"/>
  <c r="I94" i="28247"/>
  <c r="J94" i="28247"/>
  <c r="K94" i="28247"/>
  <c r="L94" i="28247"/>
  <c r="M94" i="28247"/>
  <c r="E95" i="28247"/>
  <c r="F95" i="28247"/>
  <c r="G95" i="28247"/>
  <c r="H95" i="28247"/>
  <c r="I95" i="28247"/>
  <c r="J95" i="28247"/>
  <c r="K95" i="28247"/>
  <c r="L95" i="28247"/>
  <c r="M95" i="28247"/>
  <c r="E96" i="28247"/>
  <c r="AG96" i="28247"/>
  <c r="F96" i="28247"/>
  <c r="AH96" i="28247"/>
  <c r="G96" i="28247"/>
  <c r="AI96" i="28247"/>
  <c r="H96" i="28247"/>
  <c r="I96" i="28247"/>
  <c r="J96" i="28247"/>
  <c r="K96" i="28247"/>
  <c r="L96" i="28247"/>
  <c r="M96" i="28247"/>
  <c r="E97" i="28247"/>
  <c r="AG97" i="28247"/>
  <c r="F97" i="28247"/>
  <c r="AH97" i="28247"/>
  <c r="G97" i="28247"/>
  <c r="AI97" i="28247"/>
  <c r="H97" i="28247"/>
  <c r="I97" i="28247"/>
  <c r="J97" i="28247"/>
  <c r="K97" i="28247"/>
  <c r="L97" i="28247"/>
  <c r="M97" i="28247"/>
  <c r="E98" i="28247"/>
  <c r="AG98" i="28247"/>
  <c r="F98" i="28247"/>
  <c r="AH98" i="28247"/>
  <c r="G98" i="28247"/>
  <c r="AI98" i="28247"/>
  <c r="H98" i="28247"/>
  <c r="I98" i="28247"/>
  <c r="J98" i="28247"/>
  <c r="K98" i="28247"/>
  <c r="L98" i="28247"/>
  <c r="M98" i="28247"/>
  <c r="E99" i="28247"/>
  <c r="AG99" i="28247"/>
  <c r="F99" i="28247"/>
  <c r="AH99" i="28247"/>
  <c r="G99" i="28247"/>
  <c r="AI99" i="28247"/>
  <c r="H99" i="28247"/>
  <c r="I99" i="28247"/>
  <c r="J99" i="28247"/>
  <c r="K99" i="28247"/>
  <c r="L99" i="28247"/>
  <c r="M99" i="28247"/>
  <c r="E100" i="28247"/>
  <c r="AG100" i="28247"/>
  <c r="F100" i="28247"/>
  <c r="AH100" i="28247"/>
  <c r="G100" i="28247"/>
  <c r="AI100" i="28247"/>
  <c r="H100" i="28247"/>
  <c r="I100" i="28247"/>
  <c r="J100" i="28247"/>
  <c r="K100" i="28247"/>
  <c r="L100" i="28247"/>
  <c r="M100" i="28247"/>
  <c r="E101" i="28247"/>
  <c r="AG101" i="28247"/>
  <c r="F101" i="28247"/>
  <c r="AH101" i="28247"/>
  <c r="G101" i="28247"/>
  <c r="AI101" i="28247"/>
  <c r="H101" i="28247"/>
  <c r="I101" i="28247"/>
  <c r="J101" i="28247"/>
  <c r="K101" i="28247"/>
  <c r="L101" i="28247"/>
  <c r="M101" i="28247"/>
  <c r="E102" i="28247"/>
  <c r="AG102" i="28247"/>
  <c r="F102" i="28247"/>
  <c r="AH102" i="28247"/>
  <c r="G102" i="28247"/>
  <c r="AI102" i="28247"/>
  <c r="H102" i="28247"/>
  <c r="I102" i="28247"/>
  <c r="J102" i="28247"/>
  <c r="K102" i="28247"/>
  <c r="L102" i="28247"/>
  <c r="M102" i="28247"/>
  <c r="E103" i="28247"/>
  <c r="AG103" i="28247"/>
  <c r="F103" i="28247"/>
  <c r="AH103" i="28247"/>
  <c r="G103" i="28247"/>
  <c r="AI103" i="28247"/>
  <c r="H103" i="28247"/>
  <c r="I103" i="28247"/>
  <c r="J103" i="28247"/>
  <c r="K103" i="28247"/>
  <c r="L103" i="28247"/>
  <c r="M103" i="28247"/>
  <c r="E104" i="28247"/>
  <c r="AG104" i="28247"/>
  <c r="F104" i="28247"/>
  <c r="AH104" i="28247"/>
  <c r="G104" i="28247"/>
  <c r="AI104" i="28247"/>
  <c r="H104" i="28247"/>
  <c r="I104" i="28247"/>
  <c r="J104" i="28247"/>
  <c r="K104" i="28247"/>
  <c r="L104" i="28247"/>
  <c r="M104" i="28247"/>
  <c r="E105" i="28247"/>
  <c r="AG105" i="28247"/>
  <c r="F105" i="28247"/>
  <c r="AH105" i="28247"/>
  <c r="G105" i="28247"/>
  <c r="AI105" i="28247"/>
  <c r="H105" i="28247"/>
  <c r="I105" i="28247"/>
  <c r="J105" i="28247"/>
  <c r="K105" i="28247"/>
  <c r="L105" i="28247"/>
  <c r="M105" i="28247"/>
  <c r="E106" i="28247"/>
  <c r="AG106" i="28247"/>
  <c r="F106" i="28247"/>
  <c r="AH106" i="28247"/>
  <c r="G106" i="28247"/>
  <c r="H106" i="28247"/>
  <c r="I106" i="28247"/>
  <c r="J106" i="28247"/>
  <c r="K106" i="28247"/>
  <c r="L106" i="28247"/>
  <c r="M106" i="28247"/>
  <c r="E107" i="28247"/>
  <c r="F107" i="28247"/>
  <c r="G107" i="28247"/>
  <c r="H107" i="28247"/>
  <c r="I107" i="28247"/>
  <c r="J107" i="28247"/>
  <c r="K107" i="28247"/>
  <c r="L107" i="28247"/>
  <c r="M107" i="28247"/>
  <c r="E108" i="28247"/>
  <c r="F108" i="28247"/>
  <c r="G108" i="28247"/>
  <c r="H108" i="28247"/>
  <c r="I108" i="28247"/>
  <c r="J108" i="28247"/>
  <c r="K108" i="28247"/>
  <c r="L108" i="28247"/>
  <c r="M108" i="28247"/>
  <c r="E109" i="28247"/>
  <c r="AG109" i="28247"/>
  <c r="F109" i="28247"/>
  <c r="AH109" i="28247"/>
  <c r="G109" i="28247"/>
  <c r="AI109" i="28247"/>
  <c r="H109" i="28247"/>
  <c r="AJ109" i="28247"/>
  <c r="I109" i="28247"/>
  <c r="J109" i="28247"/>
  <c r="K109" i="28247"/>
  <c r="L109" i="28247"/>
  <c r="M109" i="28247"/>
  <c r="E110" i="28247"/>
  <c r="AG110" i="28247"/>
  <c r="F110" i="28247"/>
  <c r="AH110" i="28247"/>
  <c r="G110" i="28247"/>
  <c r="AI110" i="28247"/>
  <c r="H110" i="28247"/>
  <c r="AJ110" i="28247"/>
  <c r="I110" i="28247"/>
  <c r="J110" i="28247"/>
  <c r="K110" i="28247"/>
  <c r="L110" i="28247"/>
  <c r="M110" i="28247"/>
  <c r="E111" i="28247"/>
  <c r="AG111" i="28247"/>
  <c r="F111" i="28247"/>
  <c r="AH111" i="28247"/>
  <c r="G111" i="28247"/>
  <c r="AI111" i="28247"/>
  <c r="H111" i="28247"/>
  <c r="AJ111" i="28247"/>
  <c r="I111" i="28247"/>
  <c r="J111" i="28247"/>
  <c r="K111" i="28247"/>
  <c r="L111" i="28247"/>
  <c r="M111" i="28247"/>
  <c r="AG112" i="28247"/>
  <c r="AH112" i="28247"/>
  <c r="AI112" i="28247"/>
  <c r="AJ112" i="28247"/>
  <c r="AG113" i="28247"/>
  <c r="AH113" i="28247"/>
  <c r="AI113" i="28247"/>
  <c r="AJ113" i="28247"/>
  <c r="E114" i="28247"/>
  <c r="AG114" i="28247"/>
  <c r="F114" i="28247"/>
  <c r="AH114" i="28247"/>
  <c r="G114" i="28247"/>
  <c r="AI114" i="28247"/>
  <c r="H114" i="28247"/>
  <c r="AJ114" i="28247"/>
  <c r="I114" i="28247"/>
  <c r="J114" i="28247"/>
  <c r="K114" i="28247"/>
  <c r="L114" i="28247"/>
  <c r="M114" i="28247"/>
  <c r="AG115" i="28247"/>
  <c r="AH115" i="28247"/>
  <c r="AI115" i="28247"/>
  <c r="AJ115" i="28247"/>
  <c r="AG116" i="28247"/>
  <c r="AH116" i="28247"/>
  <c r="AI116" i="28247"/>
  <c r="AJ116" i="28247"/>
  <c r="E117" i="28247"/>
  <c r="AG117" i="28247"/>
  <c r="F117" i="28247"/>
  <c r="AH117" i="28247"/>
  <c r="G117" i="28247"/>
  <c r="AI117" i="28247"/>
  <c r="H117" i="28247"/>
  <c r="AJ117" i="28247"/>
  <c r="I117" i="28247"/>
  <c r="J117" i="28247"/>
  <c r="K117" i="28247"/>
  <c r="L117" i="28247"/>
  <c r="M117" i="28247"/>
  <c r="E118" i="28247"/>
  <c r="AG118" i="28247"/>
  <c r="F118" i="28247"/>
  <c r="AH118" i="28247"/>
  <c r="G118" i="28247"/>
  <c r="AI118" i="28247"/>
  <c r="H118" i="28247"/>
  <c r="AJ118" i="28247"/>
  <c r="I118" i="28247"/>
  <c r="J118" i="28247"/>
  <c r="K118" i="28247"/>
  <c r="L118" i="28247"/>
  <c r="M118" i="28247"/>
  <c r="AG119" i="28247"/>
  <c r="AH119" i="28247"/>
  <c r="E121" i="28247"/>
  <c r="F121" i="28247"/>
  <c r="G121" i="28247"/>
  <c r="H121" i="28247"/>
  <c r="I121" i="28247"/>
  <c r="J121" i="28247"/>
  <c r="K121" i="28247"/>
  <c r="L121" i="28247"/>
  <c r="M121" i="28247"/>
  <c r="AG122" i="28247"/>
  <c r="AH122" i="28247"/>
  <c r="AI122" i="28247"/>
  <c r="AJ122" i="28247"/>
  <c r="AG123" i="28247"/>
  <c r="AH123" i="28247"/>
  <c r="AI123" i="28247"/>
  <c r="AJ123" i="28247"/>
  <c r="AG124" i="28247"/>
  <c r="AH124" i="28247"/>
  <c r="AI124" i="28247"/>
  <c r="AJ124" i="28247"/>
  <c r="AG125" i="28247"/>
  <c r="AH125" i="28247"/>
  <c r="AI125" i="28247"/>
  <c r="AJ125" i="28247"/>
  <c r="AG126" i="28247"/>
  <c r="AH126" i="28247"/>
  <c r="AI126" i="28247"/>
  <c r="AJ126" i="28247"/>
  <c r="E127" i="28247"/>
  <c r="AG127" i="28247"/>
  <c r="F127" i="28247"/>
  <c r="AH127" i="28247"/>
  <c r="G127" i="28247"/>
  <c r="AI127" i="28247"/>
  <c r="H127" i="28247"/>
  <c r="AJ127" i="28247"/>
  <c r="I127" i="28247"/>
  <c r="J127" i="28247"/>
  <c r="K127" i="28247"/>
  <c r="L127" i="28247"/>
  <c r="M127" i="28247"/>
  <c r="E128" i="28247"/>
  <c r="AG128" i="28247"/>
  <c r="F128" i="28247"/>
  <c r="AH128" i="28247"/>
  <c r="G128" i="28247"/>
  <c r="AI128" i="28247"/>
  <c r="H128" i="28247"/>
  <c r="AJ128" i="28247"/>
  <c r="I128" i="28247"/>
  <c r="J128" i="28247"/>
  <c r="K128" i="28247"/>
  <c r="L128" i="28247"/>
  <c r="M128" i="28247"/>
  <c r="E129" i="28247"/>
  <c r="AG129" i="28247"/>
  <c r="F129" i="28247"/>
  <c r="AH129" i="28247"/>
  <c r="G129" i="28247"/>
  <c r="AI129" i="28247"/>
  <c r="H129" i="28247"/>
  <c r="AJ129" i="28247"/>
  <c r="I129" i="28247"/>
  <c r="J129" i="28247"/>
  <c r="K129" i="28247"/>
  <c r="L129" i="28247"/>
  <c r="M129" i="28247"/>
  <c r="E130" i="28247"/>
  <c r="AG130" i="28247"/>
  <c r="F130" i="28247"/>
  <c r="AH130" i="28247"/>
  <c r="G130" i="28247"/>
  <c r="AI130" i="28247"/>
  <c r="H130" i="28247"/>
  <c r="AJ130" i="28247"/>
  <c r="I130" i="28247"/>
  <c r="J130" i="28247"/>
  <c r="K130" i="28247"/>
  <c r="L130" i="28247"/>
  <c r="M130" i="28247"/>
  <c r="E131" i="28247"/>
  <c r="AG131" i="28247"/>
  <c r="F131" i="28247"/>
  <c r="AH131" i="28247"/>
  <c r="G131" i="28247"/>
  <c r="AI131" i="28247"/>
  <c r="H131" i="28247"/>
  <c r="AJ131" i="28247"/>
  <c r="I131" i="28247"/>
  <c r="J131" i="28247"/>
  <c r="K131" i="28247"/>
  <c r="L131" i="28247"/>
  <c r="M131" i="28247"/>
  <c r="AG132" i="28247"/>
  <c r="AH132" i="28247"/>
  <c r="E133" i="28247"/>
  <c r="F133" i="28247"/>
  <c r="G133" i="28247"/>
  <c r="H133" i="28247"/>
  <c r="J133" i="28247"/>
  <c r="K133" i="28247"/>
  <c r="L133" i="28247"/>
  <c r="M133" i="28247"/>
  <c r="F17" i="28247"/>
  <c r="G17" i="28247"/>
  <c r="H17" i="28247"/>
  <c r="I17" i="28247"/>
  <c r="J17" i="28247"/>
  <c r="K17" i="28247"/>
  <c r="L17" i="28247"/>
  <c r="M17" i="28247"/>
  <c r="E17" i="28247"/>
  <c r="BW84" i="28247"/>
  <c r="BW86" i="28247"/>
  <c r="BW90" i="28247"/>
  <c r="BW93" i="28247"/>
  <c r="BW94" i="28247"/>
  <c r="BU84" i="28247"/>
  <c r="BU86" i="28247"/>
  <c r="BU87" i="28247"/>
  <c r="BU88" i="28247"/>
  <c r="BU90" i="28247"/>
  <c r="BU91" i="28247"/>
  <c r="BU92" i="28247"/>
  <c r="BU93" i="28247"/>
  <c r="BU83" i="28247"/>
  <c r="BW45" i="28247"/>
  <c r="BW46" i="28247"/>
  <c r="BW49" i="28247"/>
  <c r="BW50" i="28247"/>
  <c r="BU57" i="28247"/>
  <c r="BW35" i="28247"/>
  <c r="BW36" i="28247"/>
  <c r="BW37" i="28247"/>
  <c r="BW39" i="28247"/>
  <c r="BW41" i="28247"/>
  <c r="BW42" i="28247"/>
  <c r="BT55" i="28247"/>
  <c r="BT42" i="28247"/>
  <c r="BT29" i="28247"/>
  <c r="BW127" i="28247"/>
  <c r="BU126" i="28247"/>
  <c r="BU130" i="28247"/>
  <c r="BU132" i="28247"/>
  <c r="BU111" i="28247"/>
  <c r="BU113" i="28247"/>
  <c r="BU114" i="28247"/>
  <c r="BU115" i="28247"/>
  <c r="BU118" i="28247"/>
  <c r="BU119" i="28247"/>
  <c r="BU109" i="28247"/>
  <c r="BU97" i="28247"/>
  <c r="BU98" i="28247"/>
  <c r="BU100" i="28247"/>
  <c r="BU102" i="28247"/>
  <c r="BU103" i="28247"/>
  <c r="BW74" i="28247"/>
  <c r="BU71" i="28247"/>
  <c r="BU72" i="28247"/>
  <c r="BU74" i="28247"/>
  <c r="BU76" i="28247"/>
  <c r="BU77" i="28247"/>
  <c r="BU78" i="28247"/>
  <c r="BU79" i="28247"/>
  <c r="BU80" i="28247"/>
  <c r="BU58" i="28247"/>
  <c r="BU59" i="28247"/>
  <c r="BU60" i="28247"/>
  <c r="BU61" i="28247"/>
  <c r="BU63" i="28247"/>
  <c r="BU64" i="28247"/>
  <c r="BU67" i="28247"/>
  <c r="AS132" i="28247"/>
  <c r="AS131" i="28247"/>
  <c r="AS130" i="28247"/>
  <c r="AS129" i="28247"/>
  <c r="AS128" i="28247"/>
  <c r="AS127" i="28247"/>
  <c r="AS126" i="28247"/>
  <c r="AS125" i="28247"/>
  <c r="AS124" i="28247"/>
  <c r="AS123" i="28247"/>
  <c r="AS122" i="28247"/>
  <c r="AS119" i="28247"/>
  <c r="AS118" i="28247"/>
  <c r="AS117" i="28247"/>
  <c r="AS116" i="28247"/>
  <c r="AS115" i="28247"/>
  <c r="AS114" i="28247"/>
  <c r="AS113" i="28247"/>
  <c r="AS112" i="28247"/>
  <c r="AS111" i="28247"/>
  <c r="AS110" i="28247"/>
  <c r="AS109" i="28247"/>
  <c r="AS106" i="28247"/>
  <c r="AS105" i="28247"/>
  <c r="AS104" i="28247"/>
  <c r="AS103" i="28247"/>
  <c r="AS102" i="28247"/>
  <c r="AS101" i="28247"/>
  <c r="AS100" i="28247"/>
  <c r="AS99" i="28247"/>
  <c r="AS98" i="28247"/>
  <c r="AS97" i="28247"/>
  <c r="AS96" i="28247"/>
  <c r="AS93" i="28247"/>
  <c r="AS92" i="28247"/>
  <c r="AS91" i="28247"/>
  <c r="AS90" i="28247"/>
  <c r="AS89" i="28247"/>
  <c r="AS88" i="28247"/>
  <c r="AS87" i="28247"/>
  <c r="AS86" i="28247"/>
  <c r="AS85" i="28247"/>
  <c r="AS84" i="28247"/>
  <c r="AS83" i="28247"/>
  <c r="AS80" i="28247"/>
  <c r="AS79" i="28247"/>
  <c r="AS78" i="28247"/>
  <c r="AS77" i="28247"/>
  <c r="AS76" i="28247"/>
  <c r="AS75" i="28247"/>
  <c r="AS74" i="28247"/>
  <c r="AS73" i="28247"/>
  <c r="AS72" i="28247"/>
  <c r="AS71" i="28247"/>
  <c r="AS70" i="28247"/>
  <c r="AS67" i="28247"/>
  <c r="AS66" i="28247"/>
  <c r="AS65" i="28247"/>
  <c r="AS64" i="28247"/>
  <c r="AS63" i="28247"/>
  <c r="AS62" i="28247"/>
  <c r="AS61" i="28247"/>
  <c r="AS60" i="28247"/>
  <c r="AS59" i="28247"/>
  <c r="AS58" i="28247"/>
  <c r="AS57" i="28247"/>
  <c r="AS54" i="28247"/>
  <c r="AS53" i="28247"/>
  <c r="AS52" i="28247"/>
  <c r="AS51" i="28247"/>
  <c r="AS50" i="28247"/>
  <c r="AS49" i="28247"/>
  <c r="AS48" i="28247"/>
  <c r="AS47" i="28247"/>
  <c r="AS46" i="28247"/>
  <c r="AS45" i="28247"/>
  <c r="AS44" i="28247"/>
  <c r="AS41" i="28247"/>
  <c r="AS40" i="28247"/>
  <c r="AS39" i="28247"/>
  <c r="AS38" i="28247"/>
  <c r="AS37" i="28247"/>
  <c r="AS36" i="28247"/>
  <c r="AS35" i="28247"/>
  <c r="AS34" i="28247"/>
  <c r="AS33" i="28247"/>
  <c r="AS32" i="28247"/>
  <c r="AS31" i="28247"/>
  <c r="AS28" i="28247"/>
  <c r="AS27" i="28247"/>
  <c r="AS26" i="28247"/>
  <c r="AS25" i="28247"/>
  <c r="AS24" i="28247"/>
  <c r="AS23" i="28247"/>
  <c r="AS22" i="28247"/>
  <c r="AS21" i="28247"/>
  <c r="AS20" i="28247"/>
  <c r="AS19" i="28247"/>
  <c r="AS18" i="28247"/>
  <c r="AV131" i="28247"/>
  <c r="AV130" i="28247"/>
  <c r="AV129" i="28247"/>
  <c r="AV128" i="28247"/>
  <c r="AV127" i="28247"/>
  <c r="AV126" i="28247"/>
  <c r="AV125" i="28247"/>
  <c r="AV124" i="28247"/>
  <c r="AV123" i="28247"/>
  <c r="AV122" i="28247"/>
  <c r="AT132" i="28247"/>
  <c r="AT131" i="28247"/>
  <c r="AT130" i="28247"/>
  <c r="AT129" i="28247"/>
  <c r="AT128" i="28247"/>
  <c r="AT127" i="28247"/>
  <c r="AT126" i="28247"/>
  <c r="AT125" i="28247"/>
  <c r="AT124" i="28247"/>
  <c r="AT123" i="28247"/>
  <c r="AT122" i="28247"/>
  <c r="AV118" i="28247"/>
  <c r="AV117" i="28247"/>
  <c r="AV116" i="28247"/>
  <c r="AV115" i="28247"/>
  <c r="AV114" i="28247"/>
  <c r="AV113" i="28247"/>
  <c r="AV112" i="28247"/>
  <c r="AV111" i="28247"/>
  <c r="AV110" i="28247"/>
  <c r="AV109" i="28247"/>
  <c r="AT119" i="28247"/>
  <c r="AT118" i="28247"/>
  <c r="AT117" i="28247"/>
  <c r="AT116" i="28247"/>
  <c r="AT115" i="28247"/>
  <c r="AT114" i="28247"/>
  <c r="AT113" i="28247"/>
  <c r="AT112" i="28247"/>
  <c r="AT111" i="28247"/>
  <c r="AT110" i="28247"/>
  <c r="AT109" i="28247"/>
  <c r="AV105" i="28247"/>
  <c r="AV104" i="28247"/>
  <c r="AV103" i="28247"/>
  <c r="AV102" i="28247"/>
  <c r="AV101" i="28247"/>
  <c r="AV100" i="28247"/>
  <c r="AV99" i="28247"/>
  <c r="AV98" i="28247"/>
  <c r="AV97" i="28247"/>
  <c r="AV96" i="28247"/>
  <c r="AT104" i="28247"/>
  <c r="AT105" i="28247"/>
  <c r="AT106" i="28247"/>
  <c r="AT103" i="28247"/>
  <c r="AT102" i="28247"/>
  <c r="AT101" i="28247"/>
  <c r="AT100" i="28247"/>
  <c r="AT99" i="28247"/>
  <c r="AT98" i="28247"/>
  <c r="AT97" i="28247"/>
  <c r="AT96" i="28247"/>
  <c r="AV92" i="28247"/>
  <c r="AV91" i="28247"/>
  <c r="AV90" i="28247"/>
  <c r="AV89" i="28247"/>
  <c r="AV88" i="28247"/>
  <c r="AV87" i="28247"/>
  <c r="AV86" i="28247"/>
  <c r="AV85" i="28247"/>
  <c r="AV84" i="28247"/>
  <c r="AV83" i="28247"/>
  <c r="AT93" i="28247"/>
  <c r="AT92" i="28247"/>
  <c r="AT91" i="28247"/>
  <c r="AT90" i="28247"/>
  <c r="AT89" i="28247"/>
  <c r="AT88" i="28247"/>
  <c r="AT87" i="28247"/>
  <c r="AT86" i="28247"/>
  <c r="AT85" i="28247"/>
  <c r="AT84" i="28247"/>
  <c r="AT83" i="28247"/>
  <c r="AV77" i="28247"/>
  <c r="AV78" i="28247"/>
  <c r="AV79" i="28247"/>
  <c r="AV76" i="28247"/>
  <c r="AV75" i="28247"/>
  <c r="AV74" i="28247"/>
  <c r="AV73" i="28247"/>
  <c r="AV72" i="28247"/>
  <c r="AV71" i="28247"/>
  <c r="AV70" i="28247"/>
  <c r="AT80" i="28247"/>
  <c r="AT79" i="28247"/>
  <c r="AT78" i="28247"/>
  <c r="AT77" i="28247"/>
  <c r="AT76" i="28247"/>
  <c r="AT75" i="28247"/>
  <c r="AT74" i="28247"/>
  <c r="AT73" i="28247"/>
  <c r="AT72" i="28247"/>
  <c r="AT71" i="28247"/>
  <c r="AT70" i="28247"/>
  <c r="AV64" i="28247"/>
  <c r="AV65" i="28247"/>
  <c r="AV66" i="28247"/>
  <c r="AV63" i="28247"/>
  <c r="AV62" i="28247"/>
  <c r="AV61" i="28247"/>
  <c r="AV60" i="28247"/>
  <c r="AV59" i="28247"/>
  <c r="AV58" i="28247"/>
  <c r="AV57" i="28247"/>
  <c r="AT67" i="28247"/>
  <c r="AT66" i="28247"/>
  <c r="AT65" i="28247"/>
  <c r="AT64" i="28247"/>
  <c r="AT63" i="28247"/>
  <c r="AT62" i="28247"/>
  <c r="AT61" i="28247"/>
  <c r="AT60" i="28247"/>
  <c r="AT59" i="28247"/>
  <c r="AT58" i="28247"/>
  <c r="AT57" i="28247"/>
  <c r="AV52" i="28247"/>
  <c r="AV53" i="28247"/>
  <c r="AV51" i="28247"/>
  <c r="AV50" i="28247"/>
  <c r="AV49" i="28247"/>
  <c r="AV48" i="28247"/>
  <c r="AV47" i="28247"/>
  <c r="AV46" i="28247"/>
  <c r="AV45" i="28247"/>
  <c r="AV44" i="28247"/>
  <c r="AT55" i="28247"/>
  <c r="AT54" i="28247"/>
  <c r="AT53" i="28247"/>
  <c r="AT52" i="28247"/>
  <c r="AT51" i="28247"/>
  <c r="AT50" i="28247"/>
  <c r="AT49" i="28247"/>
  <c r="AT48" i="28247"/>
  <c r="AT47" i="28247"/>
  <c r="AT46" i="28247"/>
  <c r="AT45" i="28247"/>
  <c r="AT44" i="28247"/>
  <c r="AV38" i="28247"/>
  <c r="AV39" i="28247"/>
  <c r="AV40" i="28247"/>
  <c r="AV37" i="28247"/>
  <c r="AV36" i="28247"/>
  <c r="AV35" i="28247"/>
  <c r="AV34" i="28247"/>
  <c r="AV33" i="28247"/>
  <c r="AV32" i="28247"/>
  <c r="AV31" i="28247"/>
  <c r="AT42" i="28247"/>
  <c r="AT41" i="28247"/>
  <c r="AT40" i="28247"/>
  <c r="AT39" i="28247"/>
  <c r="AT38" i="28247"/>
  <c r="AT37" i="28247"/>
  <c r="AT36" i="28247"/>
  <c r="AT35" i="28247"/>
  <c r="AT34" i="28247"/>
  <c r="AT33" i="28247"/>
  <c r="AT32" i="28247"/>
  <c r="AT31" i="28247"/>
  <c r="AV27" i="28247"/>
  <c r="AV26" i="28247"/>
  <c r="AV25" i="28247"/>
  <c r="AV24" i="28247"/>
  <c r="AV23" i="28247"/>
  <c r="AV22" i="28247"/>
  <c r="AV21" i="28247"/>
  <c r="AV20" i="28247"/>
  <c r="AV19" i="28247"/>
  <c r="AV18" i="28247"/>
  <c r="AT29" i="28247"/>
  <c r="AT28" i="28247"/>
  <c r="AT27" i="28247"/>
  <c r="AT26" i="28247"/>
  <c r="AT25" i="28247"/>
  <c r="AT24" i="28247"/>
  <c r="AT23" i="28247"/>
  <c r="AT22" i="28247"/>
  <c r="AT21" i="28247"/>
  <c r="AT20" i="28247"/>
  <c r="AT19" i="28247"/>
  <c r="AT18" i="28247"/>
  <c r="AU132" i="28247"/>
  <c r="AW131" i="28247"/>
  <c r="AU131" i="28247"/>
  <c r="AW130" i="28247"/>
  <c r="AU130" i="28247"/>
  <c r="AW129" i="28247"/>
  <c r="AU129" i="28247"/>
  <c r="AW128" i="28247"/>
  <c r="AU128" i="28247"/>
  <c r="AW127" i="28247"/>
  <c r="AU127" i="28247"/>
  <c r="AW126" i="28247"/>
  <c r="AU126" i="28247"/>
  <c r="AW125" i="28247"/>
  <c r="AU125" i="28247"/>
  <c r="AW124" i="28247"/>
  <c r="AU124" i="28247"/>
  <c r="AW123" i="28247"/>
  <c r="AU123" i="28247"/>
  <c r="AW122" i="28247"/>
  <c r="AU122" i="28247"/>
  <c r="AU119" i="28247"/>
  <c r="AW118" i="28247"/>
  <c r="AU118" i="28247"/>
  <c r="AW117" i="28247"/>
  <c r="AU117" i="28247"/>
  <c r="AW116" i="28247"/>
  <c r="AU116" i="28247"/>
  <c r="AW115" i="28247"/>
  <c r="AU115" i="28247"/>
  <c r="AW114" i="28247"/>
  <c r="AU114" i="28247"/>
  <c r="AW113" i="28247"/>
  <c r="AU113" i="28247"/>
  <c r="AW112" i="28247"/>
  <c r="AU112" i="28247"/>
  <c r="AW111" i="28247"/>
  <c r="AU111" i="28247"/>
  <c r="AW110" i="28247"/>
  <c r="AU110" i="28247"/>
  <c r="AW109" i="28247"/>
  <c r="AU109" i="28247"/>
  <c r="AU106" i="28247"/>
  <c r="AU105" i="28247"/>
  <c r="AU104" i="28247"/>
  <c r="AU103" i="28247"/>
  <c r="AU102" i="28247"/>
  <c r="AU101" i="28247"/>
  <c r="AU100" i="28247"/>
  <c r="AU99" i="28247"/>
  <c r="AU98" i="28247"/>
  <c r="AU97" i="28247"/>
  <c r="AU96" i="28247"/>
  <c r="AU93" i="28247"/>
  <c r="AW92" i="28247"/>
  <c r="AU92" i="28247"/>
  <c r="AW91" i="28247"/>
  <c r="AU91" i="28247"/>
  <c r="AW90" i="28247"/>
  <c r="AU90" i="28247"/>
  <c r="AW89" i="28247"/>
  <c r="AU89" i="28247"/>
  <c r="AW88" i="28247"/>
  <c r="AU88" i="28247"/>
  <c r="AW87" i="28247"/>
  <c r="AU87" i="28247"/>
  <c r="AW86" i="28247"/>
  <c r="AU86" i="28247"/>
  <c r="AW85" i="28247"/>
  <c r="AU85" i="28247"/>
  <c r="AW84" i="28247"/>
  <c r="AU84" i="28247"/>
  <c r="AW83" i="28247"/>
  <c r="AU83" i="28247"/>
  <c r="AU80" i="28247"/>
  <c r="AW79" i="28247"/>
  <c r="AU79" i="28247"/>
  <c r="AW78" i="28247"/>
  <c r="AU78" i="28247"/>
  <c r="AW77" i="28247"/>
  <c r="AU77" i="28247"/>
  <c r="AW76" i="28247"/>
  <c r="AU76" i="28247"/>
  <c r="AW75" i="28247"/>
  <c r="AU75" i="28247"/>
  <c r="AW74" i="28247"/>
  <c r="AU74" i="28247"/>
  <c r="AW73" i="28247"/>
  <c r="AU73" i="28247"/>
  <c r="AW72" i="28247"/>
  <c r="AU72" i="28247"/>
  <c r="AW71" i="28247"/>
  <c r="AU71" i="28247"/>
  <c r="AW70" i="28247"/>
  <c r="AU70" i="28247"/>
  <c r="AU67" i="28247"/>
  <c r="AU66" i="28247"/>
  <c r="AU65" i="28247"/>
  <c r="AU64" i="28247"/>
  <c r="AU63" i="28247"/>
  <c r="AU62" i="28247"/>
  <c r="AU61" i="28247"/>
  <c r="AU60" i="28247"/>
  <c r="AU59" i="28247"/>
  <c r="AU58" i="28247"/>
  <c r="AU57" i="28247"/>
  <c r="AW53" i="28247"/>
  <c r="AW52" i="28247"/>
  <c r="AW51" i="28247"/>
  <c r="AW50" i="28247"/>
  <c r="AW49" i="28247"/>
  <c r="AW48" i="28247"/>
  <c r="AW47" i="28247"/>
  <c r="AW46" i="28247"/>
  <c r="AW45" i="28247"/>
  <c r="AW44" i="28247"/>
  <c r="AW40" i="28247"/>
  <c r="AW39" i="28247"/>
  <c r="AW38" i="28247"/>
  <c r="AW37" i="28247"/>
  <c r="AW36" i="28247"/>
  <c r="AW35" i="28247"/>
  <c r="AW34" i="28247"/>
  <c r="AW33" i="28247"/>
  <c r="AW32" i="28247"/>
  <c r="AW31" i="28247"/>
  <c r="Q21" i="28241"/>
  <c r="L53" i="28241"/>
  <c r="Q58" i="28241"/>
  <c r="H76" i="28241"/>
  <c r="Q71" i="28241"/>
  <c r="B27" i="28255"/>
  <c r="B36" i="28263"/>
  <c r="G3" i="28247"/>
  <c r="H70" i="28241"/>
  <c r="D32" i="28255"/>
  <c r="D84" i="28255"/>
  <c r="E84" i="28255"/>
  <c r="BS97" i="28247"/>
  <c r="CL97" i="28247"/>
  <c r="BW131" i="28247"/>
  <c r="CG130" i="28247"/>
  <c r="BV130" i="28247"/>
  <c r="CL92" i="28247"/>
  <c r="BT92" i="28247"/>
  <c r="CL84" i="28247"/>
  <c r="BT84" i="28247"/>
  <c r="CO84" i="28247"/>
  <c r="BS88" i="28247"/>
  <c r="CL88" i="28247"/>
  <c r="BT88" i="28247"/>
  <c r="CC128" i="28247"/>
  <c r="BU128" i="28247"/>
  <c r="BT127" i="28247"/>
  <c r="CC124" i="28247"/>
  <c r="BT77" i="28247"/>
  <c r="BW114" i="28247"/>
  <c r="CG114" i="28247"/>
  <c r="BS114" i="28247"/>
  <c r="CL114" i="28247"/>
  <c r="CM130" i="28247"/>
  <c r="C23" i="28259"/>
  <c r="C61" i="28259"/>
  <c r="C62" i="28259"/>
  <c r="C26" i="28259"/>
  <c r="BU131" i="28247"/>
  <c r="BU127" i="28247"/>
  <c r="BU123" i="28247"/>
  <c r="CF114" i="28247"/>
  <c r="BT114" i="28247"/>
  <c r="CC113" i="28247"/>
  <c r="CC111" i="28247"/>
  <c r="BW111" i="28247"/>
  <c r="CC109" i="28247"/>
  <c r="CL91" i="28247"/>
  <c r="BS87" i="28247"/>
  <c r="CL87" i="28247"/>
  <c r="BS83" i="28247"/>
  <c r="CL83" i="28247"/>
  <c r="CF72" i="28247"/>
  <c r="CC72" i="28247"/>
  <c r="CL64" i="28247"/>
  <c r="BV64" i="28247"/>
  <c r="BS48" i="28247"/>
  <c r="CL48" i="28247"/>
  <c r="CC44" i="28247"/>
  <c r="CG44" i="28247"/>
  <c r="CF44" i="28247"/>
  <c r="BT35" i="28247"/>
  <c r="BS35" i="28247"/>
  <c r="CL35" i="28247"/>
  <c r="CF67" i="28247"/>
  <c r="BT67" i="28247"/>
  <c r="CC67" i="28247"/>
  <c r="CG67" i="28247"/>
  <c r="BT123" i="28247"/>
  <c r="BW79" i="28247"/>
  <c r="BU104" i="28247"/>
  <c r="CF100" i="28247"/>
  <c r="BT100" i="28247"/>
  <c r="CC91" i="28247"/>
  <c r="BW91" i="28247"/>
  <c r="CC89" i="28247"/>
  <c r="CC87" i="28247"/>
  <c r="CC83" i="28247"/>
  <c r="CC76" i="28247"/>
  <c r="CC71" i="28247"/>
  <c r="CC40" i="28247"/>
  <c r="CF40" i="28247"/>
  <c r="BS27" i="28247"/>
  <c r="CL27" i="28247"/>
  <c r="CF23" i="28247"/>
  <c r="CC23" i="28247"/>
  <c r="CG23" i="28247"/>
  <c r="BV23" i="28247"/>
  <c r="CF104" i="28247"/>
  <c r="BT104" i="28247"/>
  <c r="CF98" i="28247"/>
  <c r="BT98" i="28247"/>
  <c r="CC75" i="28247"/>
  <c r="CO74" i="28247"/>
  <c r="CF65" i="28247"/>
  <c r="BT65" i="28247"/>
  <c r="CC63" i="28247"/>
  <c r="CG63" i="28247"/>
  <c r="CF63" i="28247"/>
  <c r="BT63" i="28247"/>
  <c r="CC61" i="28247"/>
  <c r="CG61" i="28247"/>
  <c r="CF61" i="28247"/>
  <c r="BT61" i="28247"/>
  <c r="CC59" i="28247"/>
  <c r="CG59" i="28247"/>
  <c r="BV59" i="28247"/>
  <c r="CF59" i="28247"/>
  <c r="BT59" i="28247"/>
  <c r="CC57" i="28247"/>
  <c r="CG57" i="28247"/>
  <c r="BV57" i="28247"/>
  <c r="CF57" i="28247"/>
  <c r="BT57" i="28247"/>
  <c r="BT47" i="28247"/>
  <c r="BS47" i="28247"/>
  <c r="CL47" i="28247"/>
  <c r="F41" i="28263"/>
  <c r="F40" i="28263"/>
  <c r="CG36" i="28247"/>
  <c r="BV36" i="28247"/>
  <c r="CC54" i="28247"/>
  <c r="CF54" i="28247"/>
  <c r="CC47" i="28247"/>
  <c r="CM21" i="28247"/>
  <c r="BS19" i="28247"/>
  <c r="CL19" i="28247"/>
  <c r="CF119" i="28247"/>
  <c r="BT119" i="28247"/>
  <c r="CC119" i="28247"/>
  <c r="C10" i="28261"/>
  <c r="C14" i="28261"/>
  <c r="C7" i="28261"/>
  <c r="C8" i="28261"/>
  <c r="C9" i="28261"/>
  <c r="G14" i="28263"/>
  <c r="G19" i="28263"/>
  <c r="CF34" i="28247"/>
  <c r="CC34" i="28247"/>
  <c r="BW34" i="28247"/>
  <c r="C25" i="28259"/>
  <c r="G41" i="28260"/>
  <c r="G42" i="28260"/>
  <c r="G10" i="28260"/>
  <c r="G11" i="28260"/>
  <c r="G12" i="28260"/>
  <c r="G9" i="28260"/>
  <c r="C24" i="28263"/>
  <c r="C38" i="28263"/>
  <c r="D24" i="28263"/>
  <c r="D38" i="28263"/>
  <c r="F14" i="28264"/>
  <c r="G39" i="28263"/>
  <c r="D75" i="28265"/>
  <c r="G40" i="28264"/>
  <c r="G42" i="28264"/>
  <c r="G68" i="28264"/>
  <c r="G53" i="28264"/>
  <c r="G52" i="28264"/>
  <c r="G44" i="28264"/>
  <c r="G45" i="28264"/>
  <c r="F29" i="28264"/>
  <c r="F74" i="28264"/>
  <c r="F75" i="28264"/>
  <c r="F76" i="28264"/>
  <c r="I9" i="28260"/>
  <c r="H21" i="28260"/>
  <c r="G58" i="28264"/>
  <c r="E12" i="28263"/>
  <c r="E9" i="28263"/>
  <c r="G10" i="28264"/>
  <c r="G11" i="28264"/>
  <c r="F58" i="28264"/>
  <c r="F59" i="28264"/>
  <c r="F39" i="28264"/>
  <c r="F44" i="28264"/>
  <c r="F45" i="28264"/>
  <c r="F53" i="28264"/>
  <c r="F52" i="28264"/>
  <c r="F79" i="28263"/>
  <c r="G21" i="28260"/>
  <c r="D11" i="28264"/>
  <c r="D10" i="28264"/>
  <c r="B36" i="28264"/>
  <c r="B74" i="28264"/>
  <c r="B75" i="28264"/>
  <c r="F42" i="28260"/>
  <c r="C38" i="28265"/>
  <c r="C39" i="28265"/>
  <c r="C41" i="28265"/>
  <c r="E36" i="28264"/>
  <c r="AN42" i="28241"/>
  <c r="B79" i="28255"/>
  <c r="E38" i="28264"/>
  <c r="E39" i="28264"/>
  <c r="G59" i="28264"/>
  <c r="E40" i="28255"/>
  <c r="E43" i="28255"/>
  <c r="E10" i="28255"/>
  <c r="E45" i="28255"/>
  <c r="B32" i="28255"/>
  <c r="B84" i="28255"/>
  <c r="F70" i="28247"/>
  <c r="G71" i="28247"/>
  <c r="H122" i="28247"/>
  <c r="I70" i="28247"/>
  <c r="I123" i="28247"/>
  <c r="G73" i="28247"/>
  <c r="F74" i="28247"/>
  <c r="F122" i="28247"/>
  <c r="G70" i="28247"/>
  <c r="G123" i="28247"/>
  <c r="I122" i="28247"/>
  <c r="F71" i="28247"/>
  <c r="G122" i="28247"/>
  <c r="H71" i="28247"/>
  <c r="I74" i="28247"/>
  <c r="AA12" i="28241"/>
  <c r="E5" i="28247"/>
  <c r="C30" i="28262"/>
  <c r="C40" i="28262"/>
  <c r="C43" i="28262"/>
  <c r="C41" i="28262"/>
  <c r="C10" i="28255"/>
  <c r="C79" i="28255"/>
  <c r="C80" i="28255"/>
  <c r="B45" i="28255"/>
  <c r="B49" i="28255"/>
  <c r="E44" i="28241"/>
  <c r="G46" i="28264"/>
  <c r="G47" i="28264"/>
  <c r="G48" i="28264"/>
  <c r="D39" i="28263"/>
  <c r="D41" i="28263"/>
  <c r="CO123" i="28247"/>
  <c r="CM123" i="28247"/>
  <c r="CG113" i="28247"/>
  <c r="BW113" i="28247"/>
  <c r="C40" i="28265"/>
  <c r="C42" i="28265"/>
  <c r="C58" i="28265"/>
  <c r="E46" i="28255"/>
  <c r="F60" i="28264"/>
  <c r="F61" i="28264"/>
  <c r="CG54" i="28247"/>
  <c r="BV54" i="28247"/>
  <c r="BV55" i="28247"/>
  <c r="BW54" i="28247"/>
  <c r="BW55" i="28247"/>
  <c r="BV63" i="28247"/>
  <c r="CO63" i="28247"/>
  <c r="BS63" i="28247"/>
  <c r="CL63" i="28247"/>
  <c r="BS40" i="28247"/>
  <c r="CL40" i="28247"/>
  <c r="BT40" i="28247"/>
  <c r="CO35" i="28247"/>
  <c r="BV44" i="28247"/>
  <c r="BW44" i="28247"/>
  <c r="CG72" i="28247"/>
  <c r="BV72" i="28247"/>
  <c r="BW72" i="28247"/>
  <c r="CG109" i="28247"/>
  <c r="BS109" i="28247"/>
  <c r="BW109" i="28247"/>
  <c r="E20" i="28255"/>
  <c r="E21" i="28255"/>
  <c r="E47" i="28255"/>
  <c r="E14" i="28263"/>
  <c r="C39" i="28263"/>
  <c r="BS34" i="28247"/>
  <c r="CL34" i="28247"/>
  <c r="BT34" i="28247"/>
  <c r="CG47" i="28247"/>
  <c r="BV47" i="28247"/>
  <c r="CO47" i="28247"/>
  <c r="CM47" i="28247"/>
  <c r="BW47" i="28247"/>
  <c r="F75" i="28263"/>
  <c r="F42" i="28263"/>
  <c r="F68" i="28263"/>
  <c r="CM59" i="28247"/>
  <c r="CO59" i="28247"/>
  <c r="CG40" i="28247"/>
  <c r="BV40" i="28247"/>
  <c r="BW40" i="28247"/>
  <c r="CG76" i="28247"/>
  <c r="BV76" i="28247"/>
  <c r="BW76" i="28247"/>
  <c r="CG87" i="28247"/>
  <c r="BV87" i="28247"/>
  <c r="BW87" i="28247"/>
  <c r="BT72" i="28247"/>
  <c r="BS72" i="28247"/>
  <c r="CL72" i="28247"/>
  <c r="CG111" i="28247"/>
  <c r="BV111" i="28247"/>
  <c r="BV114" i="28247"/>
  <c r="C45" i="28255"/>
  <c r="C49" i="28255"/>
  <c r="G44" i="28241"/>
  <c r="C72" i="28255"/>
  <c r="C46" i="28255"/>
  <c r="C50" i="28255"/>
  <c r="CG119" i="28247"/>
  <c r="BW119" i="28247"/>
  <c r="BW120" i="28247"/>
  <c r="CO27" i="28247"/>
  <c r="CM27" i="28247"/>
  <c r="BW124" i="28247"/>
  <c r="CG124" i="28247"/>
  <c r="BV124" i="28247"/>
  <c r="CM84" i="28247"/>
  <c r="G22" i="28260"/>
  <c r="G33" i="28260"/>
  <c r="H33" i="28260"/>
  <c r="H22" i="28260"/>
  <c r="G41" i="28263"/>
  <c r="G40" i="28263"/>
  <c r="G79" i="28263"/>
  <c r="BS54" i="28247"/>
  <c r="CL54" i="28247"/>
  <c r="BT54" i="28247"/>
  <c r="CG75" i="28247"/>
  <c r="BV75" i="28247"/>
  <c r="BW75" i="28247"/>
  <c r="CG71" i="28247"/>
  <c r="BV71" i="28247"/>
  <c r="BW71" i="28247"/>
  <c r="BW83" i="28247"/>
  <c r="CG83" i="28247"/>
  <c r="BV83" i="28247"/>
  <c r="CM83" i="28247"/>
  <c r="CG91" i="28247"/>
  <c r="BV91" i="28247"/>
  <c r="CM91" i="28247"/>
  <c r="BS44" i="28247"/>
  <c r="CL44" i="28247"/>
  <c r="BT44" i="28247"/>
  <c r="CO103" i="28247"/>
  <c r="CM103" i="28247"/>
  <c r="BW128" i="28247"/>
  <c r="CG128" i="28247"/>
  <c r="BV128" i="28247"/>
  <c r="D40" i="28263"/>
  <c r="CO54" i="28247"/>
  <c r="CO55" i="28247"/>
  <c r="G35" i="28260"/>
  <c r="C47" i="28262"/>
  <c r="E19" i="28263"/>
  <c r="CL109" i="28247"/>
  <c r="BV109" i="28247"/>
  <c r="CO109" i="28247"/>
  <c r="G53" i="28263"/>
  <c r="G44" i="28263"/>
  <c r="G45" i="28263"/>
  <c r="G75" i="28263"/>
  <c r="G42" i="28263"/>
  <c r="G68" i="28263"/>
  <c r="BS111" i="28247"/>
  <c r="CL111" i="28247"/>
  <c r="H35" i="28260"/>
  <c r="BS113" i="28247"/>
  <c r="CL113" i="28247"/>
  <c r="BV113" i="28247"/>
  <c r="CO113" i="28247"/>
  <c r="CM113" i="28247"/>
  <c r="CM109" i="28247"/>
  <c r="D75" i="28263"/>
  <c r="T53" i="28241"/>
  <c r="AI39" i="28241"/>
  <c r="AI42" i="28241"/>
  <c r="V34" i="28241"/>
  <c r="E72" i="28255"/>
  <c r="D59" i="28255"/>
  <c r="D69" i="28255"/>
  <c r="D10" i="28263"/>
  <c r="D11" i="28263"/>
  <c r="D40" i="28255"/>
  <c r="D43" i="28255"/>
  <c r="C55" i="28262"/>
  <c r="C41" i="28255"/>
  <c r="C40" i="28255"/>
  <c r="C43" i="28255"/>
  <c r="C48" i="28255"/>
  <c r="E41" i="28262"/>
  <c r="E40" i="28262"/>
  <c r="E43" i="28262"/>
  <c r="C38" i="28264"/>
  <c r="C39" i="28264"/>
  <c r="C11" i="28265"/>
  <c r="C10" i="28265"/>
  <c r="B40" i="28255"/>
  <c r="B43" i="28255"/>
  <c r="B47" i="28255"/>
  <c r="B41" i="28255"/>
  <c r="B39" i="28263"/>
  <c r="F33" i="28260"/>
  <c r="F22" i="28260"/>
  <c r="D72" i="28255"/>
  <c r="D45" i="28255"/>
  <c r="B46" i="28255"/>
  <c r="B72" i="28255"/>
  <c r="B11" i="28265"/>
  <c r="B10" i="28265"/>
  <c r="B10" i="28261"/>
  <c r="B14" i="28261"/>
  <c r="E24" i="28263"/>
  <c r="H41" i="28260"/>
  <c r="H42" i="28260"/>
  <c r="B10" i="28260"/>
  <c r="B11" i="28260"/>
  <c r="B12" i="28260"/>
  <c r="B31" i="28260"/>
  <c r="B24" i="28264"/>
  <c r="C19" i="28265"/>
  <c r="I71" i="28247"/>
  <c r="F123" i="28247"/>
  <c r="D41" i="28260"/>
  <c r="D9" i="28260"/>
  <c r="B23" i="28259"/>
  <c r="B61" i="28259"/>
  <c r="B62" i="28259"/>
  <c r="B24" i="28265"/>
  <c r="H10" i="28260"/>
  <c r="H11" i="28260"/>
  <c r="H12" i="28260"/>
  <c r="F35" i="28260"/>
  <c r="C20" i="28255"/>
  <c r="C21" i="28255"/>
  <c r="C47" i="28255"/>
  <c r="E20" i="28262"/>
  <c r="E21" i="28262"/>
  <c r="CF117" i="28247"/>
  <c r="BT117" i="28247"/>
  <c r="BU117" i="28247"/>
  <c r="CC117" i="28247"/>
  <c r="D19" i="28255"/>
  <c r="D41" i="28255"/>
  <c r="D46" i="28255"/>
  <c r="D50" i="28255"/>
  <c r="F70" i="28263"/>
  <c r="F77" i="28263"/>
  <c r="F69" i="28263"/>
  <c r="BT76" i="28247"/>
  <c r="CO87" i="28247"/>
  <c r="CM87" i="28247"/>
  <c r="G70" i="28264"/>
  <c r="G69" i="28264"/>
  <c r="BT23" i="28247"/>
  <c r="BS23" i="28247"/>
  <c r="CL23" i="28247"/>
  <c r="BU105" i="28247"/>
  <c r="CF105" i="28247"/>
  <c r="BT105" i="28247"/>
  <c r="CC105" i="28247"/>
  <c r="CG105" i="28247"/>
  <c r="CF99" i="28247"/>
  <c r="BT99" i="28247"/>
  <c r="BU99" i="28247"/>
  <c r="D22" i="28260"/>
  <c r="D42" i="28260"/>
  <c r="D33" i="28260"/>
  <c r="K34" i="28260"/>
  <c r="K22" i="28260"/>
  <c r="K42" i="28260"/>
  <c r="K43" i="28260"/>
  <c r="K33" i="28260"/>
  <c r="D40" i="28262"/>
  <c r="D43" i="28262"/>
  <c r="D41" i="28262"/>
  <c r="E40" i="28264"/>
  <c r="E41" i="28264"/>
  <c r="BW80" i="28247"/>
  <c r="BW81" i="28247"/>
  <c r="CG80" i="28247"/>
  <c r="BV80" i="28247"/>
  <c r="BV81" i="28247"/>
  <c r="E10" i="28263"/>
  <c r="E11" i="28263"/>
  <c r="CG126" i="28247"/>
  <c r="BV126" i="28247"/>
  <c r="BW126" i="28247"/>
  <c r="F47" i="28264"/>
  <c r="F46" i="28264"/>
  <c r="F48" i="28264"/>
  <c r="CM111" i="28247"/>
  <c r="CF73" i="28247"/>
  <c r="CC73" i="28247"/>
  <c r="BU73" i="28247"/>
  <c r="B59" i="28255"/>
  <c r="B69" i="28255"/>
  <c r="C41" i="28264"/>
  <c r="C40" i="28264"/>
  <c r="C42" i="28264"/>
  <c r="F41" i="28264"/>
  <c r="F40" i="28264"/>
  <c r="F42" i="28264"/>
  <c r="CG92" i="28247"/>
  <c r="BV92" i="28247"/>
  <c r="BW92" i="28247"/>
  <c r="BT85" i="28247"/>
  <c r="BS85" i="28247"/>
  <c r="CL85" i="28247"/>
  <c r="CF106" i="28247"/>
  <c r="BT106" i="28247"/>
  <c r="BU106" i="28247"/>
  <c r="CC106" i="28247"/>
  <c r="CG106" i="28247"/>
  <c r="E12" i="28265"/>
  <c r="E14" i="28265"/>
  <c r="E19" i="28265"/>
  <c r="E9" i="28265"/>
  <c r="G69" i="28263"/>
  <c r="G70" i="28263"/>
  <c r="G77" i="28263"/>
  <c r="BS18" i="28247"/>
  <c r="CL18" i="28247"/>
  <c r="BT18" i="28247"/>
  <c r="BT75" i="28247"/>
  <c r="BS75" i="28247"/>
  <c r="CL75" i="28247"/>
  <c r="B38" i="28264"/>
  <c r="B39" i="28264"/>
  <c r="C40" i="28263"/>
  <c r="C41" i="28263"/>
  <c r="G54" i="28264"/>
  <c r="CG32" i="28247"/>
  <c r="BV32" i="28247"/>
  <c r="CO57" i="28247"/>
  <c r="CM57" i="28247"/>
  <c r="CC99" i="28247"/>
  <c r="CG99" i="28247"/>
  <c r="CF96" i="28247"/>
  <c r="BT96" i="28247"/>
  <c r="BU96" i="28247"/>
  <c r="CC96" i="28247"/>
  <c r="CG96" i="28247"/>
  <c r="CF125" i="28247"/>
  <c r="BU125" i="28247"/>
  <c r="CC125" i="28247"/>
  <c r="BS102" i="28247"/>
  <c r="CL102" i="28247"/>
  <c r="BV102" i="28247"/>
  <c r="E39" i="28265"/>
  <c r="B36" i="28265"/>
  <c r="B64" i="28265"/>
  <c r="B65" i="28265"/>
  <c r="B38" i="28265"/>
  <c r="B39" i="28265"/>
  <c r="E38" i="28265"/>
  <c r="BV61" i="28247"/>
  <c r="BS61" i="28247"/>
  <c r="CL61" i="28247"/>
  <c r="CF129" i="28247"/>
  <c r="BU129" i="28247"/>
  <c r="CC129" i="28247"/>
  <c r="BV60" i="28247"/>
  <c r="CM60" i="28247"/>
  <c r="B41" i="28263"/>
  <c r="B40" i="28263"/>
  <c r="G46" i="28263"/>
  <c r="G47" i="28263"/>
  <c r="D42" i="28263"/>
  <c r="D68" i="28263"/>
  <c r="D79" i="28263"/>
  <c r="C20" i="28262"/>
  <c r="C21" i="28262"/>
  <c r="C45" i="28262"/>
  <c r="CM36" i="28247"/>
  <c r="CO36" i="28247"/>
  <c r="C28" i="28259"/>
  <c r="C27" i="28259"/>
  <c r="C29" i="28259"/>
  <c r="C38" i="28259"/>
  <c r="CM97" i="28247"/>
  <c r="CO97" i="28247"/>
  <c r="BS86" i="28247"/>
  <c r="CL86" i="28247"/>
  <c r="BT86" i="28247"/>
  <c r="BT32" i="28247"/>
  <c r="BS32" i="28247"/>
  <c r="CL32" i="28247"/>
  <c r="CM19" i="28247"/>
  <c r="CO19" i="28247"/>
  <c r="CO28" i="28247"/>
  <c r="CO29" i="28247"/>
  <c r="CM28" i="28247"/>
  <c r="C33" i="28260"/>
  <c r="C22" i="28260"/>
  <c r="C42" i="28260"/>
  <c r="B33" i="28260"/>
  <c r="B22" i="28260"/>
  <c r="B42" i="28260"/>
  <c r="C11" i="28264"/>
  <c r="C10" i="28264"/>
  <c r="D48" i="28255"/>
  <c r="D20" i="28255"/>
  <c r="D21" i="28255"/>
  <c r="CM72" i="28247"/>
  <c r="CO72" i="28247"/>
  <c r="BS59" i="28247"/>
  <c r="CL59" i="28247"/>
  <c r="G60" i="28264"/>
  <c r="G61" i="28264"/>
  <c r="CM63" i="28247"/>
  <c r="CO104" i="28247"/>
  <c r="CM131" i="28247"/>
  <c r="BT126" i="28247"/>
  <c r="BS126" i="28247"/>
  <c r="CL126" i="28247"/>
  <c r="BS100" i="28247"/>
  <c r="CL100" i="28247"/>
  <c r="BV100" i="28247"/>
  <c r="BT90" i="28247"/>
  <c r="BS90" i="28247"/>
  <c r="CL90" i="28247"/>
  <c r="CC85" i="28247"/>
  <c r="BU85" i="28247"/>
  <c r="CC38" i="28247"/>
  <c r="CF38" i="28247"/>
  <c r="BT39" i="28247"/>
  <c r="BS39" i="28247"/>
  <c r="CL39" i="28247"/>
  <c r="C23" i="28261"/>
  <c r="C50" i="28261"/>
  <c r="C51" i="28261"/>
  <c r="CG89" i="28247"/>
  <c r="BV89" i="28247"/>
  <c r="BW89" i="28247"/>
  <c r="CM114" i="28247"/>
  <c r="CO130" i="28247"/>
  <c r="BW115" i="28247"/>
  <c r="CG115" i="28247"/>
  <c r="CF110" i="28247"/>
  <c r="BT110" i="28247"/>
  <c r="CC110" i="28247"/>
  <c r="CG48" i="28247"/>
  <c r="BV48" i="28247"/>
  <c r="BW48" i="28247"/>
  <c r="B42" i="28261"/>
  <c r="B27" i="28261"/>
  <c r="B29" i="28261"/>
  <c r="B38" i="28261"/>
  <c r="B25" i="28261"/>
  <c r="B30" i="28262"/>
  <c r="B20" i="28255"/>
  <c r="B21" i="28255"/>
  <c r="CO44" i="28247"/>
  <c r="CM44" i="28247"/>
  <c r="BS57" i="28247"/>
  <c r="CL57" i="28247"/>
  <c r="CM40" i="28247"/>
  <c r="CO40" i="28247"/>
  <c r="CO119" i="28247"/>
  <c r="CO120" i="28247"/>
  <c r="BS28" i="28247"/>
  <c r="CL28" i="28247"/>
  <c r="BV67" i="28247"/>
  <c r="BS67" i="28247"/>
  <c r="CL67" i="28247"/>
  <c r="CO127" i="28247"/>
  <c r="CM127" i="28247"/>
  <c r="BT128" i="28247"/>
  <c r="BS128" i="28247"/>
  <c r="CL128" i="28247"/>
  <c r="BS104" i="28247"/>
  <c r="CL104" i="28247"/>
  <c r="BV104" i="28247"/>
  <c r="CM104" i="28247"/>
  <c r="BV98" i="28247"/>
  <c r="CM98" i="28247"/>
  <c r="BS98" i="28247"/>
  <c r="CL98" i="28247"/>
  <c r="CO91" i="28247"/>
  <c r="CC66" i="28247"/>
  <c r="CG66" i="28247"/>
  <c r="CF66" i="28247"/>
  <c r="BT66" i="28247"/>
  <c r="BU66" i="28247"/>
  <c r="CO64" i="28247"/>
  <c r="CM64" i="28247"/>
  <c r="CC52" i="28247"/>
  <c r="CF52" i="28247"/>
  <c r="CO50" i="28247"/>
  <c r="CM50" i="28247"/>
  <c r="CF25" i="28247"/>
  <c r="CC25" i="28247"/>
  <c r="CG25" i="28247"/>
  <c r="BV25" i="28247"/>
  <c r="BT93" i="28247"/>
  <c r="BS93" i="28247"/>
  <c r="CL93" i="28247"/>
  <c r="D47" i="28255"/>
  <c r="D49" i="28255"/>
  <c r="CO111" i="28247"/>
  <c r="CM54" i="28247"/>
  <c r="BV119" i="28247"/>
  <c r="BV120" i="28247"/>
  <c r="BS119" i="28247"/>
  <c r="CL119" i="28247"/>
  <c r="CG34" i="28247"/>
  <c r="BV34" i="28247"/>
  <c r="E49" i="28255"/>
  <c r="F54" i="28264"/>
  <c r="CM26" i="28247"/>
  <c r="BU110" i="28247"/>
  <c r="CF116" i="28247"/>
  <c r="BT116" i="28247"/>
  <c r="BU116" i="28247"/>
  <c r="CC116" i="28247"/>
  <c r="CO83" i="28247"/>
  <c r="CC70" i="28247"/>
  <c r="CF70" i="28247"/>
  <c r="BU70" i="28247"/>
  <c r="CF62" i="28247"/>
  <c r="BT62" i="28247"/>
  <c r="CC62" i="28247"/>
  <c r="CG62" i="28247"/>
  <c r="BU62" i="28247"/>
  <c r="CO60" i="28247"/>
  <c r="BT49" i="28247"/>
  <c r="BS49" i="28247"/>
  <c r="CL49" i="28247"/>
  <c r="BT20" i="28247"/>
  <c r="BS20" i="28247"/>
  <c r="CL20" i="28247"/>
  <c r="B48" i="28255"/>
  <c r="B50" i="28255"/>
  <c r="CO114" i="28247"/>
  <c r="E48" i="28255"/>
  <c r="E50" i="28255"/>
  <c r="G52" i="28263"/>
  <c r="G54" i="28263"/>
  <c r="G58" i="28263"/>
  <c r="G59" i="28263"/>
  <c r="B26" i="28261"/>
  <c r="B28" i="28261"/>
  <c r="CF112" i="28247"/>
  <c r="BT112" i="28247"/>
  <c r="CC112" i="28247"/>
  <c r="BU112" i="28247"/>
  <c r="CF101" i="28247"/>
  <c r="BT101" i="28247"/>
  <c r="BU101" i="28247"/>
  <c r="CC101" i="28247"/>
  <c r="CG101" i="28247"/>
  <c r="CG79" i="28247"/>
  <c r="BV79" i="28247"/>
  <c r="CF31" i="28247"/>
  <c r="CC31" i="28247"/>
  <c r="L8" i="28241"/>
  <c r="BT122" i="28247"/>
  <c r="BS122" i="28247"/>
  <c r="CL122" i="28247"/>
  <c r="BW77" i="28247"/>
  <c r="CG77" i="28247"/>
  <c r="BV77" i="28247"/>
  <c r="CM77" i="28247"/>
  <c r="CG132" i="28247"/>
  <c r="BV132" i="28247"/>
  <c r="BW132" i="28247"/>
  <c r="BW133" i="28247"/>
  <c r="D5" i="28262"/>
  <c r="E5" i="28255"/>
  <c r="C5" i="28262"/>
  <c r="B5" i="28262"/>
  <c r="D5" i="28255"/>
  <c r="D56" i="28262"/>
  <c r="B12" i="28263"/>
  <c r="B9" i="28263"/>
  <c r="D9" i="28265"/>
  <c r="D12" i="28265"/>
  <c r="D14" i="28265"/>
  <c r="D19" i="28265"/>
  <c r="CF124" i="28247"/>
  <c r="BU124" i="28247"/>
  <c r="BU122" i="28247"/>
  <c r="CC122" i="28247"/>
  <c r="CC118" i="28247"/>
  <c r="CF89" i="28247"/>
  <c r="CG88" i="28247"/>
  <c r="BV88" i="28247"/>
  <c r="BW88" i="28247"/>
  <c r="BT79" i="28247"/>
  <c r="BU65" i="28247"/>
  <c r="CC65" i="28247"/>
  <c r="CG65" i="28247"/>
  <c r="CF53" i="28247"/>
  <c r="CC53" i="28247"/>
  <c r="CF51" i="28247"/>
  <c r="CC51" i="28247"/>
  <c r="BS46" i="28247"/>
  <c r="CL46" i="28247"/>
  <c r="BT46" i="28247"/>
  <c r="CC33" i="28247"/>
  <c r="CF33" i="28247"/>
  <c r="F14" i="28263"/>
  <c r="F19" i="28263"/>
  <c r="E5" i="28262"/>
  <c r="F11" i="28264"/>
  <c r="F10" i="28264"/>
  <c r="CC22" i="28247"/>
  <c r="CG22" i="28247"/>
  <c r="BV22" i="28247"/>
  <c r="CF22" i="28247"/>
  <c r="BS80" i="28247"/>
  <c r="CL80" i="28247"/>
  <c r="BT80" i="28247"/>
  <c r="B23" i="28261"/>
  <c r="B50" i="28261"/>
  <c r="B51" i="28261"/>
  <c r="E13" i="28262"/>
  <c r="E55" i="28262"/>
  <c r="E56" i="28262"/>
  <c r="E10" i="28262"/>
  <c r="CC58" i="28247"/>
  <c r="CG58" i="28247"/>
  <c r="CF58" i="28247"/>
  <c r="BT58" i="28247"/>
  <c r="E21" i="28260"/>
  <c r="D38" i="28264"/>
  <c r="D39" i="28264"/>
  <c r="CC78" i="28247"/>
  <c r="B48" i="28259"/>
  <c r="C32" i="28255"/>
  <c r="C84" i="28255"/>
  <c r="CF71" i="28247"/>
  <c r="CF45" i="28247"/>
  <c r="CF24" i="28247"/>
  <c r="CF41" i="28247"/>
  <c r="J43" i="28260"/>
  <c r="J37" i="28260"/>
  <c r="B55" i="28262"/>
  <c r="E79" i="28255"/>
  <c r="K123" i="28247"/>
  <c r="M70" i="28247"/>
  <c r="J74" i="28247"/>
  <c r="F19" i="28247"/>
  <c r="E23" i="28247"/>
  <c r="F84" i="28247"/>
  <c r="K19" i="28247"/>
  <c r="L23" i="28247"/>
  <c r="I84" i="28247"/>
  <c r="J83" i="28247"/>
  <c r="H31" i="28247"/>
  <c r="H20" i="28247"/>
  <c r="I125" i="28247"/>
  <c r="K124" i="28247"/>
  <c r="J124" i="28247"/>
  <c r="L31" i="28247"/>
  <c r="G72" i="28247"/>
  <c r="E125" i="28247"/>
  <c r="J80" i="28247"/>
  <c r="G76" i="28247"/>
  <c r="F115" i="28247"/>
  <c r="G115" i="28247"/>
  <c r="H55" i="28247"/>
  <c r="G119" i="28247"/>
  <c r="F113" i="28247"/>
  <c r="G35" i="28247"/>
  <c r="I34" i="28247"/>
  <c r="E119" i="28247"/>
  <c r="K34" i="28247"/>
  <c r="K35" i="28247"/>
  <c r="L119" i="28247"/>
  <c r="L120" i="28247"/>
  <c r="M76" i="28247"/>
  <c r="M77" i="28247"/>
  <c r="J113" i="28247"/>
  <c r="F132" i="28247"/>
  <c r="H120" i="28247"/>
  <c r="H123" i="28247"/>
  <c r="H73" i="28247"/>
  <c r="L73" i="28247"/>
  <c r="M122" i="28247"/>
  <c r="J71" i="28247"/>
  <c r="E18" i="28247"/>
  <c r="L18" i="28247"/>
  <c r="J23" i="28247"/>
  <c r="H32" i="28247"/>
  <c r="H21" i="28247"/>
  <c r="E20" i="28247"/>
  <c r="I21" i="28247"/>
  <c r="K20" i="28247"/>
  <c r="J20" i="28247"/>
  <c r="L125" i="28247"/>
  <c r="J72" i="28247"/>
  <c r="F81" i="28247"/>
  <c r="J81" i="28247"/>
  <c r="G77" i="28247"/>
  <c r="F76" i="28247"/>
  <c r="G116" i="28247"/>
  <c r="I54" i="28247"/>
  <c r="G55" i="28247"/>
  <c r="F126" i="28247"/>
  <c r="H112" i="28247"/>
  <c r="I22" i="28247"/>
  <c r="E22" i="28247"/>
  <c r="K54" i="28247"/>
  <c r="K55" i="28247"/>
  <c r="L115" i="28247"/>
  <c r="L116" i="28247"/>
  <c r="M22" i="28247"/>
  <c r="J112" i="28247"/>
  <c r="J126" i="28247"/>
  <c r="H132" i="28247"/>
  <c r="F73" i="28247"/>
  <c r="K73" i="28247"/>
  <c r="L122" i="28247"/>
  <c r="M71" i="28247"/>
  <c r="E73" i="28247"/>
  <c r="G18" i="28247"/>
  <c r="I19" i="28247"/>
  <c r="E19" i="28247"/>
  <c r="G24" i="28247"/>
  <c r="K83" i="28247"/>
  <c r="L24" i="28247"/>
  <c r="M23" i="28247"/>
  <c r="J24" i="28247"/>
  <c r="F32" i="28247"/>
  <c r="K32" i="28247"/>
  <c r="F21" i="28247"/>
  <c r="H125" i="28247"/>
  <c r="K21" i="28247"/>
  <c r="J125" i="28247"/>
  <c r="L32" i="28247"/>
  <c r="K72" i="28247"/>
  <c r="I81" i="28247"/>
  <c r="M81" i="28247"/>
  <c r="E76" i="28247"/>
  <c r="F77" i="28247"/>
  <c r="F119" i="28247"/>
  <c r="I115" i="28247"/>
  <c r="L70" i="28247"/>
  <c r="J70" i="28247"/>
  <c r="E71" i="28247"/>
  <c r="H18" i="28247"/>
  <c r="K23" i="28247"/>
  <c r="M19" i="28247"/>
  <c r="G32" i="28247"/>
  <c r="M31" i="28247"/>
  <c r="F20" i="28247"/>
  <c r="F125" i="28247"/>
  <c r="K125" i="28247"/>
  <c r="L124" i="28247"/>
  <c r="E124" i="28247"/>
  <c r="L81" i="28247"/>
  <c r="F116" i="28247"/>
  <c r="H54" i="28247"/>
  <c r="G22" i="28247"/>
  <c r="I112" i="28247"/>
  <c r="E126" i="28247"/>
  <c r="K22" i="28247"/>
  <c r="L54" i="28247"/>
  <c r="M112" i="28247"/>
  <c r="M55" i="28247"/>
  <c r="J22" i="28247"/>
  <c r="I132" i="28247"/>
  <c r="L74" i="28247"/>
  <c r="J122" i="28247"/>
  <c r="E74" i="28247"/>
  <c r="G19" i="28247"/>
  <c r="H19" i="28247"/>
  <c r="K18" i="28247"/>
  <c r="L83" i="28247"/>
  <c r="J84" i="28247"/>
  <c r="I31" i="28247"/>
  <c r="M32" i="28247"/>
  <c r="I124" i="28247"/>
  <c r="M124" i="28247"/>
  <c r="L20" i="28247"/>
  <c r="G81" i="28247"/>
  <c r="K80" i="28247"/>
  <c r="H115" i="28247"/>
  <c r="H119" i="28247"/>
  <c r="G113" i="28247"/>
  <c r="I113" i="28247"/>
  <c r="E35" i="28247"/>
  <c r="K113" i="28247"/>
  <c r="L76" i="28247"/>
  <c r="M34" i="28247"/>
  <c r="M120" i="28247"/>
  <c r="J35" i="28247"/>
  <c r="I120" i="28247"/>
  <c r="H81" i="28247"/>
  <c r="H70" i="28247"/>
  <c r="K70" i="28247"/>
  <c r="M73" i="28247"/>
  <c r="E24" i="28247"/>
  <c r="F23" i="28247"/>
  <c r="H23" i="28247"/>
  <c r="G84" i="28247"/>
  <c r="M83" i="28247"/>
  <c r="E31" i="28247"/>
  <c r="K31" i="28247"/>
  <c r="G124" i="28247"/>
  <c r="M21" i="28247"/>
  <c r="L72" i="28247"/>
  <c r="H80" i="28247"/>
  <c r="E80" i="28247"/>
  <c r="H77" i="28247"/>
  <c r="I116" i="28247"/>
  <c r="F22" i="28247"/>
  <c r="H22" i="28247"/>
  <c r="E112" i="28247"/>
  <c r="K112" i="28247"/>
  <c r="K116" i="28247"/>
  <c r="L126" i="28247"/>
  <c r="M115" i="28247"/>
  <c r="J54" i="28247"/>
  <c r="J116" i="28247"/>
  <c r="E11" i="28264"/>
  <c r="E10" i="28264"/>
  <c r="BS78" i="28247"/>
  <c r="CL78" i="28247"/>
  <c r="BT78" i="28247"/>
  <c r="BT37" i="28247"/>
  <c r="I21" i="28260"/>
  <c r="AM41" i="28241"/>
  <c r="AM42" i="28241"/>
  <c r="AN41" i="28241"/>
  <c r="B12" i="28264"/>
  <c r="B9" i="28264"/>
  <c r="D12" i="28247"/>
  <c r="D50" i="28265"/>
  <c r="D24" i="28265"/>
  <c r="E27" i="28262"/>
  <c r="E32" i="28262"/>
  <c r="E59" i="28262"/>
  <c r="E26" i="28263"/>
  <c r="B20" i="28259"/>
  <c r="B25" i="28259"/>
  <c r="B27" i="28262"/>
  <c r="B32" i="28262"/>
  <c r="B59" i="28262"/>
  <c r="R14" i="28241"/>
  <c r="AJ43" i="28241"/>
  <c r="C20" i="28261"/>
  <c r="C36" i="28265"/>
  <c r="C64" i="28265"/>
  <c r="C65" i="28265"/>
  <c r="C32" i="28262"/>
  <c r="B40" i="28265"/>
  <c r="B42" i="28265"/>
  <c r="B58" i="28265"/>
  <c r="B41" i="28265"/>
  <c r="BS24" i="28247"/>
  <c r="CL24" i="28247"/>
  <c r="BT24" i="28247"/>
  <c r="F53" i="28263"/>
  <c r="F44" i="28263"/>
  <c r="F58" i="28263"/>
  <c r="F60" i="28263"/>
  <c r="F61" i="28263"/>
  <c r="F45" i="28263"/>
  <c r="F59" i="28263"/>
  <c r="F52" i="28263"/>
  <c r="F54" i="28263"/>
  <c r="B19" i="28263"/>
  <c r="B14" i="28263"/>
  <c r="B79" i="28263"/>
  <c r="CM132" i="28247"/>
  <c r="CO132" i="28247"/>
  <c r="CO133" i="28247"/>
  <c r="BV133" i="28247"/>
  <c r="BS62" i="28247"/>
  <c r="CL62" i="28247"/>
  <c r="BV62" i="28247"/>
  <c r="CO62" i="28247"/>
  <c r="BW85" i="28247"/>
  <c r="CG85" i="28247"/>
  <c r="BV85" i="28247"/>
  <c r="BT45" i="28247"/>
  <c r="BS45" i="28247"/>
  <c r="CL45" i="28247"/>
  <c r="BV101" i="28247"/>
  <c r="BS101" i="28247"/>
  <c r="CL101" i="28247"/>
  <c r="CM62" i="28247"/>
  <c r="CM128" i="28247"/>
  <c r="CO128" i="28247"/>
  <c r="B41" i="28262"/>
  <c r="B40" i="28262"/>
  <c r="B43" i="28262"/>
  <c r="BS129" i="28247"/>
  <c r="CL129" i="28247"/>
  <c r="BT129" i="28247"/>
  <c r="BS22" i="28247"/>
  <c r="CL22" i="28247"/>
  <c r="BT22" i="28247"/>
  <c r="G55" i="28263"/>
  <c r="G62" i="28263"/>
  <c r="B41" i="28264"/>
  <c r="B40" i="28264"/>
  <c r="B42" i="28264"/>
  <c r="E10" i="28265"/>
  <c r="E11" i="28265"/>
  <c r="BS58" i="28247"/>
  <c r="CL58" i="28247"/>
  <c r="BV58" i="28247"/>
  <c r="CG33" i="28247"/>
  <c r="BV33" i="28247"/>
  <c r="BW33" i="28247"/>
  <c r="CO101" i="28247"/>
  <c r="CM101" i="28247"/>
  <c r="BT70" i="28247"/>
  <c r="BS70" i="28247"/>
  <c r="CL70" i="28247"/>
  <c r="F55" i="28264"/>
  <c r="F62" i="28264"/>
  <c r="CM100" i="28247"/>
  <c r="CO100" i="28247"/>
  <c r="CM61" i="28247"/>
  <c r="CO61" i="28247"/>
  <c r="BT125" i="28247"/>
  <c r="BS125" i="28247"/>
  <c r="CL125" i="28247"/>
  <c r="G62" i="28264"/>
  <c r="G55" i="28264"/>
  <c r="CO98" i="28247"/>
  <c r="F68" i="28264"/>
  <c r="E42" i="28264"/>
  <c r="E68" i="28264"/>
  <c r="I22" i="28260"/>
  <c r="I42" i="28260"/>
  <c r="I33" i="28260"/>
  <c r="B56" i="28262"/>
  <c r="E47" i="28262"/>
  <c r="E45" i="28262"/>
  <c r="CO46" i="28247"/>
  <c r="CM46" i="28247"/>
  <c r="CO79" i="28247"/>
  <c r="CM79" i="28247"/>
  <c r="BT124" i="28247"/>
  <c r="BS124" i="28247"/>
  <c r="CL124" i="28247"/>
  <c r="CM122" i="28247"/>
  <c r="CO122" i="28247"/>
  <c r="CM49" i="28247"/>
  <c r="CO49" i="28247"/>
  <c r="CG70" i="28247"/>
  <c r="BV70" i="28247"/>
  <c r="BW70" i="28247"/>
  <c r="BS52" i="28247"/>
  <c r="CL52" i="28247"/>
  <c r="BT52" i="28247"/>
  <c r="CO77" i="28247"/>
  <c r="CO39" i="28247"/>
  <c r="CM39" i="28247"/>
  <c r="C69" i="28255"/>
  <c r="BS96" i="28247"/>
  <c r="CL96" i="28247"/>
  <c r="BV96" i="28247"/>
  <c r="CM96" i="28247"/>
  <c r="BS106" i="28247"/>
  <c r="CL106" i="28247"/>
  <c r="BV106" i="28247"/>
  <c r="BV107" i="28247"/>
  <c r="CM23" i="28247"/>
  <c r="CO23" i="28247"/>
  <c r="D40" i="28264"/>
  <c r="D41" i="28264"/>
  <c r="BW53" i="28247"/>
  <c r="CG53" i="28247"/>
  <c r="BV53" i="28247"/>
  <c r="CM32" i="28247"/>
  <c r="CO32" i="28247"/>
  <c r="CM85" i="28247"/>
  <c r="CO85" i="28247"/>
  <c r="BT73" i="28247"/>
  <c r="BS73" i="28247"/>
  <c r="CL73" i="28247"/>
  <c r="BW122" i="28247"/>
  <c r="CG122" i="28247"/>
  <c r="BV122" i="28247"/>
  <c r="G60" i="28263"/>
  <c r="G61" i="28263"/>
  <c r="CM66" i="28247"/>
  <c r="CO66" i="28247"/>
  <c r="CO86" i="28247"/>
  <c r="CM86" i="28247"/>
  <c r="CM105" i="28247"/>
  <c r="BT71" i="28247"/>
  <c r="BS71" i="28247"/>
  <c r="CL71" i="28247"/>
  <c r="BS65" i="28247"/>
  <c r="CL65" i="28247"/>
  <c r="BV65" i="28247"/>
  <c r="CG117" i="28247"/>
  <c r="BW117" i="28247"/>
  <c r="E38" i="28263"/>
  <c r="D38" i="28265"/>
  <c r="D39" i="28265"/>
  <c r="E39" i="28263"/>
  <c r="BW52" i="28247"/>
  <c r="CG52" i="28247"/>
  <c r="BV52" i="28247"/>
  <c r="BV68" i="28247"/>
  <c r="CO67" i="28247"/>
  <c r="CO68" i="28247"/>
  <c r="CM67" i="28247"/>
  <c r="BT38" i="28247"/>
  <c r="BS38" i="28247"/>
  <c r="CL38" i="28247"/>
  <c r="C59" i="28255"/>
  <c r="B26" i="28259"/>
  <c r="CO88" i="28247"/>
  <c r="CM88" i="28247"/>
  <c r="CM48" i="28247"/>
  <c r="CO48" i="28247"/>
  <c r="BW38" i="28247"/>
  <c r="CG38" i="28247"/>
  <c r="BV38" i="28247"/>
  <c r="CO126" i="28247"/>
  <c r="CM126" i="28247"/>
  <c r="G48" i="28263"/>
  <c r="E41" i="28265"/>
  <c r="E40" i="28265"/>
  <c r="E42" i="28265"/>
  <c r="E58" i="28265"/>
  <c r="C79" i="28263"/>
  <c r="C42" i="28263"/>
  <c r="C68" i="28263"/>
  <c r="C75" i="28263"/>
  <c r="CO18" i="28247"/>
  <c r="CM18" i="28247"/>
  <c r="CM106" i="28247"/>
  <c r="CO106" i="28247"/>
  <c r="CO107" i="28247"/>
  <c r="C68" i="28264"/>
  <c r="K35" i="28260"/>
  <c r="K36" i="28260"/>
  <c r="K37" i="28260"/>
  <c r="B10" i="28264"/>
  <c r="B11" i="28264"/>
  <c r="CM80" i="28247"/>
  <c r="CO80" i="28247"/>
  <c r="CO81" i="28247"/>
  <c r="CG118" i="28247"/>
  <c r="BW118" i="28247"/>
  <c r="H75" i="28241"/>
  <c r="B75" i="28263"/>
  <c r="B42" i="28263"/>
  <c r="BV105" i="28247"/>
  <c r="CO105" i="28247"/>
  <c r="BS105" i="28247"/>
  <c r="CL105" i="28247"/>
  <c r="B19" i="28264"/>
  <c r="B14" i="28264"/>
  <c r="E33" i="28260"/>
  <c r="E22" i="28260"/>
  <c r="E42" i="28260"/>
  <c r="BT53" i="28247"/>
  <c r="BS53" i="28247"/>
  <c r="CL53" i="28247"/>
  <c r="BS25" i="28247"/>
  <c r="CL25" i="28247"/>
  <c r="BT25" i="28247"/>
  <c r="BS115" i="28247"/>
  <c r="CL115" i="28247"/>
  <c r="BV115" i="28247"/>
  <c r="CG125" i="28247"/>
  <c r="BV125" i="28247"/>
  <c r="BW125" i="28247"/>
  <c r="CM76" i="28247"/>
  <c r="CO76" i="28247"/>
  <c r="CM58" i="28247"/>
  <c r="CO58" i="28247"/>
  <c r="BS33" i="28247"/>
  <c r="CL33" i="28247"/>
  <c r="BT33" i="28247"/>
  <c r="CO20" i="28247"/>
  <c r="CM20" i="28247"/>
  <c r="BS66" i="28247"/>
  <c r="CL66" i="28247"/>
  <c r="BV66" i="28247"/>
  <c r="CO90" i="28247"/>
  <c r="CM90" i="28247"/>
  <c r="CO92" i="28247"/>
  <c r="CM92" i="28247"/>
  <c r="C59" i="28262"/>
  <c r="C56" i="28262"/>
  <c r="CM37" i="28247"/>
  <c r="CO37" i="28247"/>
  <c r="E69" i="28255"/>
  <c r="E59" i="28255"/>
  <c r="CG112" i="28247"/>
  <c r="BW112" i="28247"/>
  <c r="CM34" i="28247"/>
  <c r="CO34" i="28247"/>
  <c r="CM75" i="28247"/>
  <c r="CO75" i="28247"/>
  <c r="D47" i="28262"/>
  <c r="D20" i="28262"/>
  <c r="D21" i="28262"/>
  <c r="D45" i="28262"/>
  <c r="CG51" i="28247"/>
  <c r="BV51" i="28247"/>
  <c r="BW51" i="28247"/>
  <c r="D11" i="28265"/>
  <c r="D10" i="28265"/>
  <c r="BW31" i="28247"/>
  <c r="CG31" i="28247"/>
  <c r="BV31" i="28247"/>
  <c r="CG116" i="28247"/>
  <c r="BW116" i="28247"/>
  <c r="C25" i="28261"/>
  <c r="C26" i="28261"/>
  <c r="D11" i="28247"/>
  <c r="BT41" i="28247"/>
  <c r="BS41" i="28247"/>
  <c r="CL41" i="28247"/>
  <c r="CG78" i="28247"/>
  <c r="BV78" i="28247"/>
  <c r="CO78" i="28247"/>
  <c r="BW78" i="28247"/>
  <c r="BT51" i="28247"/>
  <c r="BS51" i="28247"/>
  <c r="CL51" i="28247"/>
  <c r="BS89" i="28247"/>
  <c r="CL89" i="28247"/>
  <c r="BT89" i="28247"/>
  <c r="B11" i="28263"/>
  <c r="B10" i="28263"/>
  <c r="BT31" i="28247"/>
  <c r="BS31" i="28247"/>
  <c r="CL31" i="28247"/>
  <c r="CM93" i="28247"/>
  <c r="CO93" i="28247"/>
  <c r="CO94" i="28247"/>
  <c r="CM119" i="28247"/>
  <c r="BW110" i="28247"/>
  <c r="CG110" i="28247"/>
  <c r="CG129" i="28247"/>
  <c r="BV129" i="28247"/>
  <c r="BW129" i="28247"/>
  <c r="CM102" i="28247"/>
  <c r="CO102" i="28247"/>
  <c r="BS99" i="28247"/>
  <c r="CL99" i="28247"/>
  <c r="BV99" i="28247"/>
  <c r="CG73" i="28247"/>
  <c r="BV73" i="28247"/>
  <c r="BW73" i="28247"/>
  <c r="CO99" i="28247"/>
  <c r="CM99" i="28247"/>
  <c r="CM53" i="28247"/>
  <c r="CO53" i="28247"/>
  <c r="B68" i="28264"/>
  <c r="D42" i="28264"/>
  <c r="D68" i="28264"/>
  <c r="B28" i="28259"/>
  <c r="B27" i="28259"/>
  <c r="B29" i="28259"/>
  <c r="B38" i="28259"/>
  <c r="CM71" i="28247"/>
  <c r="CO71" i="28247"/>
  <c r="CM45" i="28247"/>
  <c r="CO45" i="28247"/>
  <c r="E11" i="28247"/>
  <c r="J11" i="28247"/>
  <c r="I11" i="28247"/>
  <c r="G11" i="28247"/>
  <c r="K11" i="28247"/>
  <c r="H11" i="28247"/>
  <c r="M11" i="28247"/>
  <c r="L11" i="28247"/>
  <c r="CM33" i="28247"/>
  <c r="CO33" i="28247"/>
  <c r="CM115" i="28247"/>
  <c r="CO115" i="28247"/>
  <c r="E40" i="28263"/>
  <c r="E41" i="28263"/>
  <c r="G63" i="28264"/>
  <c r="G64" i="28264"/>
  <c r="BV116" i="28247"/>
  <c r="BS116" i="28247"/>
  <c r="CL116" i="28247"/>
  <c r="F74" i="28241"/>
  <c r="F63" i="28264"/>
  <c r="F72" i="28264"/>
  <c r="F64" i="28264"/>
  <c r="CO22" i="28247"/>
  <c r="CM22" i="28247"/>
  <c r="CM24" i="28247"/>
  <c r="CO24" i="28247"/>
  <c r="BS112" i="28247"/>
  <c r="CL112" i="28247"/>
  <c r="BV112" i="28247"/>
  <c r="CM124" i="28247"/>
  <c r="CO124" i="28247"/>
  <c r="F47" i="28263"/>
  <c r="F46" i="28263"/>
  <c r="F48" i="28263"/>
  <c r="CM51" i="28247"/>
  <c r="CO51" i="28247"/>
  <c r="CM31" i="28247"/>
  <c r="CO31" i="28247"/>
  <c r="CM78" i="28247"/>
  <c r="CM25" i="28247"/>
  <c r="CO25" i="28247"/>
  <c r="BS118" i="28247"/>
  <c r="CL118" i="28247"/>
  <c r="BV118" i="28247"/>
  <c r="CO96" i="28247"/>
  <c r="F69" i="28264"/>
  <c r="F70" i="28264"/>
  <c r="CO125" i="28247"/>
  <c r="CM125" i="28247"/>
  <c r="F55" i="28263"/>
  <c r="F62" i="28263"/>
  <c r="CM89" i="28247"/>
  <c r="CO89" i="28247"/>
  <c r="D13" i="28247"/>
  <c r="D41" i="28265"/>
  <c r="D40" i="28265"/>
  <c r="D42" i="28265"/>
  <c r="D58" i="28265"/>
  <c r="BV117" i="28247"/>
  <c r="BS117" i="28247"/>
  <c r="CL117" i="28247"/>
  <c r="CO129" i="28247"/>
  <c r="CM129" i="28247"/>
  <c r="I35" i="28260"/>
  <c r="B47" i="28262"/>
  <c r="B45" i="28262"/>
  <c r="B20" i="28262"/>
  <c r="B21" i="28262"/>
  <c r="C28" i="28261"/>
  <c r="C27" i="28261"/>
  <c r="C29" i="28261"/>
  <c r="C38" i="28261"/>
  <c r="G63" i="28263"/>
  <c r="G64" i="28263"/>
  <c r="G78" i="28263"/>
  <c r="G80" i="28263"/>
  <c r="G81" i="28263"/>
  <c r="G85" i="28263"/>
  <c r="G90" i="28263"/>
  <c r="E74" i="28241"/>
  <c r="BS110" i="28247"/>
  <c r="CL110" i="28247"/>
  <c r="BV110" i="28247"/>
  <c r="CM41" i="28247"/>
  <c r="CO41" i="28247"/>
  <c r="CO42" i="28247"/>
  <c r="G61" i="28241"/>
  <c r="CO38" i="28247"/>
  <c r="CM38" i="28247"/>
  <c r="B68" i="28263"/>
  <c r="CO65" i="28247"/>
  <c r="CM65" i="28247"/>
  <c r="CM73" i="28247"/>
  <c r="CO73" i="28247"/>
  <c r="CM52" i="28247"/>
  <c r="CO52" i="28247"/>
  <c r="CO70" i="28247"/>
  <c r="CM70" i="28247"/>
  <c r="L13" i="28247"/>
  <c r="E13" i="28247"/>
  <c r="K13" i="28247"/>
  <c r="I13" i="28247"/>
  <c r="J13" i="28247"/>
  <c r="J12" i="28247"/>
  <c r="H13" i="28247"/>
  <c r="H12" i="28247"/>
  <c r="M13" i="28247"/>
  <c r="M12" i="28247"/>
  <c r="G13" i="28247"/>
  <c r="G12" i="28247"/>
  <c r="F13" i="28247"/>
  <c r="CM112" i="28247"/>
  <c r="CO112" i="28247"/>
  <c r="CO118" i="28247"/>
  <c r="CM118" i="28247"/>
  <c r="E12" i="28247"/>
  <c r="H72" i="28241"/>
  <c r="H73" i="28241"/>
  <c r="H71" i="28241"/>
  <c r="CM117" i="28247"/>
  <c r="CO117" i="28247"/>
  <c r="G74" i="28264"/>
  <c r="G75" i="28264"/>
  <c r="G76" i="28264"/>
  <c r="G84" i="28264"/>
  <c r="G86" i="28264"/>
  <c r="G72" i="28264"/>
  <c r="G81" i="28264"/>
  <c r="G87" i="28264"/>
  <c r="G90" i="28264"/>
  <c r="L12" i="28247"/>
  <c r="E61" i="28241"/>
  <c r="K12" i="28247"/>
  <c r="F78" i="28264"/>
  <c r="F87" i="28264"/>
  <c r="F90" i="28264"/>
  <c r="F79" i="28264"/>
  <c r="G72" i="28263"/>
  <c r="CM116" i="28247"/>
  <c r="CO116" i="28247"/>
  <c r="I12" i="28247"/>
  <c r="F63" i="28263"/>
  <c r="F64" i="28263"/>
  <c r="F78" i="28263"/>
  <c r="F80" i="28263"/>
  <c r="F81" i="28263"/>
  <c r="F85" i="28263"/>
  <c r="F90" i="28263"/>
  <c r="CO110" i="28247"/>
  <c r="CM110" i="28247"/>
  <c r="E75" i="28263"/>
  <c r="E42" i="28263"/>
  <c r="E68" i="28263"/>
  <c r="E79" i="28263"/>
  <c r="M7" i="28247"/>
  <c r="H52" i="28241"/>
  <c r="M6" i="28247"/>
  <c r="H51" i="28241" s="1"/>
  <c r="L5" i="28247"/>
  <c r="G36" i="28241"/>
  <c r="L4" i="28247"/>
  <c r="G35" i="28241"/>
  <c r="E36" i="28255" s="1"/>
  <c r="E38" i="28255" s="1"/>
  <c r="J6" i="28247"/>
  <c r="E51" i="28241" s="1"/>
  <c r="J7" i="28247"/>
  <c r="E52" i="28241"/>
  <c r="K4" i="28247"/>
  <c r="F35" i="28241"/>
  <c r="K5" i="28247"/>
  <c r="F36" i="28241"/>
  <c r="J5" i="28247"/>
  <c r="E36" i="28241"/>
  <c r="F72" i="28263"/>
  <c r="K7" i="28247"/>
  <c r="F52" i="28241"/>
  <c r="K6" i="28247"/>
  <c r="F51" i="28241"/>
  <c r="L6" i="28247"/>
  <c r="G51" i="28241"/>
  <c r="L7" i="28247"/>
  <c r="G52" i="28241"/>
  <c r="C83" i="28263"/>
  <c r="D83" i="28263"/>
  <c r="E83" i="28263"/>
  <c r="M5" i="28247"/>
  <c r="H36" i="28241"/>
  <c r="M4" i="28247"/>
  <c r="H35" i="28241"/>
  <c r="H26" i="28260"/>
  <c r="H28" i="28260"/>
  <c r="H43" i="28260" s="1"/>
  <c r="G53" i="28241"/>
  <c r="F45" i="28241"/>
  <c r="F37" i="28241"/>
  <c r="F42" i="28241"/>
  <c r="B36" i="28262"/>
  <c r="B38" i="28262"/>
  <c r="F61" i="28241"/>
  <c r="F67" i="28241"/>
  <c r="F64" i="28241"/>
  <c r="F40" i="28241"/>
  <c r="B32" i="28261" s="1"/>
  <c r="G26" i="28260"/>
  <c r="G28" i="28260" s="1"/>
  <c r="C26" i="28260"/>
  <c r="C28" i="28260"/>
  <c r="F55" i="28241"/>
  <c r="F27" i="28260"/>
  <c r="V69" i="28241"/>
  <c r="B27" i="28260"/>
  <c r="M69" i="28241"/>
  <c r="B37" i="28262"/>
  <c r="D37" i="28262"/>
  <c r="G27" i="28260"/>
  <c r="C27" i="28260"/>
  <c r="B37" i="28255"/>
  <c r="D37" i="28255"/>
  <c r="Q64" i="28241"/>
  <c r="Q66" i="28241" s="1"/>
  <c r="C36" i="28262"/>
  <c r="C38" i="28262" s="1"/>
  <c r="C50" i="28262" s="1"/>
  <c r="H37" i="28241"/>
  <c r="E36" i="28262"/>
  <c r="E38" i="28262" s="1"/>
  <c r="E46" i="28262" s="1"/>
  <c r="H61" i="28241"/>
  <c r="H60" i="28241"/>
  <c r="E56" i="28265" s="1"/>
  <c r="H44" i="28241"/>
  <c r="E37" i="28262"/>
  <c r="C37" i="28262"/>
  <c r="E37" i="28255"/>
  <c r="C37" i="28255"/>
  <c r="Q78" i="28241"/>
  <c r="D27" i="28260"/>
  <c r="H27" i="28260"/>
  <c r="I27" i="28260"/>
  <c r="Q65" i="28241"/>
  <c r="E27" i="28260"/>
  <c r="E62" i="28255"/>
  <c r="E63" i="28255" s="1"/>
  <c r="E67" i="28255" s="1"/>
  <c r="E49" i="28262"/>
  <c r="E53" i="28262"/>
  <c r="E50" i="28262"/>
  <c r="B32" i="28265"/>
  <c r="B33" i="28265"/>
  <c r="D32" i="28265"/>
  <c r="D33" i="28265"/>
  <c r="C43" i="28260"/>
  <c r="C46" i="28262"/>
  <c r="C49" i="28262"/>
  <c r="C53" i="28262" s="1"/>
  <c r="H40" i="28241" s="1"/>
  <c r="G43" i="28260"/>
  <c r="C51" i="28262"/>
  <c r="C52" i="28262" s="1"/>
  <c r="H43" i="28241" s="1"/>
  <c r="E35" i="28241" l="1"/>
  <c r="D36" i="28255" s="1"/>
  <c r="D38" i="28255" s="1"/>
  <c r="D62" i="28255" s="1"/>
  <c r="D63" i="28255" s="1"/>
  <c r="D67" i="28255" s="1"/>
  <c r="E32" i="28265"/>
  <c r="E33" i="28265" s="1"/>
  <c r="C32" i="28261"/>
  <c r="C32" i="28265"/>
  <c r="C33" i="28265" s="1"/>
  <c r="E60" i="28265"/>
  <c r="E59" i="28265"/>
  <c r="B49" i="28262"/>
  <c r="B53" i="28262" s="1"/>
  <c r="B50" i="28262"/>
  <c r="B46" i="28262"/>
  <c r="E53" i="28241"/>
  <c r="B26" i="28260"/>
  <c r="B28" i="28260" s="1"/>
  <c r="B43" i="28260" s="1"/>
  <c r="F26" i="28260"/>
  <c r="F28" i="28260" s="1"/>
  <c r="F43" i="28260" s="1"/>
  <c r="L69" i="28241"/>
  <c r="N69" i="28241" s="1"/>
  <c r="Q46" i="28241"/>
  <c r="H45" i="28241"/>
  <c r="H46" i="28241" s="1"/>
  <c r="E51" i="28255"/>
  <c r="E53" i="28255"/>
  <c r="E57" i="28255" s="1"/>
  <c r="E64" i="28255"/>
  <c r="E73" i="28255"/>
  <c r="E54" i="28255"/>
  <c r="H53" i="28241"/>
  <c r="E26" i="28260"/>
  <c r="E28" i="28260" s="1"/>
  <c r="I26" i="28260"/>
  <c r="I28" i="28260" s="1"/>
  <c r="E37" i="28241"/>
  <c r="E71" i="28241"/>
  <c r="B66" i="28263" s="1"/>
  <c r="B70" i="28263" s="1"/>
  <c r="U69" i="28241"/>
  <c r="T69" i="28241" s="1"/>
  <c r="C54" i="28262"/>
  <c r="C57" i="28262" s="1"/>
  <c r="E51" i="28262"/>
  <c r="E52" i="28262" s="1"/>
  <c r="D26" i="28260"/>
  <c r="D28" i="28260" s="1"/>
  <c r="Q77" i="28241"/>
  <c r="Q76" i="28241" s="1"/>
  <c r="F43" i="28241"/>
  <c r="F39" i="28241"/>
  <c r="F62" i="28241"/>
  <c r="F63" i="28241"/>
  <c r="F60" i="28241"/>
  <c r="F38" i="28241"/>
  <c r="D36" i="28262"/>
  <c r="D38" i="28262" s="1"/>
  <c r="F66" i="28241"/>
  <c r="F44" i="28241"/>
  <c r="F34" i="28241"/>
  <c r="F46" i="28241"/>
  <c r="G60" i="28241"/>
  <c r="F71" i="28241"/>
  <c r="C36" i="28255"/>
  <c r="C38" i="28255" s="1"/>
  <c r="G37" i="28241"/>
  <c r="C36" i="28261"/>
  <c r="C56" i="28265"/>
  <c r="F53" i="28241"/>
  <c r="F54" i="28241"/>
  <c r="F56" i="28241"/>
  <c r="D64" i="28255"/>
  <c r="D54" i="28255"/>
  <c r="D51" i="28255"/>
  <c r="D73" i="28255"/>
  <c r="D53" i="28255" l="1"/>
  <c r="D57" i="28255" s="1"/>
  <c r="E60" i="28241"/>
  <c r="D66" i="28264" s="1"/>
  <c r="B36" i="28255"/>
  <c r="B38" i="28255" s="1"/>
  <c r="D66" i="28263"/>
  <c r="D69" i="28263" s="1"/>
  <c r="C66" i="28263"/>
  <c r="E66" i="28263"/>
  <c r="D43" i="28260"/>
  <c r="E55" i="28255"/>
  <c r="E56" i="28255" s="1"/>
  <c r="E58" i="28255"/>
  <c r="E82" i="28255" s="1"/>
  <c r="B73" i="28255"/>
  <c r="B28" i="28265"/>
  <c r="G30" i="28260"/>
  <c r="G34" i="28260" s="1"/>
  <c r="G36" i="28260" s="1"/>
  <c r="G37" i="28260" s="1"/>
  <c r="B31" i="28261"/>
  <c r="D28" i="28265"/>
  <c r="C30" i="28260"/>
  <c r="C34" i="28260" s="1"/>
  <c r="C36" i="28260" s="1"/>
  <c r="C37" i="28260" s="1"/>
  <c r="P53" i="28241"/>
  <c r="E45" i="28241"/>
  <c r="E78" i="28255"/>
  <c r="E75" i="28255"/>
  <c r="B54" i="28255"/>
  <c r="B55" i="28255" s="1"/>
  <c r="B56" i="28255" s="1"/>
  <c r="C60" i="28265"/>
  <c r="C59" i="28265"/>
  <c r="E65" i="28255"/>
  <c r="E66" i="28255" s="1"/>
  <c r="B64" i="28255"/>
  <c r="B69" i="28263"/>
  <c r="B77" i="28263" s="1"/>
  <c r="C40" i="28261"/>
  <c r="C39" i="28261"/>
  <c r="H38" i="28241"/>
  <c r="H34" i="28241" s="1"/>
  <c r="C58" i="28262"/>
  <c r="C60" i="28262" s="1"/>
  <c r="E54" i="28262"/>
  <c r="E57" i="28262" s="1"/>
  <c r="E58" i="28262" s="1"/>
  <c r="E60" i="28262" s="1"/>
  <c r="B56" i="28265"/>
  <c r="D56" i="28265"/>
  <c r="B36" i="28261"/>
  <c r="B36" i="28259"/>
  <c r="B66" i="28264"/>
  <c r="E43" i="28260"/>
  <c r="C66" i="28264"/>
  <c r="E66" i="28264"/>
  <c r="C36" i="28259"/>
  <c r="B53" i="28255"/>
  <c r="B57" i="28255" s="1"/>
  <c r="G45" i="28241"/>
  <c r="G46" i="28241" s="1"/>
  <c r="Q50" i="28241"/>
  <c r="D49" i="28262"/>
  <c r="D53" i="28262" s="1"/>
  <c r="D46" i="28262"/>
  <c r="D50" i="28262"/>
  <c r="E81" i="28255"/>
  <c r="C53" i="28255"/>
  <c r="C57" i="28255" s="1"/>
  <c r="C73" i="28255"/>
  <c r="C62" i="28255"/>
  <c r="C63" i="28255" s="1"/>
  <c r="C67" i="28255" s="1"/>
  <c r="C54" i="28255"/>
  <c r="C64" i="28255"/>
  <c r="C51" i="28255"/>
  <c r="I43" i="28260"/>
  <c r="B51" i="28262"/>
  <c r="B52" i="28262" s="1"/>
  <c r="B54" i="28262"/>
  <c r="B57" i="28262" s="1"/>
  <c r="B58" i="28262" s="1"/>
  <c r="B60" i="28262" s="1"/>
  <c r="D81" i="28255"/>
  <c r="D78" i="28255"/>
  <c r="D75" i="28255"/>
  <c r="D70" i="28263"/>
  <c r="D55" i="28255"/>
  <c r="D56" i="28255" s="1"/>
  <c r="D65" i="28255"/>
  <c r="D66" i="28255" s="1"/>
  <c r="E72" i="28241"/>
  <c r="B51" i="28255" l="1"/>
  <c r="B62" i="28255"/>
  <c r="B63" i="28255" s="1"/>
  <c r="B67" i="28255" s="1"/>
  <c r="B75" i="28255"/>
  <c r="B78" i="28255"/>
  <c r="B81" i="28255"/>
  <c r="B39" i="28259"/>
  <c r="B40" i="28259"/>
  <c r="C40" i="28259"/>
  <c r="C39" i="28259"/>
  <c r="B40" i="28261"/>
  <c r="B48" i="28261"/>
  <c r="B39" i="28261"/>
  <c r="D51" i="28262"/>
  <c r="D52" i="28262" s="1"/>
  <c r="E70" i="28264"/>
  <c r="E87" i="28264" s="1"/>
  <c r="E90" i="28264" s="1"/>
  <c r="E69" i="28264"/>
  <c r="D59" i="28265"/>
  <c r="D60" i="28265"/>
  <c r="D77" i="28263"/>
  <c r="B59" i="28265"/>
  <c r="B60" i="28265"/>
  <c r="E76" i="28255"/>
  <c r="E77" i="28255" s="1"/>
  <c r="E70" i="28263"/>
  <c r="E77" i="28263" s="1"/>
  <c r="E69" i="28263"/>
  <c r="C65" i="28255"/>
  <c r="C66" i="28255" s="1"/>
  <c r="C68" i="28255"/>
  <c r="B70" i="28264"/>
  <c r="B69" i="28264"/>
  <c r="AL39" i="28241"/>
  <c r="AL42" i="28241" s="1"/>
  <c r="H39" i="28241"/>
  <c r="O28" i="28241"/>
  <c r="C78" i="28255"/>
  <c r="C75" i="28255"/>
  <c r="C81" i="28255"/>
  <c r="D70" i="28264"/>
  <c r="D69" i="28264"/>
  <c r="I15" i="28241"/>
  <c r="E46" i="28241"/>
  <c r="D29" i="28265"/>
  <c r="D52" i="28265"/>
  <c r="D44" i="28265"/>
  <c r="D45" i="28265" s="1"/>
  <c r="D51" i="28265"/>
  <c r="C70" i="28264"/>
  <c r="C87" i="28264" s="1"/>
  <c r="C69" i="28264"/>
  <c r="B52" i="28261"/>
  <c r="B43" i="28261"/>
  <c r="B44" i="28261"/>
  <c r="C70" i="28263"/>
  <c r="C69" i="28263"/>
  <c r="C55" i="28255"/>
  <c r="C56" i="28255" s="1"/>
  <c r="C58" i="28255"/>
  <c r="C82" i="28255" s="1"/>
  <c r="G38" i="28241" s="1"/>
  <c r="G34" i="28241" s="1"/>
  <c r="E68" i="28255"/>
  <c r="E83" i="28255"/>
  <c r="E85" i="28255" s="1"/>
  <c r="B29" i="28265"/>
  <c r="B51" i="28265"/>
  <c r="B52" i="28265"/>
  <c r="B66" i="28265"/>
  <c r="B44" i="28265"/>
  <c r="B45" i="28265"/>
  <c r="B76" i="28255"/>
  <c r="B77" i="28255" s="1"/>
  <c r="E43" i="28241" s="1"/>
  <c r="D76" i="28255"/>
  <c r="D77" i="28255" s="1"/>
  <c r="D68" i="28255"/>
  <c r="E40" i="28241"/>
  <c r="D58" i="28255"/>
  <c r="D82" i="28255" s="1"/>
  <c r="D83" i="28255" s="1"/>
  <c r="D85" i="28255" s="1"/>
  <c r="B58" i="28255"/>
  <c r="B82" i="28255" l="1"/>
  <c r="E38" i="28241" s="1"/>
  <c r="E34" i="28241" s="1"/>
  <c r="B65" i="28255"/>
  <c r="G39" i="28241"/>
  <c r="AK39" i="28241"/>
  <c r="AK42" i="28241" s="1"/>
  <c r="Q28" i="28241"/>
  <c r="D46" i="28265"/>
  <c r="D48" i="28265" s="1"/>
  <c r="D47" i="28265"/>
  <c r="B46" i="28265"/>
  <c r="B47" i="28265"/>
  <c r="D54" i="28262"/>
  <c r="D57" i="28262" s="1"/>
  <c r="D58" i="28262" s="1"/>
  <c r="D60" i="28262" s="1"/>
  <c r="G40" i="28241"/>
  <c r="C83" i="28255"/>
  <c r="C85" i="28255" s="1"/>
  <c r="B53" i="28265"/>
  <c r="F72" i="28241"/>
  <c r="C77" i="28263"/>
  <c r="D53" i="28265"/>
  <c r="H15" i="28241"/>
  <c r="D21" i="28241"/>
  <c r="D20" i="28241"/>
  <c r="D24" i="28241"/>
  <c r="B45" i="28261"/>
  <c r="G64" i="28241"/>
  <c r="G66" i="28241" s="1"/>
  <c r="G67" i="28241" s="1"/>
  <c r="C90" i="28264"/>
  <c r="C76" i="28255"/>
  <c r="C77" i="28255" s="1"/>
  <c r="G43" i="28241" s="1"/>
  <c r="C31" i="28261"/>
  <c r="E28" i="28265"/>
  <c r="E30" i="28260"/>
  <c r="E34" i="28260" s="1"/>
  <c r="E36" i="28260" s="1"/>
  <c r="I30" i="28260"/>
  <c r="I34" i="28260" s="1"/>
  <c r="I36" i="28260" s="1"/>
  <c r="I37" i="28260" s="1"/>
  <c r="C28" i="28265"/>
  <c r="H42" i="28241"/>
  <c r="B83" i="28255"/>
  <c r="B85" i="28255" s="1"/>
  <c r="B32" i="28263"/>
  <c r="B33" i="28263" s="1"/>
  <c r="B32" i="28259"/>
  <c r="D32" i="28263"/>
  <c r="D33" i="28263" s="1"/>
  <c r="D32" i="28264"/>
  <c r="D33" i="28264" s="1"/>
  <c r="B32" i="28264"/>
  <c r="B33" i="28264" s="1"/>
  <c r="O35" i="28241"/>
  <c r="E39" i="28241"/>
  <c r="AH39" i="28241"/>
  <c r="AH42" i="28241" s="1"/>
  <c r="AH43" i="28241" s="1"/>
  <c r="B66" i="28255" l="1"/>
  <c r="B68" i="28255"/>
  <c r="H54" i="28241"/>
  <c r="H55" i="28241" s="1"/>
  <c r="H56" i="28241" s="1"/>
  <c r="E37" i="28260"/>
  <c r="B48" i="28265"/>
  <c r="C52" i="28261"/>
  <c r="C43" i="28261"/>
  <c r="C44" i="28261"/>
  <c r="C48" i="28261"/>
  <c r="B46" i="28261"/>
  <c r="B47" i="28261"/>
  <c r="B54" i="28265"/>
  <c r="B62" i="28265"/>
  <c r="E52" i="28265"/>
  <c r="E29" i="28265"/>
  <c r="E51" i="28265"/>
  <c r="E44" i="28265"/>
  <c r="E45" i="28265"/>
  <c r="D64" i="28265"/>
  <c r="D65" i="28265" s="1"/>
  <c r="D66" i="28265" s="1"/>
  <c r="D74" i="28265" s="1"/>
  <c r="D76" i="28265" s="1"/>
  <c r="D54" i="28265"/>
  <c r="D62" i="28265"/>
  <c r="D71" i="28265" s="1"/>
  <c r="D77" i="28265" s="1"/>
  <c r="D80" i="28265" s="1"/>
  <c r="C66" i="28265"/>
  <c r="C29" i="28265"/>
  <c r="C52" i="28265"/>
  <c r="C51" i="28265"/>
  <c r="C53" i="28265" s="1"/>
  <c r="C44" i="28265"/>
  <c r="C45" i="28265" s="1"/>
  <c r="E32" i="28263"/>
  <c r="E33" i="28263" s="1"/>
  <c r="E32" i="28264"/>
  <c r="E33" i="28264" s="1"/>
  <c r="C32" i="28263"/>
  <c r="C33" i="28263" s="1"/>
  <c r="C32" i="28264"/>
  <c r="C33" i="28264" s="1"/>
  <c r="C32" i="28259"/>
  <c r="C28" i="28264"/>
  <c r="C31" i="28259"/>
  <c r="D30" i="28260"/>
  <c r="D34" i="28260" s="1"/>
  <c r="D36" i="28260" s="1"/>
  <c r="E28" i="28263"/>
  <c r="C28" i="28263"/>
  <c r="H30" i="28260"/>
  <c r="H34" i="28260" s="1"/>
  <c r="H36" i="28260" s="1"/>
  <c r="H37" i="28260" s="1"/>
  <c r="E28" i="28264"/>
  <c r="G42" i="28241"/>
  <c r="B30" i="28260"/>
  <c r="B34" i="28260" s="1"/>
  <c r="B36" i="28260" s="1"/>
  <c r="B28" i="28264"/>
  <c r="D28" i="28263"/>
  <c r="E42" i="28241"/>
  <c r="AG58" i="28241" s="1"/>
  <c r="F30" i="28260"/>
  <c r="F34" i="28260" s="1"/>
  <c r="F36" i="28260" s="1"/>
  <c r="F37" i="28260" s="1"/>
  <c r="D28" i="28264"/>
  <c r="B28" i="28263"/>
  <c r="B31" i="28259"/>
  <c r="D19" i="28241"/>
  <c r="AN43" i="28241"/>
  <c r="D22" i="28241" s="1"/>
  <c r="C46" i="28265" l="1"/>
  <c r="C47" i="28265"/>
  <c r="E52" i="28264"/>
  <c r="E59" i="28264"/>
  <c r="E53" i="28264"/>
  <c r="E29" i="28264"/>
  <c r="E45" i="28264"/>
  <c r="E58" i="28264"/>
  <c r="E60" i="28264" s="1"/>
  <c r="E61" i="28264" s="1"/>
  <c r="E44" i="28264"/>
  <c r="C53" i="28263"/>
  <c r="C44" i="28263"/>
  <c r="C59" i="28263"/>
  <c r="C45" i="28263"/>
  <c r="C52" i="28263"/>
  <c r="C54" i="28263" s="1"/>
  <c r="C29" i="28263"/>
  <c r="C58" i="28263"/>
  <c r="G54" i="28241"/>
  <c r="G55" i="28241" s="1"/>
  <c r="G56" i="28241" s="1"/>
  <c r="D37" i="28260"/>
  <c r="C44" i="28259"/>
  <c r="C49" i="28259"/>
  <c r="C63" i="28259"/>
  <c r="C43" i="28259"/>
  <c r="C45" i="28259" s="1"/>
  <c r="C50" i="28259"/>
  <c r="C59" i="28259"/>
  <c r="B54" i="28261"/>
  <c r="B56" i="28261" s="1"/>
  <c r="B59" i="28261" s="1"/>
  <c r="B55" i="28261"/>
  <c r="C29" i="28264"/>
  <c r="C58" i="28264"/>
  <c r="C76" i="28264"/>
  <c r="C45" i="28264"/>
  <c r="C59" i="28264"/>
  <c r="C53" i="28264"/>
  <c r="C52" i="28264"/>
  <c r="C54" i="28264" s="1"/>
  <c r="C44" i="28264"/>
  <c r="E53" i="28265"/>
  <c r="C45" i="28261"/>
  <c r="E44" i="28263"/>
  <c r="E45" i="28263" s="1"/>
  <c r="E58" i="28263"/>
  <c r="E60" i="28263" s="1"/>
  <c r="E61" i="28263" s="1"/>
  <c r="E59" i="28263"/>
  <c r="E29" i="28263"/>
  <c r="E52" i="28263"/>
  <c r="E53" i="28263"/>
  <c r="B68" i="28265"/>
  <c r="B77" i="28265" s="1"/>
  <c r="B80" i="28265" s="1"/>
  <c r="B69" i="28265"/>
  <c r="C54" i="28265"/>
  <c r="H63" i="28241" s="1"/>
  <c r="H62" i="28241"/>
  <c r="E46" i="28265"/>
  <c r="E48" i="28265" s="1"/>
  <c r="E47" i="28265"/>
  <c r="B37" i="28260"/>
  <c r="E54" i="28241"/>
  <c r="E55" i="28241" s="1"/>
  <c r="B50" i="28259"/>
  <c r="B59" i="28259"/>
  <c r="B43" i="28259"/>
  <c r="B44" i="28259"/>
  <c r="B49" i="28259"/>
  <c r="B63" i="28259"/>
  <c r="B29" i="28263"/>
  <c r="B53" i="28263"/>
  <c r="B52" i="28263"/>
  <c r="B58" i="28263"/>
  <c r="B44" i="28263"/>
  <c r="B45" i="28263" s="1"/>
  <c r="B59" i="28263"/>
  <c r="AG60" i="28241"/>
  <c r="AG62" i="28241" s="1"/>
  <c r="AG61" i="28241"/>
  <c r="D28" i="28241"/>
  <c r="D23" i="28241"/>
  <c r="D52" i="28264"/>
  <c r="D44" i="28264"/>
  <c r="D45" i="28264" s="1"/>
  <c r="D29" i="28264"/>
  <c r="D58" i="28264"/>
  <c r="D59" i="28264"/>
  <c r="D53" i="28264"/>
  <c r="D52" i="28263"/>
  <c r="D29" i="28263"/>
  <c r="D44" i="28263"/>
  <c r="D45" i="28263" s="1"/>
  <c r="D53" i="28263"/>
  <c r="D59" i="28263"/>
  <c r="D58" i="28263"/>
  <c r="B52" i="28264"/>
  <c r="B58" i="28264"/>
  <c r="B76" i="28264"/>
  <c r="B59" i="28264"/>
  <c r="B29" i="28264"/>
  <c r="B53" i="28264"/>
  <c r="B44" i="28264"/>
  <c r="B45" i="28264" s="1"/>
  <c r="D54" i="28264" l="1"/>
  <c r="D62" i="28264" s="1"/>
  <c r="B54" i="28263"/>
  <c r="B62" i="28263" s="1"/>
  <c r="B60" i="28263"/>
  <c r="B61" i="28263" s="1"/>
  <c r="E46" i="28263"/>
  <c r="E47" i="28263"/>
  <c r="C46" i="28259"/>
  <c r="C54" i="28259"/>
  <c r="E47" i="28264"/>
  <c r="E46" i="28264"/>
  <c r="E48" i="28264" s="1"/>
  <c r="C46" i="28263"/>
  <c r="C47" i="28263"/>
  <c r="C46" i="28261"/>
  <c r="C47" i="28261" s="1"/>
  <c r="C51" i="28259"/>
  <c r="C52" i="28259" s="1"/>
  <c r="E64" i="28265"/>
  <c r="E65" i="28265" s="1"/>
  <c r="E66" i="28265" s="1"/>
  <c r="E74" i="28265" s="1"/>
  <c r="E76" i="28265" s="1"/>
  <c r="E54" i="28265"/>
  <c r="E62" i="28265"/>
  <c r="E71" i="28265" s="1"/>
  <c r="E77" i="28265" s="1"/>
  <c r="E80" i="28265" s="1"/>
  <c r="E54" i="28263"/>
  <c r="E54" i="28264"/>
  <c r="C47" i="28264"/>
  <c r="C46" i="28264"/>
  <c r="C48" i="28264" s="1"/>
  <c r="C62" i="28263"/>
  <c r="C55" i="28263"/>
  <c r="C60" i="28264"/>
  <c r="C61" i="28264" s="1"/>
  <c r="B54" i="28264"/>
  <c r="B62" i="28264" s="1"/>
  <c r="B51" i="28259"/>
  <c r="B52" i="28259" s="1"/>
  <c r="C62" i="28264"/>
  <c r="C55" i="28264"/>
  <c r="D60" i="28263"/>
  <c r="D61" i="28263" s="1"/>
  <c r="C62" i="28265"/>
  <c r="C60" i="28263"/>
  <c r="C61" i="28263" s="1"/>
  <c r="C48" i="28265"/>
  <c r="B47" i="28263"/>
  <c r="B46" i="28263"/>
  <c r="D47" i="28264"/>
  <c r="D46" i="28264"/>
  <c r="D46" i="28263"/>
  <c r="D47" i="28263"/>
  <c r="D54" i="28263"/>
  <c r="B45" i="28259"/>
  <c r="B60" i="28264"/>
  <c r="B61" i="28264" s="1"/>
  <c r="E56" i="28241"/>
  <c r="I16" i="28241"/>
  <c r="H16" i="28241" s="1"/>
  <c r="B46" i="28264"/>
  <c r="B47" i="28264"/>
  <c r="D60" i="28264"/>
  <c r="D61" i="28264" s="1"/>
  <c r="B55" i="28263" l="1"/>
  <c r="B64" i="28263" s="1"/>
  <c r="B78" i="28263" s="1"/>
  <c r="D55" i="28264"/>
  <c r="D64" i="28264" s="1"/>
  <c r="B48" i="28263"/>
  <c r="C54" i="28261"/>
  <c r="C55" i="28261"/>
  <c r="C63" i="28264"/>
  <c r="C64" i="28264"/>
  <c r="G63" i="28241" s="1"/>
  <c r="C48" i="28263"/>
  <c r="B55" i="28264"/>
  <c r="B64" i="28264" s="1"/>
  <c r="E63" i="28241" s="1"/>
  <c r="C69" i="28265"/>
  <c r="C68" i="28265"/>
  <c r="C77" i="28265" s="1"/>
  <c r="C64" i="28263"/>
  <c r="C78" i="28263" s="1"/>
  <c r="C63" i="28263"/>
  <c r="C72" i="28263" s="1"/>
  <c r="E55" i="28264"/>
  <c r="E62" i="28264"/>
  <c r="B48" i="28264"/>
  <c r="E55" i="28263"/>
  <c r="E62" i="28263"/>
  <c r="C57" i="28259"/>
  <c r="C56" i="28259"/>
  <c r="D48" i="28264"/>
  <c r="E48" i="28263"/>
  <c r="B63" i="28264"/>
  <c r="D48" i="28263"/>
  <c r="B46" i="28259"/>
  <c r="B54" i="28259"/>
  <c r="D62" i="28263"/>
  <c r="D55" i="28263"/>
  <c r="B63" i="28263"/>
  <c r="D63" i="28264"/>
  <c r="G62" i="28241" l="1"/>
  <c r="C72" i="28264"/>
  <c r="C80" i="28265"/>
  <c r="H64" i="28241"/>
  <c r="H66" i="28241" s="1"/>
  <c r="H67" i="28241" s="1"/>
  <c r="E63" i="28263"/>
  <c r="E64" i="28263"/>
  <c r="E78" i="28263" s="1"/>
  <c r="E80" i="28263" s="1"/>
  <c r="E81" i="28263" s="1"/>
  <c r="E85" i="28263" s="1"/>
  <c r="E90" i="28263" s="1"/>
  <c r="E64" i="28264"/>
  <c r="E63" i="28264"/>
  <c r="B72" i="28263"/>
  <c r="C58" i="28259"/>
  <c r="C80" i="28263"/>
  <c r="F73" i="28241"/>
  <c r="C56" i="28261"/>
  <c r="C59" i="28261" s="1"/>
  <c r="D63" i="28263"/>
  <c r="D64" i="28263"/>
  <c r="D78" i="28263" s="1"/>
  <c r="D80" i="28263" s="1"/>
  <c r="D81" i="28263" s="1"/>
  <c r="D85" i="28263" s="1"/>
  <c r="D90" i="28263" s="1"/>
  <c r="B56" i="28259"/>
  <c r="B57" i="28259"/>
  <c r="D72" i="28264"/>
  <c r="D74" i="28264"/>
  <c r="D75" i="28264" s="1"/>
  <c r="D76" i="28264" s="1"/>
  <c r="D84" i="28264" s="1"/>
  <c r="D86" i="28264" s="1"/>
  <c r="B72" i="28264"/>
  <c r="E62" i="28241"/>
  <c r="E73" i="28241"/>
  <c r="B80" i="28263"/>
  <c r="B58" i="28259" l="1"/>
  <c r="B66" i="28259" s="1"/>
  <c r="F75" i="28241"/>
  <c r="F76" i="28241" s="1"/>
  <c r="C81" i="28263"/>
  <c r="C90" i="28263" s="1"/>
  <c r="E74" i="28264"/>
  <c r="E75" i="28264" s="1"/>
  <c r="E76" i="28264" s="1"/>
  <c r="E84" i="28264" s="1"/>
  <c r="E86" i="28264" s="1"/>
  <c r="E72" i="28264"/>
  <c r="E72" i="28263"/>
  <c r="C66" i="28259"/>
  <c r="C65" i="28259"/>
  <c r="C67" i="28259" s="1"/>
  <c r="C70" i="28259" s="1"/>
  <c r="C78" i="28264"/>
  <c r="C79" i="28264"/>
  <c r="B81" i="28263"/>
  <c r="E75" i="28241"/>
  <c r="E76" i="28241" s="1"/>
  <c r="B78" i="28264"/>
  <c r="B79" i="28264"/>
  <c r="D81" i="28264"/>
  <c r="D87" i="28264" s="1"/>
  <c r="D90" i="28264" s="1"/>
  <c r="B65" i="28259"/>
  <c r="D72" i="28263"/>
  <c r="B67" i="28259" l="1"/>
  <c r="B70" i="28259" s="1"/>
  <c r="B87" i="28264"/>
  <c r="B90" i="28264" s="1"/>
  <c r="E81" i="28264"/>
  <c r="B90" i="28263"/>
  <c r="E64" i="28241" l="1"/>
  <c r="E66" i="28241" s="1"/>
  <c r="E67" i="28241" s="1"/>
  <c r="G78" i="28241"/>
  <c r="Q69" i="28241"/>
  <c r="I17" i="28241" l="1"/>
  <c r="H17" i="28241" s="1"/>
  <c r="I18" i="28241"/>
  <c r="H18" i="28241" s="1"/>
  <c r="H78" i="28241"/>
</calcChain>
</file>

<file path=xl/comments1.xml><?xml version="1.0" encoding="utf-8"?>
<comments xmlns="http://schemas.openxmlformats.org/spreadsheetml/2006/main">
  <authors>
    <author>Musso</author>
    <author>labciv</author>
    <author>Verucia</author>
  </authors>
  <commentList>
    <comment ref="Q12" authorId="0" shapeId="0">
      <text>
        <r>
          <rPr>
            <b/>
            <sz val="8"/>
            <color indexed="81"/>
            <rFont val="Tahoma"/>
            <family val="2"/>
          </rPr>
          <t>altura total da laje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14" authorId="1" shapeId="0">
      <text>
        <r>
          <rPr>
            <b/>
            <sz val="8"/>
            <color indexed="81"/>
            <rFont val="Tahoma"/>
            <family val="2"/>
          </rPr>
          <t>espessura equivalente a laje maciça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16" authorId="1" shapeId="0">
      <text>
        <r>
          <rPr>
            <b/>
            <sz val="8"/>
            <color indexed="81"/>
            <rFont val="Tahoma"/>
            <family val="2"/>
          </rPr>
          <t xml:space="preserve">espessura da mesa </t>
        </r>
        <r>
          <rPr>
            <b/>
            <u/>
            <sz val="8"/>
            <color indexed="81"/>
            <rFont val="Tahoma"/>
            <family val="2"/>
          </rPr>
          <t>&gt;</t>
        </r>
        <r>
          <rPr>
            <b/>
            <sz val="8"/>
            <color indexed="81"/>
            <rFont val="Tahoma"/>
            <family val="2"/>
          </rPr>
          <t xml:space="preserve"> 5 cm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17" authorId="1" shapeId="0">
      <text>
        <r>
          <rPr>
            <b/>
            <sz val="8"/>
            <color indexed="81"/>
            <rFont val="Tahoma"/>
            <family val="2"/>
          </rPr>
          <t>largura da nervura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b/>
            <u/>
            <sz val="8"/>
            <color indexed="81"/>
            <rFont val="Tahoma"/>
            <family val="2"/>
          </rPr>
          <t>&gt;</t>
        </r>
        <r>
          <rPr>
            <b/>
            <sz val="8"/>
            <color indexed="81"/>
            <rFont val="Tahoma"/>
            <family val="2"/>
          </rPr>
          <t xml:space="preserve"> 8 cm</t>
        </r>
      </text>
    </comment>
    <comment ref="Q18" authorId="1" shapeId="0">
      <text>
        <r>
          <rPr>
            <b/>
            <sz val="8"/>
            <color indexed="81"/>
            <rFont val="Tahoma"/>
            <family val="2"/>
          </rPr>
          <t xml:space="preserve">espaçamento entre nervuras </t>
        </r>
        <r>
          <rPr>
            <b/>
            <u/>
            <sz val="8"/>
            <color indexed="81"/>
            <rFont val="Tahoma"/>
            <family val="2"/>
          </rPr>
          <t>&lt;</t>
        </r>
        <r>
          <rPr>
            <b/>
            <sz val="8"/>
            <color indexed="81"/>
            <rFont val="Tahoma"/>
            <family val="2"/>
          </rPr>
          <t xml:space="preserve"> 65 cm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20" authorId="0" shapeId="0">
      <text>
        <r>
          <rPr>
            <b/>
            <sz val="8"/>
            <color indexed="81"/>
            <rFont val="Tahoma"/>
            <family val="2"/>
          </rPr>
          <t>cobrimento da armadura</t>
        </r>
      </text>
    </comment>
    <comment ref="H21" authorId="0" shapeId="0">
      <text>
        <r>
          <rPr>
            <b/>
            <sz val="8"/>
            <color indexed="81"/>
            <rFont val="Tahoma"/>
            <family val="2"/>
          </rPr>
          <t>peso próprio
da laje</t>
        </r>
      </text>
    </comment>
    <comment ref="H22" authorId="0" shapeId="0">
      <text>
        <r>
          <rPr>
            <b/>
            <sz val="8"/>
            <color indexed="81"/>
            <rFont val="Tahoma"/>
            <family val="2"/>
          </rPr>
          <t>ação permanente,
exceto peso próprio da laje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23" authorId="0" shapeId="0">
      <text>
        <r>
          <rPr>
            <b/>
            <sz val="8"/>
            <color indexed="81"/>
            <rFont val="Tahoma"/>
            <family val="2"/>
          </rPr>
          <t xml:space="preserve">ação variável
</t>
        </r>
      </text>
    </comment>
    <comment ref="D34" authorId="1" shapeId="0">
      <text>
        <r>
          <rPr>
            <b/>
            <sz val="8"/>
            <color indexed="81"/>
            <rFont val="Tahoma"/>
            <family val="2"/>
          </rPr>
          <t>laje maciça - e cm - espaçamento das barras
laje nervurada - q/nerv - quantidade de barras por nervura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65" authorId="1" shapeId="0">
      <text>
        <r>
          <rPr>
            <b/>
            <sz val="8"/>
            <color indexed="81"/>
            <rFont val="Tahoma"/>
            <family val="2"/>
          </rPr>
          <t>abertura de fissura limite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77" authorId="2" shapeId="0">
      <text>
        <r>
          <rPr>
            <b/>
            <sz val="8"/>
            <color indexed="81"/>
            <rFont val="Tahoma"/>
            <family val="2"/>
          </rPr>
          <t>contraflecha no centro da laje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79" authorId="1" shapeId="0">
      <text>
        <r>
          <rPr>
            <b/>
            <sz val="8"/>
            <color indexed="81"/>
            <rFont val="Tahoma"/>
            <family val="2"/>
          </rPr>
          <t>contraflecha limite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Musso</author>
  </authors>
  <commentList>
    <comment ref="F3" authorId="0" shapeId="0">
      <text>
        <r>
          <rPr>
            <b/>
            <sz val="8"/>
            <color indexed="81"/>
            <rFont val="Tahoma"/>
            <family val="2"/>
          </rPr>
          <t>Peso Próprio
da laje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Ação permanente
exceto PP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 xml:space="preserve">Ação variável
</t>
        </r>
      </text>
    </comment>
  </commentList>
</comments>
</file>

<file path=xl/sharedStrings.xml><?xml version="1.0" encoding="utf-8"?>
<sst xmlns="http://schemas.openxmlformats.org/spreadsheetml/2006/main" count="3115" uniqueCount="675">
  <si>
    <t>Concreto</t>
  </si>
  <si>
    <t>Aço</t>
  </si>
  <si>
    <t>a</t>
  </si>
  <si>
    <t>e  cm</t>
  </si>
  <si>
    <t>Data</t>
  </si>
  <si>
    <t>Página</t>
  </si>
  <si>
    <t>Projeto</t>
  </si>
  <si>
    <t>Cliente</t>
  </si>
  <si>
    <t>Descrição</t>
  </si>
  <si>
    <t>UNIVERSIDADE FEDERAL DO ESPÍRITO SANTO</t>
  </si>
  <si>
    <t>CENTRO TECNOLÓGICO</t>
  </si>
  <si>
    <r>
      <t>f</t>
    </r>
    <r>
      <rPr>
        <vertAlign val="subscript"/>
        <sz val="10"/>
        <rFont val="Arial"/>
        <family val="2"/>
      </rPr>
      <t xml:space="preserve">ck   </t>
    </r>
    <r>
      <rPr>
        <sz val="10"/>
        <rFont val="Arial"/>
        <family val="2"/>
      </rPr>
      <t>MPa</t>
    </r>
  </si>
  <si>
    <r>
      <t>g</t>
    </r>
    <r>
      <rPr>
        <vertAlign val="subscript"/>
        <sz val="10"/>
        <rFont val="Arial"/>
        <family val="2"/>
      </rPr>
      <t>c</t>
    </r>
  </si>
  <si>
    <r>
      <t>f</t>
    </r>
    <r>
      <rPr>
        <vertAlign val="subscript"/>
        <sz val="10"/>
        <rFont val="Arial"/>
        <family val="2"/>
      </rPr>
      <t xml:space="preserve">yk   </t>
    </r>
    <r>
      <rPr>
        <sz val="10"/>
        <rFont val="Arial"/>
        <family val="2"/>
      </rPr>
      <t>MPa</t>
    </r>
  </si>
  <si>
    <t>d</t>
  </si>
  <si>
    <r>
      <t>PP kN/m</t>
    </r>
    <r>
      <rPr>
        <vertAlign val="superscript"/>
        <sz val="10"/>
        <rFont val="Arial"/>
        <family val="2"/>
      </rPr>
      <t>2</t>
    </r>
  </si>
  <si>
    <r>
      <t>G kN/m</t>
    </r>
    <r>
      <rPr>
        <vertAlign val="superscript"/>
        <sz val="10"/>
        <rFont val="Arial"/>
        <family val="2"/>
      </rPr>
      <t>2</t>
    </r>
  </si>
  <si>
    <r>
      <t>Q kN/m</t>
    </r>
    <r>
      <rPr>
        <vertAlign val="superscript"/>
        <sz val="10"/>
        <rFont val="Arial"/>
        <family val="2"/>
      </rPr>
      <t>2</t>
    </r>
  </si>
  <si>
    <t>mm</t>
  </si>
  <si>
    <t>cm</t>
  </si>
  <si>
    <t>Ações</t>
  </si>
  <si>
    <t>Ponderação das Ações</t>
  </si>
  <si>
    <t>f</t>
  </si>
  <si>
    <t>Dimensões</t>
  </si>
  <si>
    <t>Tipo 2</t>
  </si>
  <si>
    <t>Tipo 3</t>
  </si>
  <si>
    <t>Tipo 4</t>
  </si>
  <si>
    <t>Tipo 5</t>
  </si>
  <si>
    <t>Tipo 6</t>
  </si>
  <si>
    <t>Esforços Característicos</t>
  </si>
  <si>
    <r>
      <t>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/m</t>
    </r>
  </si>
  <si>
    <r>
      <t>V</t>
    </r>
    <r>
      <rPr>
        <vertAlign val="subscript"/>
        <sz val="10"/>
        <rFont val="Arial"/>
        <family val="2"/>
      </rPr>
      <t>Sd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>Rd1</t>
    </r>
  </si>
  <si>
    <r>
      <t>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 xml:space="preserve"> 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/m</t>
    </r>
  </si>
  <si>
    <t>m</t>
  </si>
  <si>
    <t>Tipo</t>
  </si>
  <si>
    <t>Tipo 1</t>
  </si>
  <si>
    <t>Tipo 7</t>
  </si>
  <si>
    <t>Tipo 8</t>
  </si>
  <si>
    <t>Tipo 9</t>
  </si>
  <si>
    <t>esq</t>
  </si>
  <si>
    <t>dir</t>
  </si>
  <si>
    <t>inf</t>
  </si>
  <si>
    <t>sup</t>
  </si>
  <si>
    <t xml:space="preserve">h = </t>
  </si>
  <si>
    <t xml:space="preserve">c = </t>
  </si>
  <si>
    <t>Status</t>
  </si>
  <si>
    <r>
      <t>f</t>
    </r>
    <r>
      <rPr>
        <vertAlign val="subscript"/>
        <sz val="10"/>
        <rFont val="Arial"/>
        <family val="2"/>
      </rPr>
      <t xml:space="preserve">   </t>
    </r>
    <r>
      <rPr>
        <sz val="10"/>
        <rFont val="Arial"/>
        <family val="2"/>
      </rPr>
      <t>mm</t>
    </r>
  </si>
  <si>
    <r>
      <t>V</t>
    </r>
    <r>
      <rPr>
        <vertAlign val="subscript"/>
        <sz val="10"/>
        <rFont val="Arial"/>
        <family val="2"/>
      </rPr>
      <t>Gk</t>
    </r>
    <r>
      <rPr>
        <sz val="10"/>
        <rFont val="Arial"/>
        <family val="2"/>
      </rPr>
      <t xml:space="preserve">  kN/m</t>
    </r>
  </si>
  <si>
    <r>
      <t>V</t>
    </r>
    <r>
      <rPr>
        <vertAlign val="subscript"/>
        <sz val="10"/>
        <rFont val="Arial"/>
        <family val="2"/>
      </rPr>
      <t>Qk</t>
    </r>
    <r>
      <rPr>
        <sz val="10"/>
        <rFont val="Arial"/>
        <family val="2"/>
      </rPr>
      <t xml:space="preserve">  kN/m</t>
    </r>
  </si>
  <si>
    <r>
      <t>V</t>
    </r>
    <r>
      <rPr>
        <vertAlign val="subscript"/>
        <sz val="10"/>
        <rFont val="Arial"/>
        <family val="2"/>
      </rPr>
      <t>Sd</t>
    </r>
    <r>
      <rPr>
        <sz val="10"/>
        <rFont val="Arial"/>
        <family val="2"/>
      </rPr>
      <t xml:space="preserve"> kN/m</t>
    </r>
  </si>
  <si>
    <r>
      <t>g</t>
    </r>
    <r>
      <rPr>
        <vertAlign val="subscript"/>
        <sz val="10"/>
        <rFont val="Arial"/>
        <family val="2"/>
      </rPr>
      <t>G</t>
    </r>
  </si>
  <si>
    <r>
      <t>g</t>
    </r>
    <r>
      <rPr>
        <vertAlign val="subscript"/>
        <sz val="10"/>
        <rFont val="Arial"/>
        <family val="2"/>
      </rPr>
      <t>Q</t>
    </r>
  </si>
  <si>
    <r>
      <t>Momentos Fletores - M</t>
    </r>
    <r>
      <rPr>
        <b/>
        <vertAlign val="subscript"/>
        <sz val="10"/>
        <rFont val="Arial"/>
        <family val="2"/>
      </rPr>
      <t>Sd</t>
    </r>
  </si>
  <si>
    <r>
      <t>G</t>
    </r>
    <r>
      <rPr>
        <vertAlign val="subscript"/>
        <sz val="10"/>
        <rFont val="Arial"/>
        <family val="2"/>
      </rPr>
      <t>PP</t>
    </r>
    <r>
      <rPr>
        <sz val="10"/>
        <rFont val="Arial"/>
        <family val="2"/>
      </rPr>
      <t xml:space="preserve"> kN/m</t>
    </r>
    <r>
      <rPr>
        <vertAlign val="superscript"/>
        <sz val="10"/>
        <rFont val="Arial"/>
        <family val="2"/>
      </rPr>
      <t>2</t>
    </r>
  </si>
  <si>
    <r>
      <t>G</t>
    </r>
    <r>
      <rPr>
        <vertAlign val="subscript"/>
        <sz val="10"/>
        <rFont val="Arial"/>
        <family val="2"/>
      </rPr>
      <t>EX</t>
    </r>
    <r>
      <rPr>
        <sz val="10"/>
        <rFont val="Arial"/>
        <family val="2"/>
      </rPr>
      <t xml:space="preserve"> kN/m</t>
    </r>
    <r>
      <rPr>
        <vertAlign val="superscript"/>
        <sz val="10"/>
        <rFont val="Arial"/>
        <family val="2"/>
      </rPr>
      <t>2</t>
    </r>
  </si>
  <si>
    <t>Reações e Flecha</t>
  </si>
  <si>
    <t>(kN/m)          (mm)</t>
  </si>
  <si>
    <t>Q</t>
  </si>
  <si>
    <t>MU kg/m</t>
  </si>
  <si>
    <t>CU cm</t>
  </si>
  <si>
    <t>MT   kg</t>
  </si>
  <si>
    <r>
      <t>g</t>
    </r>
    <r>
      <rPr>
        <vertAlign val="subscript"/>
        <sz val="10"/>
        <rFont val="Arial"/>
        <family val="2"/>
      </rPr>
      <t>s</t>
    </r>
  </si>
  <si>
    <t>(kNm/m)</t>
  </si>
  <si>
    <r>
      <t>D</t>
    </r>
    <r>
      <rPr>
        <vertAlign val="subscript"/>
        <sz val="10"/>
        <rFont val="Arial"/>
        <family val="2"/>
      </rPr>
      <t>Cf</t>
    </r>
    <r>
      <rPr>
        <sz val="10"/>
        <rFont val="Arial"/>
        <family val="2"/>
      </rPr>
      <t>,</t>
    </r>
    <r>
      <rPr>
        <vertAlign val="subscript"/>
        <sz val="10"/>
        <rFont val="Arial"/>
        <family val="2"/>
      </rPr>
      <t>lim</t>
    </r>
    <r>
      <rPr>
        <sz val="10"/>
        <rFont val="Arial"/>
        <family val="2"/>
      </rPr>
      <t xml:space="preserve"> mm</t>
    </r>
  </si>
  <si>
    <r>
      <t>D</t>
    </r>
    <r>
      <rPr>
        <vertAlign val="subscript"/>
        <sz val="10"/>
        <rFont val="Arial"/>
        <family val="2"/>
      </rPr>
      <t xml:space="preserve">Cf </t>
    </r>
    <r>
      <rPr>
        <sz val="10"/>
        <rFont val="Arial"/>
        <family val="2"/>
      </rPr>
      <t>mm</t>
    </r>
  </si>
  <si>
    <r>
      <t>D</t>
    </r>
    <r>
      <rPr>
        <vertAlign val="subscript"/>
        <sz val="10"/>
        <rFont val="Arial"/>
        <family val="2"/>
      </rPr>
      <t>T</t>
    </r>
    <r>
      <rPr>
        <sz val="10"/>
        <rFont val="Symbol"/>
        <family val="1"/>
        <charset val="2"/>
      </rPr>
      <t>/D</t>
    </r>
    <r>
      <rPr>
        <vertAlign val="subscript"/>
        <sz val="10"/>
        <rFont val="Arial"/>
        <family val="2"/>
      </rPr>
      <t>T,lim</t>
    </r>
  </si>
  <si>
    <t>G =</t>
  </si>
  <si>
    <t>Q =</t>
  </si>
  <si>
    <r>
      <t>D</t>
    </r>
    <r>
      <rPr>
        <vertAlign val="subscript"/>
        <sz val="10"/>
        <color indexed="12"/>
        <rFont val="Arial"/>
        <family val="2"/>
      </rPr>
      <t>T</t>
    </r>
    <r>
      <rPr>
        <sz val="10"/>
        <color indexed="12"/>
        <rFont val="Arial"/>
        <family val="2"/>
      </rPr>
      <t xml:space="preserve"> =</t>
    </r>
  </si>
  <si>
    <t>Ambiente</t>
  </si>
  <si>
    <t>CAA</t>
  </si>
  <si>
    <t>Rural ou Submerso</t>
  </si>
  <si>
    <t>I</t>
  </si>
  <si>
    <t>Urbano</t>
  </si>
  <si>
    <t>II</t>
  </si>
  <si>
    <t>Marinho ou Industrial</t>
  </si>
  <si>
    <t>III</t>
  </si>
  <si>
    <t>Indústrias Químicas ou Respingos de Maré</t>
  </si>
  <si>
    <t>IV</t>
  </si>
  <si>
    <r>
      <t>D</t>
    </r>
    <r>
      <rPr>
        <sz val="10"/>
        <rFont val="Arial"/>
        <family val="2"/>
      </rPr>
      <t>c=5 mm</t>
    </r>
  </si>
  <si>
    <r>
      <t>w</t>
    </r>
    <r>
      <rPr>
        <vertAlign val="subscript"/>
        <sz val="10"/>
        <rFont val="Arial"/>
        <family val="2"/>
      </rPr>
      <t>lim</t>
    </r>
    <r>
      <rPr>
        <sz val="10"/>
        <rFont val="Arial"/>
        <family val="2"/>
      </rPr>
      <t xml:space="preserve"> mm</t>
    </r>
  </si>
  <si>
    <r>
      <t>f</t>
    </r>
    <r>
      <rPr>
        <vertAlign val="subscript"/>
        <sz val="10"/>
        <rFont val="Arial"/>
        <family val="2"/>
      </rPr>
      <t>ck</t>
    </r>
    <r>
      <rPr>
        <sz val="10"/>
        <rFont val="Arial"/>
        <family val="2"/>
      </rPr>
      <t xml:space="preserve"> MPa &gt;=</t>
    </r>
  </si>
  <si>
    <t>c cm &gt;=</t>
  </si>
  <si>
    <r>
      <t>w</t>
    </r>
    <r>
      <rPr>
        <vertAlign val="subscript"/>
        <sz val="10"/>
        <rFont val="Arial"/>
        <family val="2"/>
      </rPr>
      <t>k</t>
    </r>
    <r>
      <rPr>
        <sz val="10"/>
        <rFont val="Arial"/>
        <family val="2"/>
      </rPr>
      <t xml:space="preserve">  mm</t>
    </r>
  </si>
  <si>
    <r>
      <t>w</t>
    </r>
    <r>
      <rPr>
        <vertAlign val="subscript"/>
        <sz val="10"/>
        <rFont val="Arial"/>
        <family val="2"/>
      </rPr>
      <t>k</t>
    </r>
    <r>
      <rPr>
        <sz val="10"/>
        <rFont val="Arial"/>
        <family val="2"/>
      </rPr>
      <t>/w</t>
    </r>
    <r>
      <rPr>
        <vertAlign val="subscript"/>
        <sz val="10"/>
        <rFont val="Arial"/>
        <family val="2"/>
      </rPr>
      <t>lim</t>
    </r>
  </si>
  <si>
    <t>multiplicar</t>
  </si>
  <si>
    <t>por</t>
  </si>
  <si>
    <t>Flecha</t>
  </si>
  <si>
    <t>Momento Fletor</t>
  </si>
  <si>
    <t>Reação</t>
  </si>
  <si>
    <t>Interpola</t>
  </si>
  <si>
    <r>
      <t>D</t>
    </r>
    <r>
      <rPr>
        <vertAlign val="subscript"/>
        <sz val="10"/>
        <color indexed="12"/>
        <rFont val="Arial"/>
        <family val="2"/>
      </rPr>
      <t xml:space="preserve">Cf </t>
    </r>
    <r>
      <rPr>
        <sz val="10"/>
        <color indexed="12"/>
        <rFont val="Arial"/>
        <family val="2"/>
      </rPr>
      <t>=</t>
    </r>
  </si>
  <si>
    <t>DEPARTAMENTO DE ENGENHARIA CIVIL</t>
  </si>
  <si>
    <t>b/a</t>
  </si>
  <si>
    <t>ae</t>
  </si>
  <si>
    <t>b</t>
  </si>
  <si>
    <t>be</t>
  </si>
  <si>
    <t>b    m</t>
  </si>
  <si>
    <r>
      <t>a</t>
    </r>
    <r>
      <rPr>
        <sz val="10"/>
        <rFont val="Arial"/>
        <family val="2"/>
      </rPr>
      <t xml:space="preserve">    m</t>
    </r>
  </si>
  <si>
    <r>
      <t>pa</t>
    </r>
    <r>
      <rPr>
        <u/>
        <vertAlign val="superscript"/>
        <sz val="10"/>
        <rFont val="Arial"/>
        <family val="2"/>
      </rPr>
      <t>4</t>
    </r>
  </si>
  <si>
    <r>
      <t>E</t>
    </r>
    <r>
      <rPr>
        <vertAlign val="subscript"/>
        <sz val="10"/>
        <rFont val="Arial"/>
        <family val="2"/>
      </rPr>
      <t>cs</t>
    </r>
    <r>
      <rPr>
        <sz val="10"/>
        <rFont val="Arial"/>
        <family val="2"/>
      </rPr>
      <t>h</t>
    </r>
    <r>
      <rPr>
        <vertAlign val="superscript"/>
        <sz val="10"/>
        <rFont val="Arial"/>
        <family val="2"/>
      </rPr>
      <t>3</t>
    </r>
  </si>
  <si>
    <r>
      <t>pa</t>
    </r>
    <r>
      <rPr>
        <vertAlign val="superscript"/>
        <sz val="10"/>
        <rFont val="Arial"/>
        <family val="2"/>
      </rPr>
      <t>2</t>
    </r>
  </si>
  <si>
    <t>pa</t>
  </si>
  <si>
    <r>
      <t>m</t>
    </r>
    <r>
      <rPr>
        <vertAlign val="subscript"/>
        <sz val="10"/>
        <rFont val="Arial"/>
        <family val="2"/>
      </rPr>
      <t>x</t>
    </r>
  </si>
  <si>
    <r>
      <t>m</t>
    </r>
    <r>
      <rPr>
        <vertAlign val="subscript"/>
        <sz val="10"/>
        <rFont val="Arial"/>
        <family val="2"/>
      </rPr>
      <t>xe</t>
    </r>
  </si>
  <si>
    <r>
      <t>m</t>
    </r>
    <r>
      <rPr>
        <vertAlign val="subscript"/>
        <sz val="10"/>
        <rFont val="Arial"/>
        <family val="2"/>
      </rPr>
      <t>y</t>
    </r>
  </si>
  <si>
    <r>
      <t>m</t>
    </r>
    <r>
      <rPr>
        <vertAlign val="subscript"/>
        <sz val="10"/>
        <rFont val="Arial"/>
        <family val="2"/>
      </rPr>
      <t>ye</t>
    </r>
  </si>
  <si>
    <r>
      <t>v</t>
    </r>
    <r>
      <rPr>
        <vertAlign val="subscript"/>
        <sz val="10"/>
        <rFont val="Arial"/>
        <family val="2"/>
      </rPr>
      <t>x</t>
    </r>
  </si>
  <si>
    <r>
      <t>v</t>
    </r>
    <r>
      <rPr>
        <vertAlign val="subscript"/>
        <sz val="10"/>
        <rFont val="Arial"/>
        <family val="2"/>
      </rPr>
      <t>xe</t>
    </r>
  </si>
  <si>
    <r>
      <t>v</t>
    </r>
    <r>
      <rPr>
        <vertAlign val="subscript"/>
        <sz val="10"/>
        <rFont val="Arial"/>
        <family val="2"/>
      </rPr>
      <t>y</t>
    </r>
  </si>
  <si>
    <r>
      <t>v</t>
    </r>
    <r>
      <rPr>
        <vertAlign val="subscript"/>
        <sz val="10"/>
        <rFont val="Arial"/>
        <family val="2"/>
      </rPr>
      <t>ye</t>
    </r>
  </si>
  <si>
    <r>
      <t>r</t>
    </r>
    <r>
      <rPr>
        <vertAlign val="subscript"/>
        <sz val="10"/>
        <rFont val="Arial"/>
        <family val="2"/>
      </rPr>
      <t>a</t>
    </r>
  </si>
  <si>
    <r>
      <t>r</t>
    </r>
    <r>
      <rPr>
        <vertAlign val="subscript"/>
        <sz val="10"/>
        <rFont val="Arial"/>
        <family val="2"/>
      </rPr>
      <t>ae</t>
    </r>
  </si>
  <si>
    <r>
      <t>r</t>
    </r>
    <r>
      <rPr>
        <vertAlign val="subscript"/>
        <sz val="10"/>
        <rFont val="Arial"/>
        <family val="2"/>
      </rPr>
      <t>b</t>
    </r>
  </si>
  <si>
    <r>
      <t>r</t>
    </r>
    <r>
      <rPr>
        <vertAlign val="subscript"/>
        <sz val="10"/>
        <rFont val="Arial"/>
        <family val="2"/>
      </rPr>
      <t>be</t>
    </r>
  </si>
  <si>
    <r>
      <t>f</t>
    </r>
    <r>
      <rPr>
        <vertAlign val="subscript"/>
        <sz val="10"/>
        <rFont val="Arial"/>
        <family val="2"/>
      </rPr>
      <t>m</t>
    </r>
  </si>
  <si>
    <r>
      <t>m</t>
    </r>
    <r>
      <rPr>
        <vertAlign val="subscript"/>
        <sz val="10"/>
        <rFont val="Arial"/>
        <family val="2"/>
      </rPr>
      <t>am</t>
    </r>
  </si>
  <si>
    <r>
      <t>m</t>
    </r>
    <r>
      <rPr>
        <vertAlign val="subscript"/>
        <sz val="10"/>
        <rFont val="Arial"/>
        <family val="2"/>
      </rPr>
      <t>bmáx</t>
    </r>
  </si>
  <si>
    <r>
      <t>m</t>
    </r>
    <r>
      <rPr>
        <vertAlign val="subscript"/>
        <sz val="10"/>
        <rFont val="Arial"/>
        <family val="2"/>
      </rPr>
      <t>bem</t>
    </r>
  </si>
  <si>
    <r>
      <t>m</t>
    </r>
    <r>
      <rPr>
        <vertAlign val="subscript"/>
        <sz val="10"/>
        <rFont val="Arial"/>
        <family val="2"/>
      </rPr>
      <t>aem</t>
    </r>
  </si>
  <si>
    <r>
      <t>m</t>
    </r>
    <r>
      <rPr>
        <vertAlign val="subscript"/>
        <sz val="10"/>
        <rFont val="Arial"/>
        <family val="2"/>
      </rPr>
      <t>aemín</t>
    </r>
  </si>
  <si>
    <r>
      <t>m</t>
    </r>
    <r>
      <rPr>
        <vertAlign val="subscript"/>
        <sz val="10"/>
        <rFont val="Arial"/>
        <family val="2"/>
      </rPr>
      <t>bemín</t>
    </r>
  </si>
  <si>
    <r>
      <t>k</t>
    </r>
    <r>
      <rPr>
        <vertAlign val="subscript"/>
        <sz val="10"/>
        <rFont val="Arial"/>
        <family val="2"/>
      </rPr>
      <t>a</t>
    </r>
  </si>
  <si>
    <r>
      <t>k</t>
    </r>
    <r>
      <rPr>
        <vertAlign val="subscript"/>
        <sz val="10"/>
        <rFont val="Arial"/>
        <family val="2"/>
      </rPr>
      <t>b</t>
    </r>
  </si>
  <si>
    <r>
      <t>a</t>
    </r>
    <r>
      <rPr>
        <vertAlign val="subscript"/>
        <sz val="10"/>
        <rFont val="Arial"/>
        <family val="2"/>
      </rPr>
      <t>a</t>
    </r>
  </si>
  <si>
    <r>
      <t>a</t>
    </r>
    <r>
      <rPr>
        <vertAlign val="subscript"/>
        <sz val="10"/>
        <rFont val="Arial"/>
        <family val="2"/>
      </rPr>
      <t>b</t>
    </r>
  </si>
  <si>
    <r>
      <t>C</t>
    </r>
    <r>
      <rPr>
        <vertAlign val="subscript"/>
        <sz val="10"/>
        <rFont val="Arial"/>
        <family val="2"/>
      </rPr>
      <t>a</t>
    </r>
  </si>
  <si>
    <r>
      <t>C</t>
    </r>
    <r>
      <rPr>
        <vertAlign val="subscript"/>
        <sz val="10"/>
        <rFont val="Arial"/>
        <family val="2"/>
      </rPr>
      <t>b</t>
    </r>
  </si>
  <si>
    <t>&gt; 2</t>
  </si>
  <si>
    <r>
      <t>pa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>/(E</t>
    </r>
    <r>
      <rPr>
        <vertAlign val="subscript"/>
        <sz val="10"/>
        <rFont val="Arial"/>
        <family val="2"/>
      </rPr>
      <t>cs</t>
    </r>
    <r>
      <rPr>
        <sz val="10"/>
        <rFont val="Arial"/>
        <family val="2"/>
      </rPr>
      <t>h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</si>
  <si>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multiplicar por</t>
  </si>
  <si>
    <r>
      <t>f</t>
    </r>
    <r>
      <rPr>
        <vertAlign val="subscript"/>
        <sz val="10"/>
        <rFont val="Arial"/>
        <family val="2"/>
      </rPr>
      <t>máx</t>
    </r>
  </si>
  <si>
    <r>
      <t>m</t>
    </r>
    <r>
      <rPr>
        <vertAlign val="subscript"/>
        <sz val="10"/>
        <rFont val="Arial"/>
        <family val="2"/>
      </rPr>
      <t>amáx</t>
    </r>
  </si>
  <si>
    <t>Método</t>
  </si>
  <si>
    <r>
      <t>a</t>
    </r>
    <r>
      <rPr>
        <vertAlign val="subscript"/>
        <sz val="10"/>
        <rFont val="Arial"/>
        <family val="2"/>
      </rPr>
      <t>e</t>
    </r>
  </si>
  <si>
    <r>
      <t>b</t>
    </r>
    <r>
      <rPr>
        <vertAlign val="subscript"/>
        <sz val="10"/>
        <rFont val="Arial"/>
        <family val="2"/>
      </rPr>
      <t>e</t>
    </r>
  </si>
  <si>
    <r>
      <t>a</t>
    </r>
    <r>
      <rPr>
        <vertAlign val="subscript"/>
        <sz val="10"/>
        <rFont val="Arial"/>
        <family val="2"/>
      </rPr>
      <t>e,esq</t>
    </r>
  </si>
  <si>
    <r>
      <t>a</t>
    </r>
    <r>
      <rPr>
        <vertAlign val="subscript"/>
        <sz val="10"/>
        <rFont val="Arial"/>
        <family val="2"/>
      </rPr>
      <t>e,dir</t>
    </r>
  </si>
  <si>
    <r>
      <t>A</t>
    </r>
    <r>
      <rPr>
        <vertAlign val="subscript"/>
        <sz val="10"/>
        <rFont val="Arial"/>
        <family val="2"/>
      </rPr>
      <t>s</t>
    </r>
  </si>
  <si>
    <t>h</t>
  </si>
  <si>
    <t>Consumo de Materiais</t>
  </si>
  <si>
    <r>
      <t>m</t>
    </r>
    <r>
      <rPr>
        <vertAlign val="subscript"/>
        <sz val="10"/>
        <rFont val="Arial"/>
        <family val="2"/>
      </rPr>
      <t>bm</t>
    </r>
  </si>
  <si>
    <t>n</t>
  </si>
  <si>
    <t>n1</t>
  </si>
  <si>
    <t>n2</t>
  </si>
  <si>
    <t>Referências: Flechas e Momentos (poisson = 0,2) - SAP2000 - MUSSO; Reações - NBR 6118 (item 14.7.6.1) - MUSSO</t>
  </si>
  <si>
    <t>Referências: Flechas e Momentos (poisson = 0,0) - CZERNY; Reações - NBR 6118 (item 14.7.6.1) - MUSSO</t>
  </si>
  <si>
    <t>Referências: Flechas e Momentos (poisson = 0,15) - BARES - adaptado por MUSSO; Reações - NBR 6118 (item 14.7.6.1) - MUSSO</t>
  </si>
  <si>
    <t>Referência: Flechas e Momentos (poisson = 0,0) - MARCUS - adaptado por MUSSO; Reações - NBR 6118 (item 14.7.6.1) - MUSSO</t>
  </si>
  <si>
    <t>Referências: Flechas e Momentos (poisson = 0,2) - CZERNY - adaptado por BURKE; Reações - NBR 6118 (item 14.7.6.1) - MUSSO</t>
  </si>
  <si>
    <t>Referências: Flechas e Momentos (poisson = 0,15) - BARES - adaptado por LIBÂNIO; Reações - NBR 6118 (item 14.7.6.1) - MUSSO</t>
  </si>
  <si>
    <t>INTERPOLA</t>
  </si>
  <si>
    <r>
      <t>e</t>
    </r>
    <r>
      <rPr>
        <vertAlign val="subscript"/>
        <sz val="10"/>
        <rFont val="Arial"/>
        <family val="2"/>
      </rPr>
      <t>yd</t>
    </r>
  </si>
  <si>
    <t>k</t>
  </si>
  <si>
    <r>
      <t>E</t>
    </r>
    <r>
      <rPr>
        <vertAlign val="subscript"/>
        <sz val="10"/>
        <rFont val="Arial"/>
        <family val="2"/>
      </rPr>
      <t>cs</t>
    </r>
    <r>
      <rPr>
        <sz val="10"/>
        <rFont val="Arial"/>
        <family val="2"/>
      </rPr>
      <t xml:space="preserve"> MPa</t>
    </r>
  </si>
  <si>
    <r>
      <t>E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 xml:space="preserve"> MPa</t>
    </r>
  </si>
  <si>
    <r>
      <t>h</t>
    </r>
    <r>
      <rPr>
        <vertAlign val="subscript"/>
        <sz val="10"/>
        <rFont val="Arial"/>
        <family val="2"/>
      </rPr>
      <t>1</t>
    </r>
  </si>
  <si>
    <r>
      <t>E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/E</t>
    </r>
    <r>
      <rPr>
        <vertAlign val="subscript"/>
        <sz val="10"/>
        <rFont val="Arial"/>
        <family val="2"/>
      </rPr>
      <t>cs</t>
    </r>
  </si>
  <si>
    <r>
      <t>r</t>
    </r>
    <r>
      <rPr>
        <vertAlign val="subscript"/>
        <sz val="10"/>
        <rFont val="Arial"/>
        <family val="2"/>
      </rPr>
      <t>r</t>
    </r>
  </si>
  <si>
    <r>
      <t>I</t>
    </r>
    <r>
      <rPr>
        <vertAlign val="subscript"/>
        <sz val="10"/>
        <rFont val="Arial"/>
        <family val="2"/>
      </rPr>
      <t>e,QP</t>
    </r>
    <r>
      <rPr>
        <sz val="10"/>
        <rFont val="Arial"/>
        <family val="2"/>
      </rPr>
      <t xml:space="preserve"> cm</t>
    </r>
    <r>
      <rPr>
        <vertAlign val="superscript"/>
        <sz val="10"/>
        <rFont val="Arial"/>
        <family val="2"/>
      </rPr>
      <t>4</t>
    </r>
  </si>
  <si>
    <r>
      <t>D</t>
    </r>
    <r>
      <rPr>
        <vertAlign val="subscript"/>
        <sz val="10"/>
        <rFont val="Arial"/>
        <family val="2"/>
      </rPr>
      <t xml:space="preserve">QP,ela  </t>
    </r>
    <r>
      <rPr>
        <sz val="10"/>
        <rFont val="Arial"/>
        <family val="2"/>
      </rPr>
      <t>mm</t>
    </r>
  </si>
  <si>
    <r>
      <t>QP kN/m</t>
    </r>
    <r>
      <rPr>
        <vertAlign val="superscript"/>
        <sz val="10"/>
        <rFont val="Arial"/>
        <family val="2"/>
      </rPr>
      <t>2</t>
    </r>
  </si>
  <si>
    <t>Total</t>
  </si>
  <si>
    <t>Aço kg</t>
  </si>
  <si>
    <r>
      <t>Concreto m</t>
    </r>
    <r>
      <rPr>
        <vertAlign val="superscript"/>
        <sz val="10"/>
        <rFont val="Arial"/>
        <family val="2"/>
      </rPr>
      <t>3</t>
    </r>
  </si>
  <si>
    <r>
      <t>kg/m</t>
    </r>
    <r>
      <rPr>
        <vertAlign val="superscript"/>
        <sz val="10"/>
        <rFont val="Arial"/>
        <family val="2"/>
      </rPr>
      <t>3</t>
    </r>
  </si>
  <si>
    <t>vão maior (b) =</t>
  </si>
  <si>
    <t>vão menor (a) =</t>
  </si>
  <si>
    <r>
      <t>Consumo de aço kg/m</t>
    </r>
    <r>
      <rPr>
        <vertAlign val="superscript"/>
        <sz val="10"/>
        <rFont val="Arial"/>
        <family val="2"/>
      </rPr>
      <t>3</t>
    </r>
  </si>
  <si>
    <r>
      <t>S</t>
    </r>
    <r>
      <rPr>
        <b/>
        <vertAlign val="subscript"/>
        <sz val="10"/>
        <rFont val="Arial"/>
        <family val="2"/>
      </rPr>
      <t>d</t>
    </r>
    <r>
      <rPr>
        <b/>
        <sz val="10"/>
        <rFont val="Arial"/>
        <family val="2"/>
      </rPr>
      <t xml:space="preserve"> / R</t>
    </r>
    <r>
      <rPr>
        <b/>
        <vertAlign val="subscript"/>
        <sz val="10"/>
        <rFont val="Arial"/>
        <family val="2"/>
      </rPr>
      <t>d</t>
    </r>
  </si>
  <si>
    <r>
      <t>w</t>
    </r>
    <r>
      <rPr>
        <vertAlign val="subscript"/>
        <sz val="10"/>
        <rFont val="Arial"/>
        <family val="2"/>
      </rPr>
      <t>lim</t>
    </r>
  </si>
  <si>
    <t>l</t>
  </si>
  <si>
    <r>
      <t>A</t>
    </r>
    <r>
      <rPr>
        <vertAlign val="subscript"/>
        <sz val="10"/>
        <rFont val="Arial"/>
        <family val="2"/>
      </rPr>
      <t>s,lim</t>
    </r>
  </si>
  <si>
    <r>
      <t>A</t>
    </r>
    <r>
      <rPr>
        <vertAlign val="subscript"/>
        <sz val="10"/>
        <rFont val="Arial"/>
        <family val="2"/>
      </rPr>
      <t>s,mín</t>
    </r>
  </si>
  <si>
    <t>Armação</t>
  </si>
  <si>
    <r>
      <t>M</t>
    </r>
    <r>
      <rPr>
        <vertAlign val="subscript"/>
        <sz val="10"/>
        <rFont val="Arial"/>
        <family val="2"/>
      </rPr>
      <t>Gk</t>
    </r>
    <r>
      <rPr>
        <sz val="10"/>
        <rFont val="Arial"/>
        <family val="2"/>
      </rPr>
      <t xml:space="preserve"> kNm/m</t>
    </r>
  </si>
  <si>
    <r>
      <t>M</t>
    </r>
    <r>
      <rPr>
        <vertAlign val="subscript"/>
        <sz val="10"/>
        <rFont val="Arial"/>
        <family val="2"/>
      </rPr>
      <t>Qk</t>
    </r>
    <r>
      <rPr>
        <sz val="10"/>
        <rFont val="Arial"/>
        <family val="2"/>
      </rPr>
      <t xml:space="preserve"> kNm/m</t>
    </r>
  </si>
  <si>
    <r>
      <t>V</t>
    </r>
    <r>
      <rPr>
        <vertAlign val="subscript"/>
        <sz val="9"/>
        <rFont val="Arial"/>
        <family val="2"/>
      </rPr>
      <t>Gk</t>
    </r>
    <r>
      <rPr>
        <sz val="9"/>
        <rFont val="Arial"/>
        <family val="2"/>
      </rPr>
      <t xml:space="preserve">  kN/m</t>
    </r>
  </si>
  <si>
    <r>
      <t>V</t>
    </r>
    <r>
      <rPr>
        <vertAlign val="subscript"/>
        <sz val="9"/>
        <rFont val="Arial"/>
        <family val="2"/>
      </rPr>
      <t>Qk</t>
    </r>
    <r>
      <rPr>
        <sz val="9"/>
        <rFont val="Arial"/>
        <family val="2"/>
      </rPr>
      <t xml:space="preserve">  kN/m</t>
    </r>
  </si>
  <si>
    <r>
      <t>M</t>
    </r>
    <r>
      <rPr>
        <vertAlign val="subscript"/>
        <sz val="10"/>
        <rFont val="Arial"/>
        <family val="2"/>
      </rPr>
      <t>Gk</t>
    </r>
    <r>
      <rPr>
        <sz val="10"/>
        <rFont val="Arial"/>
        <family val="2"/>
      </rPr>
      <t xml:space="preserve"> kNm/m</t>
    </r>
  </si>
  <si>
    <r>
      <t>M</t>
    </r>
    <r>
      <rPr>
        <vertAlign val="subscript"/>
        <sz val="10"/>
        <rFont val="Arial"/>
        <family val="2"/>
      </rPr>
      <t>Qk</t>
    </r>
    <r>
      <rPr>
        <sz val="10"/>
        <rFont val="Arial"/>
        <family val="2"/>
      </rPr>
      <t xml:space="preserve"> kNm/m</t>
    </r>
  </si>
  <si>
    <r>
      <t>M</t>
    </r>
    <r>
      <rPr>
        <vertAlign val="subscript"/>
        <sz val="10"/>
        <rFont val="Arial"/>
        <family val="2"/>
      </rPr>
      <t>Sd</t>
    </r>
    <r>
      <rPr>
        <sz val="10"/>
        <rFont val="Arial"/>
        <family val="2"/>
      </rPr>
      <t xml:space="preserve"> kNm/m</t>
    </r>
  </si>
  <si>
    <r>
      <t>M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kNm/m</t>
    </r>
  </si>
  <si>
    <r>
      <t>M</t>
    </r>
    <r>
      <rPr>
        <vertAlign val="subscript"/>
        <sz val="9"/>
        <rFont val="Arial"/>
        <family val="2"/>
      </rPr>
      <t>QP</t>
    </r>
    <r>
      <rPr>
        <sz val="9"/>
        <rFont val="Arial"/>
        <family val="2"/>
      </rPr>
      <t xml:space="preserve"> kNm/m</t>
    </r>
  </si>
  <si>
    <r>
      <t>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 xml:space="preserve"> 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/nerv</t>
    </r>
  </si>
  <si>
    <r>
      <t>I</t>
    </r>
    <r>
      <rPr>
        <vertAlign val="subscript"/>
        <sz val="10"/>
        <rFont val="Arial"/>
        <family val="2"/>
      </rPr>
      <t>c,T</t>
    </r>
    <r>
      <rPr>
        <sz val="10"/>
        <rFont val="Arial"/>
        <family val="2"/>
      </rPr>
      <t xml:space="preserve"> cm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>/m</t>
    </r>
  </si>
  <si>
    <r>
      <t>I</t>
    </r>
    <r>
      <rPr>
        <vertAlign val="subscript"/>
        <sz val="10"/>
        <rFont val="Arial"/>
        <family val="2"/>
      </rPr>
      <t>c,R</t>
    </r>
    <r>
      <rPr>
        <sz val="10"/>
        <rFont val="Arial"/>
        <family val="2"/>
      </rPr>
      <t xml:space="preserve"> cm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>/m</t>
    </r>
  </si>
  <si>
    <t xml:space="preserve">                                                                                                                                                                          </t>
  </si>
  <si>
    <t xml:space="preserve">DISCIPLINA: ESTRUTURAS DE CONCRETO </t>
  </si>
  <si>
    <t>PROFESSOR: FERNANDO MUSSO JUNIOR</t>
  </si>
  <si>
    <t>ALUNO(A):</t>
  </si>
  <si>
    <t>PROPRIEDADES DO CONCRETO</t>
  </si>
  <si>
    <t>MPa</t>
  </si>
  <si>
    <t>resistência característica à compressão do concreto</t>
  </si>
  <si>
    <t>coeficiente de minoração da resistência do concreto</t>
  </si>
  <si>
    <t>resistência de cálculo à compressão do concreto</t>
  </si>
  <si>
    <t>coeficiente Rüsch</t>
  </si>
  <si>
    <t>PROPRIEDADES DO AÇO</t>
  </si>
  <si>
    <t>resistência característica de escoamento da armadura longitudinal</t>
  </si>
  <si>
    <t>coeficiente de minoração da resistência do aço</t>
  </si>
  <si>
    <t>resistência de cálculo de escoamento da armadura longitudinal</t>
  </si>
  <si>
    <t>módulo de elasticidade do aço</t>
  </si>
  <si>
    <t>deformação de escoamento do aço</t>
  </si>
  <si>
    <t>deformação da armadura longitudinal de compressão</t>
  </si>
  <si>
    <t>tensão de cálculo da armadura longitudinal de compressão</t>
  </si>
  <si>
    <t>PROPRIEDADES DA SEÇÃO TRANSVERSAL</t>
  </si>
  <si>
    <t>largura da seção</t>
  </si>
  <si>
    <t>altura da seção</t>
  </si>
  <si>
    <t>altura útil da seção</t>
  </si>
  <si>
    <t>d'</t>
  </si>
  <si>
    <t>distância do centróide da armadura de compressão à borda comprimida</t>
  </si>
  <si>
    <t>área da seção transversal</t>
  </si>
  <si>
    <t>MOMENTO FLETOR SOLICITANTE DE CÁLCULO</t>
  </si>
  <si>
    <t>kNm</t>
  </si>
  <si>
    <t>momento fletor solicitante de cálculo</t>
  </si>
  <si>
    <t>profundidade limite da linha neutra considerando ductilidade do aço</t>
  </si>
  <si>
    <t>profundidade limite da linha neutra considerando fronteira entre domínios 3 e 4</t>
  </si>
  <si>
    <t>xduc</t>
  </si>
  <si>
    <t>profundidade limite da linha neutra</t>
  </si>
  <si>
    <t>momento fletor resistente limite com armadura simples</t>
  </si>
  <si>
    <t>área limite de armadura longitudinal de tração com armadura simples</t>
  </si>
  <si>
    <t>DIMENSIONAMENTO DA ÁREA DE AÇO DA ARMADURA LONGITUDINAL</t>
  </si>
  <si>
    <t>acréscimo de momento fletor solicitante em relação ao momento fletor limite</t>
  </si>
  <si>
    <t>armadura</t>
  </si>
  <si>
    <t>armadura: simples ou dupla?</t>
  </si>
  <si>
    <t>x</t>
  </si>
  <si>
    <t>profundidade da linha neutra</t>
  </si>
  <si>
    <t>área de aço da armadura longitudinal de compressão</t>
  </si>
  <si>
    <t>área mínima de aço da armadura longitudinal de tração</t>
  </si>
  <si>
    <t>área de aço da armadura longitudinal de tração</t>
  </si>
  <si>
    <t>soma das áreas de aço das armaduras tracionada e comprimida</t>
  </si>
  <si>
    <t>área máxima de armadura longitudinal de tração e compressão</t>
  </si>
  <si>
    <r>
      <t>f</t>
    </r>
    <r>
      <rPr>
        <vertAlign val="subscript"/>
        <sz val="10"/>
        <rFont val="Arial"/>
        <family val="2"/>
      </rPr>
      <t>ck</t>
    </r>
  </si>
  <si>
    <r>
      <t>f</t>
    </r>
    <r>
      <rPr>
        <vertAlign val="subscript"/>
        <sz val="10"/>
        <rFont val="Arial"/>
        <family val="2"/>
      </rPr>
      <t>cd</t>
    </r>
  </si>
  <si>
    <r>
      <t>f</t>
    </r>
    <r>
      <rPr>
        <vertAlign val="subscript"/>
        <sz val="10"/>
        <rFont val="Arial"/>
        <family val="2"/>
      </rPr>
      <t>ck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g</t>
    </r>
    <r>
      <rPr>
        <vertAlign val="subscript"/>
        <sz val="10"/>
        <rFont val="Arial"/>
        <family val="2"/>
      </rPr>
      <t>c</t>
    </r>
  </si>
  <si>
    <r>
      <t xml:space="preserve">altura comprimida da seção igual a </t>
    </r>
    <r>
      <rPr>
        <sz val="10"/>
        <rFont val="Symbol"/>
        <family val="1"/>
        <charset val="2"/>
      </rPr>
      <t>l</t>
    </r>
    <r>
      <rPr>
        <sz val="10"/>
        <rFont val="Arial"/>
        <family val="2"/>
      </rPr>
      <t xml:space="preserve">x </t>
    </r>
  </si>
  <si>
    <r>
      <t>f</t>
    </r>
    <r>
      <rPr>
        <vertAlign val="subscript"/>
        <sz val="10"/>
        <rFont val="Arial"/>
        <family val="2"/>
      </rPr>
      <t>yk</t>
    </r>
  </si>
  <si>
    <r>
      <t>f</t>
    </r>
    <r>
      <rPr>
        <vertAlign val="subscript"/>
        <sz val="10"/>
        <rFont val="Arial"/>
        <family val="2"/>
      </rPr>
      <t>yd</t>
    </r>
  </si>
  <si>
    <r>
      <t>f</t>
    </r>
    <r>
      <rPr>
        <vertAlign val="subscript"/>
        <sz val="10"/>
        <rFont val="Arial"/>
        <family val="2"/>
      </rPr>
      <t>yk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g</t>
    </r>
    <r>
      <rPr>
        <vertAlign val="subscript"/>
        <sz val="10"/>
        <rFont val="Arial"/>
        <family val="2"/>
      </rPr>
      <t>s</t>
    </r>
  </si>
  <si>
    <r>
      <t>E</t>
    </r>
    <r>
      <rPr>
        <vertAlign val="subscript"/>
        <sz val="10"/>
        <rFont val="Arial"/>
        <family val="2"/>
      </rPr>
      <t>s</t>
    </r>
  </si>
  <si>
    <r>
      <t>f</t>
    </r>
    <r>
      <rPr>
        <vertAlign val="subscript"/>
        <sz val="10"/>
        <rFont val="Arial"/>
        <family val="2"/>
      </rPr>
      <t>yd</t>
    </r>
    <r>
      <rPr>
        <sz val="10"/>
        <rFont val="Arial"/>
        <family val="2"/>
      </rPr>
      <t>/E</t>
    </r>
    <r>
      <rPr>
        <vertAlign val="subscript"/>
        <sz val="10"/>
        <rFont val="Arial"/>
        <family val="2"/>
      </rPr>
      <t>s</t>
    </r>
  </si>
  <si>
    <r>
      <t>e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</t>
    </r>
  </si>
  <si>
    <r>
      <t>3,5‰(x</t>
    </r>
    <r>
      <rPr>
        <vertAlign val="subscript"/>
        <sz val="10"/>
        <rFont val="Arial"/>
        <family val="2"/>
      </rPr>
      <t xml:space="preserve">lim </t>
    </r>
    <r>
      <rPr>
        <sz val="10"/>
        <rFont val="Arial"/>
        <family val="2"/>
      </rPr>
      <t>- d')/x</t>
    </r>
    <r>
      <rPr>
        <vertAlign val="subscript"/>
        <sz val="10"/>
        <rFont val="Arial"/>
        <family val="2"/>
      </rPr>
      <t>lim</t>
    </r>
  </si>
  <si>
    <r>
      <t>s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</t>
    </r>
    <r>
      <rPr>
        <vertAlign val="subscript"/>
        <sz val="10"/>
        <rFont val="Arial"/>
        <family val="2"/>
      </rPr>
      <t>d</t>
    </r>
  </si>
  <si>
    <r>
      <t>SE(</t>
    </r>
    <r>
      <rPr>
        <sz val="10"/>
        <rFont val="Symbol"/>
        <family val="1"/>
        <charset val="2"/>
      </rPr>
      <t>e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 &lt;=</t>
    </r>
    <r>
      <rPr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e</t>
    </r>
    <r>
      <rPr>
        <vertAlign val="subscript"/>
        <sz val="10"/>
        <rFont val="Arial"/>
        <family val="2"/>
      </rPr>
      <t>yd</t>
    </r>
    <r>
      <rPr>
        <sz val="10"/>
        <rFont val="Arial"/>
        <family val="2"/>
      </rPr>
      <t>; E</t>
    </r>
    <r>
      <rPr>
        <vertAlign val="subscript"/>
        <sz val="10"/>
        <rFont val="Arial"/>
        <family val="2"/>
      </rPr>
      <t>s</t>
    </r>
    <r>
      <rPr>
        <sz val="10"/>
        <rFont val="Symbol"/>
        <family val="1"/>
        <charset val="2"/>
      </rPr>
      <t>e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'; f</t>
    </r>
    <r>
      <rPr>
        <vertAlign val="subscript"/>
        <sz val="10"/>
        <rFont val="Arial"/>
        <family val="2"/>
      </rPr>
      <t>yd</t>
    </r>
    <r>
      <rPr>
        <sz val="10"/>
        <rFont val="Arial"/>
        <family val="2"/>
      </rPr>
      <t>)</t>
    </r>
  </si>
  <si>
    <r>
      <t>A</t>
    </r>
    <r>
      <rPr>
        <vertAlign val="subscript"/>
        <sz val="10"/>
        <rFont val="Arial"/>
        <family val="2"/>
      </rPr>
      <t>c</t>
    </r>
  </si>
  <si>
    <r>
      <t>cm</t>
    </r>
    <r>
      <rPr>
        <vertAlign val="superscript"/>
        <sz val="10"/>
        <rFont val="Arial"/>
        <family val="2"/>
      </rPr>
      <t>2</t>
    </r>
  </si>
  <si>
    <r>
      <t>M</t>
    </r>
    <r>
      <rPr>
        <vertAlign val="subscript"/>
        <sz val="10"/>
        <rFont val="Arial"/>
        <family val="2"/>
      </rPr>
      <t>Sd</t>
    </r>
  </si>
  <si>
    <r>
      <t>x</t>
    </r>
    <r>
      <rPr>
        <vertAlign val="subscript"/>
        <sz val="10"/>
        <rFont val="Arial"/>
        <family val="2"/>
      </rPr>
      <t>duc</t>
    </r>
  </si>
  <si>
    <r>
      <t>x</t>
    </r>
    <r>
      <rPr>
        <vertAlign val="subscript"/>
        <sz val="10"/>
        <rFont val="Arial"/>
        <family val="2"/>
      </rPr>
      <t>34</t>
    </r>
  </si>
  <si>
    <r>
      <t xml:space="preserve">3,5‰d/(3,5‰ + </t>
    </r>
    <r>
      <rPr>
        <sz val="10"/>
        <rFont val="Symbol"/>
        <family val="1"/>
        <charset val="2"/>
      </rPr>
      <t>e</t>
    </r>
    <r>
      <rPr>
        <vertAlign val="subscript"/>
        <sz val="10"/>
        <rFont val="Arial"/>
        <family val="2"/>
      </rPr>
      <t>yd</t>
    </r>
    <r>
      <rPr>
        <sz val="10"/>
        <rFont val="Arial"/>
        <family val="2"/>
      </rPr>
      <t>)</t>
    </r>
  </si>
  <si>
    <r>
      <t>x</t>
    </r>
    <r>
      <rPr>
        <vertAlign val="subscript"/>
        <sz val="10"/>
        <rFont val="Arial"/>
        <family val="2"/>
      </rPr>
      <t>lim</t>
    </r>
  </si>
  <si>
    <r>
      <t>x</t>
    </r>
    <r>
      <rPr>
        <vertAlign val="subscript"/>
        <sz val="10"/>
        <rFont val="Arial"/>
        <family val="2"/>
      </rPr>
      <t>duc</t>
    </r>
    <r>
      <rPr>
        <sz val="10"/>
        <rFont val="Arial"/>
        <family val="2"/>
      </rPr>
      <t xml:space="preserve"> ou x</t>
    </r>
    <r>
      <rPr>
        <vertAlign val="subscript"/>
        <sz val="10"/>
        <rFont val="Arial"/>
        <family val="2"/>
      </rPr>
      <t>34</t>
    </r>
    <r>
      <rPr>
        <sz val="10"/>
        <rFont val="Arial"/>
        <family val="2"/>
      </rPr>
      <t>?</t>
    </r>
  </si>
  <si>
    <r>
      <t>SE(x</t>
    </r>
    <r>
      <rPr>
        <vertAlign val="subscript"/>
        <sz val="10"/>
        <rFont val="Arial"/>
        <family val="2"/>
      </rPr>
      <t>lim</t>
    </r>
    <r>
      <rPr>
        <sz val="10"/>
        <rFont val="Arial"/>
        <family val="2"/>
      </rPr>
      <t xml:space="preserve"> = x</t>
    </r>
    <r>
      <rPr>
        <vertAlign val="subscript"/>
        <sz val="10"/>
        <rFont val="Arial"/>
        <family val="2"/>
      </rPr>
      <t>duc</t>
    </r>
    <r>
      <rPr>
        <sz val="10"/>
        <rFont val="Arial"/>
        <family val="2"/>
      </rPr>
      <t>; x</t>
    </r>
    <r>
      <rPr>
        <vertAlign val="subscript"/>
        <sz val="10"/>
        <rFont val="Arial"/>
        <family val="2"/>
      </rPr>
      <t>duc</t>
    </r>
    <r>
      <rPr>
        <sz val="10"/>
        <rFont val="Arial"/>
        <family val="2"/>
      </rPr>
      <t>; x</t>
    </r>
    <r>
      <rPr>
        <vertAlign val="subscript"/>
        <sz val="10"/>
        <rFont val="Arial"/>
        <family val="2"/>
      </rPr>
      <t>34</t>
    </r>
    <r>
      <rPr>
        <sz val="10"/>
        <rFont val="Arial"/>
        <family val="2"/>
      </rPr>
      <t>)</t>
    </r>
  </si>
  <si>
    <r>
      <t>M</t>
    </r>
    <r>
      <rPr>
        <vertAlign val="subscript"/>
        <sz val="10"/>
        <rFont val="Arial"/>
        <family val="2"/>
      </rPr>
      <t>d,lim</t>
    </r>
  </si>
  <si>
    <r>
      <t>M</t>
    </r>
    <r>
      <rPr>
        <vertAlign val="subscript"/>
        <sz val="10"/>
        <rFont val="Arial"/>
        <family val="2"/>
      </rPr>
      <t>Sd</t>
    </r>
    <r>
      <rPr>
        <sz val="10"/>
        <rFont val="Arial"/>
        <family val="2"/>
      </rPr>
      <t>/M</t>
    </r>
    <r>
      <rPr>
        <vertAlign val="subscript"/>
        <sz val="10"/>
        <rFont val="Arial"/>
        <family val="2"/>
      </rPr>
      <t>d,lim</t>
    </r>
  </si>
  <si>
    <r>
      <t>razão M</t>
    </r>
    <r>
      <rPr>
        <vertAlign val="subscript"/>
        <sz val="10"/>
        <rFont val="Arial"/>
        <family val="2"/>
      </rPr>
      <t>Sd</t>
    </r>
    <r>
      <rPr>
        <sz val="10"/>
        <rFont val="Arial"/>
        <family val="2"/>
      </rPr>
      <t>/M</t>
    </r>
    <r>
      <rPr>
        <vertAlign val="subscript"/>
        <sz val="10"/>
        <rFont val="Arial"/>
        <family val="2"/>
      </rPr>
      <t>d,lim</t>
    </r>
  </si>
  <si>
    <r>
      <t>D</t>
    </r>
    <r>
      <rPr>
        <sz val="10"/>
        <rFont val="Arial"/>
        <family val="2"/>
      </rPr>
      <t>M</t>
    </r>
  </si>
  <si>
    <r>
      <t>MÁXIMO(M</t>
    </r>
    <r>
      <rPr>
        <vertAlign val="subscript"/>
        <sz val="10"/>
        <rFont val="Arial"/>
        <family val="2"/>
      </rPr>
      <t xml:space="preserve">Sd </t>
    </r>
    <r>
      <rPr>
        <sz val="10"/>
        <rFont val="Arial"/>
        <family val="2"/>
      </rPr>
      <t>- M</t>
    </r>
    <r>
      <rPr>
        <vertAlign val="subscript"/>
        <sz val="10"/>
        <rFont val="Arial"/>
        <family val="2"/>
      </rPr>
      <t>d.lim</t>
    </r>
    <r>
      <rPr>
        <sz val="10"/>
        <rFont val="Arial"/>
        <family val="2"/>
      </rPr>
      <t>; 0)</t>
    </r>
  </si>
  <si>
    <r>
      <t>SE(M</t>
    </r>
    <r>
      <rPr>
        <vertAlign val="subscript"/>
        <sz val="10"/>
        <rFont val="Arial"/>
        <family val="2"/>
      </rPr>
      <t>Sd</t>
    </r>
    <r>
      <rPr>
        <sz val="10"/>
        <rFont val="Arial"/>
        <family val="2"/>
      </rPr>
      <t xml:space="preserve"> &lt;= M</t>
    </r>
    <r>
      <rPr>
        <vertAlign val="subscript"/>
        <sz val="10"/>
        <rFont val="Arial"/>
        <family val="2"/>
      </rPr>
      <t>dlim</t>
    </r>
    <r>
      <rPr>
        <sz val="10"/>
        <rFont val="Arial"/>
        <family val="2"/>
      </rPr>
      <t>; "simples"; "dupla")</t>
    </r>
  </si>
  <si>
    <r>
      <t>l</t>
    </r>
    <r>
      <rPr>
        <sz val="10"/>
        <rFont val="Arial"/>
        <family val="2"/>
      </rPr>
      <t>x</t>
    </r>
  </si>
  <si>
    <r>
      <t>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</t>
    </r>
  </si>
  <si>
    <r>
      <t>D</t>
    </r>
    <r>
      <rPr>
        <sz val="10"/>
        <rFont val="Arial"/>
        <family val="2"/>
      </rPr>
      <t>M/(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</t>
    </r>
    <r>
      <rPr>
        <vertAlign val="subscript"/>
        <sz val="10"/>
        <rFont val="Arial"/>
        <family val="2"/>
      </rPr>
      <t>d</t>
    </r>
    <r>
      <rPr>
        <sz val="10"/>
        <rFont val="Arial"/>
        <family val="2"/>
      </rPr>
      <t>(d - d’))</t>
    </r>
  </si>
  <si>
    <r>
      <t>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+A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</t>
    </r>
  </si>
  <si>
    <r>
      <t>A</t>
    </r>
    <r>
      <rPr>
        <vertAlign val="subscript"/>
        <sz val="10"/>
        <rFont val="Arial"/>
        <family val="2"/>
      </rPr>
      <t>s,máx</t>
    </r>
  </si>
  <si>
    <r>
      <t>(A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+A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')/A</t>
    </r>
    <r>
      <rPr>
        <vertAlign val="subscript"/>
        <sz val="10"/>
        <rFont val="Arial"/>
        <family val="2"/>
      </rPr>
      <t>s,máx</t>
    </r>
  </si>
  <si>
    <r>
      <t>razão (A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+A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')/A</t>
    </r>
    <r>
      <rPr>
        <vertAlign val="subscript"/>
        <sz val="10"/>
        <rFont val="Arial"/>
        <family val="2"/>
      </rPr>
      <t>s,máx</t>
    </r>
  </si>
  <si>
    <t>largura da mesa da seção T</t>
  </si>
  <si>
    <t>largura da nervura da seção T</t>
  </si>
  <si>
    <t>altura da seção T</t>
  </si>
  <si>
    <t>altura da mesa da seção T</t>
  </si>
  <si>
    <t>PROFUNDIDADE LIMITE DA LINHA NEUTRA</t>
  </si>
  <si>
    <t>critério para cálculo da profundidade limite da linha neutra (fronteira 3/4 ou ductilidade?)</t>
  </si>
  <si>
    <t>parcela do momento fletor solicitante referente à alma da seção T</t>
  </si>
  <si>
    <t>momento fletor resistente limite referente à alma da seção T</t>
  </si>
  <si>
    <t>área limite de armadura longitudinal de tração referente à alma da seção T</t>
  </si>
  <si>
    <t>CASO DE CÁLCULO</t>
  </si>
  <si>
    <t>momento fletor resistente da mesa comprimida</t>
  </si>
  <si>
    <t>caso</t>
  </si>
  <si>
    <r>
      <t>b</t>
    </r>
    <r>
      <rPr>
        <vertAlign val="subscript"/>
        <sz val="10"/>
        <rFont val="Arial"/>
        <family val="2"/>
      </rPr>
      <t>f</t>
    </r>
  </si>
  <si>
    <r>
      <t>b</t>
    </r>
    <r>
      <rPr>
        <vertAlign val="subscript"/>
        <sz val="10"/>
        <rFont val="Arial"/>
        <family val="2"/>
      </rPr>
      <t>w</t>
    </r>
  </si>
  <si>
    <r>
      <t>h</t>
    </r>
    <r>
      <rPr>
        <vertAlign val="subscript"/>
        <sz val="10"/>
        <rFont val="Arial"/>
        <family val="2"/>
      </rPr>
      <t>f</t>
    </r>
  </si>
  <si>
    <r>
      <t>(b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- 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)h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+ 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h</t>
    </r>
  </si>
  <si>
    <r>
      <t>Caso T1 - M</t>
    </r>
    <r>
      <rPr>
        <vertAlign val="subscript"/>
        <sz val="10"/>
        <rFont val="Arial"/>
        <family val="2"/>
      </rPr>
      <t>Sd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&lt;</t>
    </r>
    <r>
      <rPr>
        <sz val="10"/>
        <rFont val="Arial"/>
        <family val="2"/>
      </rPr>
      <t xml:space="preserve"> M</t>
    </r>
    <r>
      <rPr>
        <vertAlign val="subscript"/>
        <sz val="10"/>
        <rFont val="Arial"/>
        <family val="2"/>
      </rPr>
      <t>Rf</t>
    </r>
    <r>
      <rPr>
        <sz val="10"/>
        <rFont val="Arial"/>
        <family val="2"/>
      </rPr>
      <t xml:space="preserve"> (parte da mesa ou toda mesa comprimida)</t>
    </r>
  </si>
  <si>
    <r>
      <t>SE(armadura = "simples"; (d/</t>
    </r>
    <r>
      <rPr>
        <sz val="10"/>
        <rFont val="Symbol"/>
        <family val="1"/>
        <charset val="2"/>
      </rPr>
      <t>l</t>
    </r>
    <r>
      <rPr>
        <sz val="10"/>
        <rFont val="Arial"/>
        <family val="2"/>
      </rPr>
      <t>){1 - RAIZ[1 - 2M</t>
    </r>
    <r>
      <rPr>
        <vertAlign val="subscript"/>
        <sz val="10"/>
        <rFont val="Arial"/>
        <family val="2"/>
      </rPr>
      <t>Sd</t>
    </r>
    <r>
      <rPr>
        <sz val="10"/>
        <rFont val="Arial"/>
        <family val="2"/>
      </rPr>
      <t>/(b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d</t>
    </r>
    <r>
      <rPr>
        <vertAlign val="superscript"/>
        <sz val="10"/>
        <rFont val="Arial"/>
        <family val="2"/>
      </rPr>
      <t>2</t>
    </r>
    <r>
      <rPr>
        <sz val="10"/>
        <rFont val="Symbol"/>
        <family val="1"/>
        <charset val="2"/>
      </rPr>
      <t>h</t>
    </r>
    <r>
      <rPr>
        <sz val="10"/>
        <rFont val="Arial"/>
        <family val="2"/>
      </rPr>
      <t>f</t>
    </r>
    <r>
      <rPr>
        <vertAlign val="subscript"/>
        <sz val="10"/>
        <rFont val="Arial"/>
        <family val="2"/>
      </rPr>
      <t>cd</t>
    </r>
    <r>
      <rPr>
        <sz val="10"/>
        <rFont val="Arial"/>
        <family val="2"/>
      </rPr>
      <t>)]}; x</t>
    </r>
    <r>
      <rPr>
        <vertAlign val="subscript"/>
        <sz val="10"/>
        <rFont val="Arial"/>
        <family val="2"/>
      </rPr>
      <t>lim</t>
    </r>
    <r>
      <rPr>
        <sz val="10"/>
        <rFont val="Arial"/>
        <family val="2"/>
      </rPr>
      <t>)</t>
    </r>
  </si>
  <si>
    <r>
      <t>Caso T2 - M</t>
    </r>
    <r>
      <rPr>
        <vertAlign val="subscript"/>
        <sz val="10"/>
        <rFont val="Arial"/>
        <family val="2"/>
      </rPr>
      <t>Sd</t>
    </r>
    <r>
      <rPr>
        <sz val="10"/>
        <rFont val="Arial"/>
        <family val="2"/>
      </rPr>
      <t xml:space="preserve"> &gt; M</t>
    </r>
    <r>
      <rPr>
        <vertAlign val="subscript"/>
        <sz val="10"/>
        <rFont val="Arial"/>
        <family val="2"/>
      </rPr>
      <t>Rf</t>
    </r>
    <r>
      <rPr>
        <sz val="10"/>
        <rFont val="Arial"/>
        <family val="2"/>
      </rPr>
      <t xml:space="preserve"> (toda mesa e parte da alma comprimidas)</t>
    </r>
  </si>
  <si>
    <r>
      <t>M</t>
    </r>
    <r>
      <rPr>
        <vertAlign val="subscript"/>
        <sz val="10"/>
        <rFont val="Arial"/>
        <family val="2"/>
      </rPr>
      <t>a</t>
    </r>
  </si>
  <si>
    <r>
      <t>(b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- 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)h</t>
    </r>
    <r>
      <rPr>
        <vertAlign val="subscript"/>
        <sz val="10"/>
        <rFont val="Arial"/>
        <family val="2"/>
      </rPr>
      <t>f</t>
    </r>
    <r>
      <rPr>
        <sz val="10"/>
        <rFont val="Symbol"/>
        <family val="1"/>
        <charset val="2"/>
      </rPr>
      <t>h</t>
    </r>
    <r>
      <rPr>
        <sz val="10"/>
        <rFont val="Arial"/>
        <family val="2"/>
      </rPr>
      <t>f</t>
    </r>
    <r>
      <rPr>
        <vertAlign val="subscript"/>
        <sz val="10"/>
        <rFont val="Arial"/>
        <family val="2"/>
      </rPr>
      <t>cd</t>
    </r>
    <r>
      <rPr>
        <sz val="10"/>
        <rFont val="Arial"/>
        <family val="2"/>
      </rPr>
      <t>(d - 0,5h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)</t>
    </r>
  </si>
  <si>
    <r>
      <t>A</t>
    </r>
    <r>
      <rPr>
        <vertAlign val="subscript"/>
        <sz val="10"/>
        <rFont val="Arial"/>
        <family val="2"/>
      </rPr>
      <t>a</t>
    </r>
  </si>
  <si>
    <r>
      <t>(b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- 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)h</t>
    </r>
    <r>
      <rPr>
        <vertAlign val="subscript"/>
        <sz val="10"/>
        <rFont val="Arial"/>
        <family val="2"/>
      </rPr>
      <t>f</t>
    </r>
    <r>
      <rPr>
        <sz val="10"/>
        <rFont val="Symbol"/>
        <family val="1"/>
        <charset val="2"/>
      </rPr>
      <t>h</t>
    </r>
    <r>
      <rPr>
        <sz val="10"/>
        <rFont val="Arial"/>
        <family val="2"/>
      </rPr>
      <t>f</t>
    </r>
    <r>
      <rPr>
        <vertAlign val="subscript"/>
        <sz val="10"/>
        <rFont val="Arial"/>
        <family val="2"/>
      </rPr>
      <t>cd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yd</t>
    </r>
  </si>
  <si>
    <r>
      <t>M</t>
    </r>
    <r>
      <rPr>
        <vertAlign val="subscript"/>
        <sz val="10"/>
        <rFont val="Arial"/>
        <family val="2"/>
      </rPr>
      <t>w</t>
    </r>
  </si>
  <si>
    <r>
      <t>M</t>
    </r>
    <r>
      <rPr>
        <vertAlign val="subscript"/>
        <sz val="10"/>
        <rFont val="Arial"/>
        <family val="2"/>
      </rPr>
      <t>Sd</t>
    </r>
    <r>
      <rPr>
        <sz val="10"/>
        <rFont val="Arial"/>
        <family val="2"/>
      </rPr>
      <t xml:space="preserve"> - M</t>
    </r>
    <r>
      <rPr>
        <vertAlign val="subscript"/>
        <sz val="10"/>
        <rFont val="Arial"/>
        <family val="2"/>
      </rPr>
      <t>a</t>
    </r>
  </si>
  <si>
    <r>
      <t>M</t>
    </r>
    <r>
      <rPr>
        <vertAlign val="subscript"/>
        <sz val="10"/>
        <rFont val="Arial"/>
        <family val="2"/>
      </rPr>
      <t>w,lim</t>
    </r>
  </si>
  <si>
    <r>
      <t>b</t>
    </r>
    <r>
      <rPr>
        <vertAlign val="subscript"/>
        <sz val="10"/>
        <rFont val="Arial"/>
        <family val="2"/>
      </rPr>
      <t>w</t>
    </r>
    <r>
      <rPr>
        <sz val="10"/>
        <rFont val="Symbol"/>
        <family val="1"/>
        <charset val="2"/>
      </rPr>
      <t>l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lim</t>
    </r>
    <r>
      <rPr>
        <sz val="10"/>
        <rFont val="Symbol"/>
        <family val="1"/>
        <charset val="2"/>
      </rPr>
      <t>h</t>
    </r>
    <r>
      <rPr>
        <sz val="10"/>
        <rFont val="Arial"/>
        <family val="2"/>
      </rPr>
      <t>f</t>
    </r>
    <r>
      <rPr>
        <vertAlign val="subscript"/>
        <sz val="10"/>
        <rFont val="Arial"/>
        <family val="2"/>
      </rPr>
      <t>cd</t>
    </r>
    <r>
      <rPr>
        <sz val="10"/>
        <rFont val="Arial"/>
        <family val="2"/>
      </rPr>
      <t>(d - 0,5</t>
    </r>
    <r>
      <rPr>
        <sz val="10"/>
        <rFont val="Symbol"/>
        <family val="1"/>
        <charset val="2"/>
      </rPr>
      <t>l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lim</t>
    </r>
    <r>
      <rPr>
        <sz val="10"/>
        <rFont val="Arial"/>
        <family val="2"/>
      </rPr>
      <t>)</t>
    </r>
  </si>
  <si>
    <r>
      <t>A</t>
    </r>
    <r>
      <rPr>
        <vertAlign val="subscript"/>
        <sz val="10"/>
        <rFont val="Arial"/>
        <family val="2"/>
      </rPr>
      <t>w,lim</t>
    </r>
  </si>
  <si>
    <r>
      <t>b</t>
    </r>
    <r>
      <rPr>
        <vertAlign val="subscript"/>
        <sz val="10"/>
        <rFont val="Arial"/>
        <family val="2"/>
      </rPr>
      <t>w</t>
    </r>
    <r>
      <rPr>
        <sz val="10"/>
        <rFont val="Symbol"/>
        <family val="1"/>
        <charset val="2"/>
      </rPr>
      <t>l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lim</t>
    </r>
    <r>
      <rPr>
        <sz val="10"/>
        <rFont val="Symbol"/>
        <family val="1"/>
        <charset val="2"/>
      </rPr>
      <t>h</t>
    </r>
    <r>
      <rPr>
        <sz val="10"/>
        <rFont val="Arial"/>
        <family val="2"/>
      </rPr>
      <t>f</t>
    </r>
    <r>
      <rPr>
        <vertAlign val="subscript"/>
        <sz val="10"/>
        <rFont val="Arial"/>
        <family val="2"/>
      </rPr>
      <t>cd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yd</t>
    </r>
  </si>
  <si>
    <r>
      <t>M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+ M</t>
    </r>
    <r>
      <rPr>
        <vertAlign val="subscript"/>
        <sz val="10"/>
        <rFont val="Arial"/>
        <family val="2"/>
      </rPr>
      <t>w,lim</t>
    </r>
  </si>
  <si>
    <r>
      <t>A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+ A</t>
    </r>
    <r>
      <rPr>
        <vertAlign val="subscript"/>
        <sz val="10"/>
        <rFont val="Arial"/>
        <family val="2"/>
      </rPr>
      <t>w,lim</t>
    </r>
  </si>
  <si>
    <r>
      <t>D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w</t>
    </r>
  </si>
  <si>
    <r>
      <t>MÁXIMO(M</t>
    </r>
    <r>
      <rPr>
        <vertAlign val="subscript"/>
        <sz val="10"/>
        <rFont val="Arial"/>
        <family val="2"/>
      </rPr>
      <t xml:space="preserve">w </t>
    </r>
    <r>
      <rPr>
        <sz val="10"/>
        <rFont val="Arial"/>
        <family val="2"/>
      </rPr>
      <t>- M</t>
    </r>
    <r>
      <rPr>
        <vertAlign val="subscript"/>
        <sz val="10"/>
        <rFont val="Arial"/>
        <family val="2"/>
      </rPr>
      <t>w.lim</t>
    </r>
    <r>
      <rPr>
        <sz val="10"/>
        <rFont val="Arial"/>
        <family val="2"/>
      </rPr>
      <t>; 0)</t>
    </r>
  </si>
  <si>
    <r>
      <t>SE(armadura = "simples"; (d/</t>
    </r>
    <r>
      <rPr>
        <sz val="10"/>
        <rFont val="Symbol"/>
        <family val="1"/>
        <charset val="2"/>
      </rPr>
      <t>l</t>
    </r>
    <r>
      <rPr>
        <sz val="10"/>
        <rFont val="Arial"/>
        <family val="2"/>
      </rPr>
      <t>){1 - RAIZ[1 - 2M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/(b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d</t>
    </r>
    <r>
      <rPr>
        <vertAlign val="superscript"/>
        <sz val="10"/>
        <rFont val="Arial"/>
        <family val="2"/>
      </rPr>
      <t>2</t>
    </r>
    <r>
      <rPr>
        <sz val="10"/>
        <rFont val="Symbol"/>
        <family val="1"/>
        <charset val="2"/>
      </rPr>
      <t>h</t>
    </r>
    <r>
      <rPr>
        <sz val="10"/>
        <rFont val="Arial"/>
        <family val="2"/>
      </rPr>
      <t>f</t>
    </r>
    <r>
      <rPr>
        <vertAlign val="subscript"/>
        <sz val="10"/>
        <rFont val="Arial"/>
        <family val="2"/>
      </rPr>
      <t>cd</t>
    </r>
    <r>
      <rPr>
        <sz val="10"/>
        <rFont val="Arial"/>
        <family val="2"/>
      </rPr>
      <t>)]}; x</t>
    </r>
    <r>
      <rPr>
        <vertAlign val="subscript"/>
        <sz val="10"/>
        <rFont val="Arial"/>
        <family val="2"/>
      </rPr>
      <t>lim</t>
    </r>
    <r>
      <rPr>
        <sz val="10"/>
        <rFont val="Arial"/>
        <family val="2"/>
      </rPr>
      <t>)</t>
    </r>
  </si>
  <si>
    <r>
      <t>D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/(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</t>
    </r>
    <r>
      <rPr>
        <vertAlign val="subscript"/>
        <sz val="10"/>
        <rFont val="Arial"/>
        <family val="2"/>
      </rPr>
      <t>d</t>
    </r>
    <r>
      <rPr>
        <sz val="10"/>
        <rFont val="Arial"/>
        <family val="2"/>
      </rPr>
      <t>(d - d’))</t>
    </r>
  </si>
  <si>
    <r>
      <t>M</t>
    </r>
    <r>
      <rPr>
        <vertAlign val="subscript"/>
        <sz val="10"/>
        <rFont val="Arial"/>
        <family val="2"/>
      </rPr>
      <t>Rf</t>
    </r>
  </si>
  <si>
    <r>
      <t>b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f</t>
    </r>
    <r>
      <rPr>
        <sz val="10"/>
        <rFont val="Symbol"/>
        <family val="1"/>
        <charset val="2"/>
      </rPr>
      <t>h</t>
    </r>
    <r>
      <rPr>
        <sz val="10"/>
        <rFont val="Arial"/>
        <family val="2"/>
      </rPr>
      <t>f</t>
    </r>
    <r>
      <rPr>
        <vertAlign val="subscript"/>
        <sz val="10"/>
        <rFont val="Arial"/>
        <family val="2"/>
      </rPr>
      <t>cd</t>
    </r>
    <r>
      <rPr>
        <sz val="10"/>
        <rFont val="Arial"/>
        <family val="2"/>
      </rPr>
      <t>(d - 0,5h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)</t>
    </r>
  </si>
  <si>
    <r>
      <t>SE(M</t>
    </r>
    <r>
      <rPr>
        <vertAlign val="subscript"/>
        <sz val="10"/>
        <rFont val="Arial"/>
        <family val="2"/>
      </rPr>
      <t>Sd</t>
    </r>
    <r>
      <rPr>
        <sz val="10"/>
        <rFont val="Arial"/>
        <family val="2"/>
      </rPr>
      <t xml:space="preserve"> &lt;= M</t>
    </r>
    <r>
      <rPr>
        <vertAlign val="subscript"/>
        <sz val="10"/>
        <rFont val="Arial"/>
        <family val="2"/>
      </rPr>
      <t>Rf</t>
    </r>
    <r>
      <rPr>
        <sz val="10"/>
        <rFont val="Arial"/>
        <family val="2"/>
      </rPr>
      <t>; "T1"; "T2")</t>
    </r>
  </si>
  <si>
    <r>
      <t>SE(caso = "T1"; x</t>
    </r>
    <r>
      <rPr>
        <vertAlign val="subscript"/>
        <sz val="10"/>
        <rFont val="Arial"/>
        <family val="2"/>
      </rPr>
      <t>T1</t>
    </r>
    <r>
      <rPr>
        <sz val="10"/>
        <rFont val="Arial"/>
        <family val="2"/>
      </rPr>
      <t>; x</t>
    </r>
    <r>
      <rPr>
        <vertAlign val="subscript"/>
        <sz val="10"/>
        <rFont val="Arial"/>
        <family val="2"/>
      </rPr>
      <t>T2</t>
    </r>
    <r>
      <rPr>
        <sz val="10"/>
        <rFont val="Arial"/>
        <family val="2"/>
      </rPr>
      <t>)</t>
    </r>
  </si>
  <si>
    <r>
      <t>SE(caso = "T1"; 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</t>
    </r>
    <r>
      <rPr>
        <vertAlign val="subscript"/>
        <sz val="10"/>
        <rFont val="Arial"/>
        <family val="2"/>
      </rPr>
      <t>T1</t>
    </r>
    <r>
      <rPr>
        <sz val="10"/>
        <rFont val="Arial"/>
        <family val="2"/>
      </rPr>
      <t>; 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</t>
    </r>
    <r>
      <rPr>
        <vertAlign val="subscript"/>
        <sz val="10"/>
        <rFont val="Arial"/>
        <family val="2"/>
      </rPr>
      <t>T2</t>
    </r>
    <r>
      <rPr>
        <sz val="10"/>
        <rFont val="Arial"/>
        <family val="2"/>
      </rPr>
      <t>)</t>
    </r>
  </si>
  <si>
    <r>
      <t>4%A</t>
    </r>
    <r>
      <rPr>
        <vertAlign val="subscript"/>
        <sz val="10"/>
        <rFont val="Arial"/>
        <family val="2"/>
      </rPr>
      <t>c</t>
    </r>
  </si>
  <si>
    <t>resistência média à tração do concreto</t>
  </si>
  <si>
    <t>resistência do concreto à tração na flexão (módulo de ruptura)</t>
  </si>
  <si>
    <t>módulo de elasticidade secante do concreto</t>
  </si>
  <si>
    <t>distância do centróide da seção à borda tracionada</t>
  </si>
  <si>
    <t>módulo resistente da seção em relação à borda tracionada</t>
  </si>
  <si>
    <t>L</t>
  </si>
  <si>
    <t>FLECHA ELÁSTICA</t>
  </si>
  <si>
    <t>ARMADURA LONGITUDINAL TRACIONADA E COMPRIMIDA</t>
  </si>
  <si>
    <t>momento fletor para combinação quase permanente de ações</t>
  </si>
  <si>
    <t>MOMENTO FLETOR DE FISSURAÇÃO</t>
  </si>
  <si>
    <t>momento de fissuração da seção para ELS-DEF</t>
  </si>
  <si>
    <t>seção</t>
  </si>
  <si>
    <t>secão: fissurada ou não fissurada?</t>
  </si>
  <si>
    <t>profundidade da linha neutra no estádio 2 puro</t>
  </si>
  <si>
    <t>momento de inércia da seção no estádio 2 puro</t>
  </si>
  <si>
    <t>momento de inércia efetivo da seção</t>
  </si>
  <si>
    <t>taxa geométrica de armadura comprimida</t>
  </si>
  <si>
    <t>FLECHA TOTAL</t>
  </si>
  <si>
    <t>flecha total</t>
  </si>
  <si>
    <t>VERIFICAÇÃO DO ESTADO LIMITE DE SERVIÇO DE DEFORMAÇÃO - (ELS-DEF)</t>
  </si>
  <si>
    <t>L/250</t>
  </si>
  <si>
    <t>flecha limite</t>
  </si>
  <si>
    <r>
      <t>f</t>
    </r>
    <r>
      <rPr>
        <vertAlign val="subscript"/>
        <sz val="10"/>
        <rFont val="Arial"/>
        <family val="2"/>
      </rPr>
      <t>ctm</t>
    </r>
  </si>
  <si>
    <r>
      <t>0,3f</t>
    </r>
    <r>
      <rPr>
        <vertAlign val="subscript"/>
        <sz val="10"/>
        <rFont val="Arial"/>
        <family val="2"/>
      </rPr>
      <t>ck</t>
    </r>
    <r>
      <rPr>
        <vertAlign val="superscript"/>
        <sz val="10"/>
        <rFont val="Arial"/>
        <family val="2"/>
      </rPr>
      <t>2/3</t>
    </r>
  </si>
  <si>
    <r>
      <t>E</t>
    </r>
    <r>
      <rPr>
        <vertAlign val="subscript"/>
        <sz val="10"/>
        <rFont val="Arial"/>
        <family val="2"/>
      </rPr>
      <t>cs</t>
    </r>
  </si>
  <si>
    <r>
      <t>4760.RAIZ(f</t>
    </r>
    <r>
      <rPr>
        <vertAlign val="subscript"/>
        <sz val="10"/>
        <rFont val="Arial"/>
        <family val="2"/>
      </rPr>
      <t>ck</t>
    </r>
    <r>
      <rPr>
        <sz val="10"/>
        <rFont val="Arial"/>
        <family val="2"/>
      </rPr>
      <t>)</t>
    </r>
  </si>
  <si>
    <r>
      <t>razão E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/E</t>
    </r>
    <r>
      <rPr>
        <vertAlign val="subscript"/>
        <sz val="10"/>
        <rFont val="Arial"/>
        <family val="2"/>
      </rPr>
      <t>cs</t>
    </r>
  </si>
  <si>
    <r>
      <t>I</t>
    </r>
    <r>
      <rPr>
        <vertAlign val="subscript"/>
        <sz val="10"/>
        <rFont val="Arial"/>
        <family val="2"/>
      </rPr>
      <t>c</t>
    </r>
  </si>
  <si>
    <r>
      <t>cm</t>
    </r>
    <r>
      <rPr>
        <vertAlign val="superscript"/>
        <sz val="10"/>
        <rFont val="Arial"/>
        <family val="2"/>
      </rPr>
      <t>4</t>
    </r>
  </si>
  <si>
    <r>
      <t>y</t>
    </r>
    <r>
      <rPr>
        <vertAlign val="subscript"/>
        <sz val="10"/>
        <rFont val="Arial"/>
        <family val="2"/>
      </rPr>
      <t>t</t>
    </r>
  </si>
  <si>
    <r>
      <t>W</t>
    </r>
    <r>
      <rPr>
        <vertAlign val="subscript"/>
        <sz val="10"/>
        <rFont val="Arial"/>
        <family val="2"/>
      </rPr>
      <t>c</t>
    </r>
  </si>
  <si>
    <r>
      <t>cm</t>
    </r>
    <r>
      <rPr>
        <vertAlign val="superscript"/>
        <sz val="10"/>
        <rFont val="Arial"/>
        <family val="2"/>
      </rPr>
      <t>3</t>
    </r>
  </si>
  <si>
    <r>
      <t>I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/y</t>
    </r>
    <r>
      <rPr>
        <vertAlign val="subscript"/>
        <sz val="10"/>
        <rFont val="Arial"/>
        <family val="2"/>
      </rPr>
      <t>t</t>
    </r>
  </si>
  <si>
    <r>
      <t>D</t>
    </r>
    <r>
      <rPr>
        <vertAlign val="subscript"/>
        <sz val="10"/>
        <rFont val="Arial"/>
        <family val="2"/>
      </rPr>
      <t>elástica</t>
    </r>
  </si>
  <si>
    <r>
      <t>flecha elástica calculada com seção bruta de concreto e E</t>
    </r>
    <r>
      <rPr>
        <vertAlign val="subscript"/>
        <sz val="10"/>
        <rFont val="Arial"/>
        <family val="2"/>
      </rPr>
      <t>cs</t>
    </r>
  </si>
  <si>
    <r>
      <t>razão M</t>
    </r>
    <r>
      <rPr>
        <vertAlign val="subscript"/>
        <sz val="10"/>
        <rFont val="Arial"/>
        <family val="2"/>
      </rPr>
      <t>r,DEF</t>
    </r>
    <r>
      <rPr>
        <sz val="10"/>
        <rFont val="Arial"/>
        <family val="2"/>
      </rPr>
      <t>/M</t>
    </r>
    <r>
      <rPr>
        <vertAlign val="subscript"/>
        <sz val="10"/>
        <rFont val="Arial"/>
        <family val="2"/>
      </rPr>
      <t>QP</t>
    </r>
  </si>
  <si>
    <r>
      <t>a</t>
    </r>
    <r>
      <rPr>
        <vertAlign val="subscript"/>
        <sz val="10"/>
        <rFont val="Arial"/>
        <family val="2"/>
      </rPr>
      <t>1</t>
    </r>
  </si>
  <si>
    <r>
      <t>coeficiente da equação do 2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 grau para cálculo de x</t>
    </r>
    <r>
      <rPr>
        <vertAlign val="subscript"/>
        <sz val="10"/>
        <rFont val="Arial"/>
        <family val="2"/>
      </rPr>
      <t>2</t>
    </r>
  </si>
  <si>
    <r>
      <t>a</t>
    </r>
    <r>
      <rPr>
        <vertAlign val="subscript"/>
        <sz val="10"/>
        <rFont val="Arial"/>
        <family val="2"/>
      </rPr>
      <t>2</t>
    </r>
  </si>
  <si>
    <r>
      <t>nA</t>
    </r>
    <r>
      <rPr>
        <vertAlign val="subscript"/>
        <sz val="10"/>
        <rFont val="Arial"/>
        <family val="2"/>
      </rPr>
      <t xml:space="preserve">s </t>
    </r>
    <r>
      <rPr>
        <sz val="10"/>
        <rFont val="Arial"/>
        <family val="2"/>
      </rPr>
      <t>+ (n -1)A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</t>
    </r>
  </si>
  <si>
    <r>
      <t>a</t>
    </r>
    <r>
      <rPr>
        <vertAlign val="subscript"/>
        <sz val="10"/>
        <rFont val="Arial"/>
        <family val="2"/>
      </rPr>
      <t>3</t>
    </r>
  </si>
  <si>
    <r>
      <t>- nA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d - (n -1)A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'd'</t>
    </r>
  </si>
  <si>
    <r>
      <t>x</t>
    </r>
    <r>
      <rPr>
        <vertAlign val="subscript"/>
        <sz val="10"/>
        <rFont val="Arial"/>
        <family val="2"/>
      </rPr>
      <t>2</t>
    </r>
  </si>
  <si>
    <r>
      <t>(- a</t>
    </r>
    <r>
      <rPr>
        <vertAlign val="subscript"/>
        <sz val="10"/>
        <rFont val="Arial"/>
        <family val="2"/>
      </rPr>
      <t xml:space="preserve">2 </t>
    </r>
    <r>
      <rPr>
        <sz val="10"/>
        <rFont val="Arial"/>
        <family val="2"/>
      </rPr>
      <t>+ raiz(a</t>
    </r>
    <r>
      <rPr>
        <vertAlign val="subscript"/>
        <sz val="10"/>
        <rFont val="Arial"/>
        <family val="2"/>
      </rPr>
      <t>2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-4a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a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))/(2a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)</t>
    </r>
  </si>
  <si>
    <r>
      <t>I</t>
    </r>
    <r>
      <rPr>
        <vertAlign val="subscript"/>
        <sz val="10"/>
        <rFont val="Arial"/>
        <family val="2"/>
      </rPr>
      <t>2</t>
    </r>
  </si>
  <si>
    <r>
      <t>I</t>
    </r>
    <r>
      <rPr>
        <vertAlign val="subscript"/>
        <sz val="10"/>
        <rFont val="Arial"/>
        <family val="2"/>
      </rPr>
      <t>e</t>
    </r>
  </si>
  <si>
    <r>
      <t>r</t>
    </r>
    <r>
      <rPr>
        <sz val="10"/>
        <rFont val="Arial"/>
        <family val="2"/>
      </rPr>
      <t>'</t>
    </r>
  </si>
  <si>
    <r>
      <t>D</t>
    </r>
    <r>
      <rPr>
        <vertAlign val="subscript"/>
        <sz val="10"/>
        <rFont val="Arial"/>
        <family val="2"/>
      </rPr>
      <t>total</t>
    </r>
  </si>
  <si>
    <r>
      <t>D</t>
    </r>
    <r>
      <rPr>
        <vertAlign val="subscript"/>
        <sz val="10"/>
        <rFont val="Arial"/>
        <family val="2"/>
      </rPr>
      <t>lim</t>
    </r>
  </si>
  <si>
    <r>
      <t>D</t>
    </r>
    <r>
      <rPr>
        <vertAlign val="subscript"/>
        <sz val="10"/>
        <rFont val="Arial"/>
        <family val="2"/>
      </rPr>
      <t>total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lim</t>
    </r>
  </si>
  <si>
    <r>
      <t xml:space="preserve">razão </t>
    </r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total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 xml:space="preserve">lim   </t>
    </r>
    <r>
      <rPr>
        <sz val="10"/>
        <rFont val="Arial"/>
        <family val="2"/>
      </rPr>
      <t>[se for menor ou igual a 1 OK!]</t>
    </r>
  </si>
  <si>
    <t xml:space="preserve">  </t>
  </si>
  <si>
    <t>profundidade da linha neutra da seção bruta de concreto</t>
  </si>
  <si>
    <t>momento de inércia da seção bruta de concreto</t>
  </si>
  <si>
    <r>
      <t>x</t>
    </r>
    <r>
      <rPr>
        <vertAlign val="subscript"/>
        <sz val="10"/>
        <rFont val="Arial"/>
        <family val="2"/>
      </rPr>
      <t>c</t>
    </r>
  </si>
  <si>
    <r>
      <t>0,5((b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h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+ (b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- 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)h</t>
    </r>
    <r>
      <rPr>
        <vertAlign val="subscript"/>
        <sz val="10"/>
        <rFont val="Arial"/>
        <family val="2"/>
      </rPr>
      <t>f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)/(b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h + (b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- 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)h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))</t>
    </r>
  </si>
  <si>
    <r>
      <t>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h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/12 + 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h(h/2 - x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+ (b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- 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)h</t>
    </r>
    <r>
      <rPr>
        <vertAlign val="subscript"/>
        <sz val="10"/>
        <rFont val="Arial"/>
        <family val="2"/>
      </rPr>
      <t>f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/12 + (b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- 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)h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(x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- h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/2)</t>
    </r>
    <r>
      <rPr>
        <vertAlign val="superscript"/>
        <sz val="10"/>
        <rFont val="Arial"/>
        <family val="2"/>
      </rPr>
      <t>2</t>
    </r>
  </si>
  <si>
    <r>
      <t>h - x</t>
    </r>
    <r>
      <rPr>
        <vertAlign val="subscript"/>
        <sz val="10"/>
        <rFont val="Arial"/>
        <family val="2"/>
      </rPr>
      <t>c</t>
    </r>
  </si>
  <si>
    <r>
      <t>Caso C1 - x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&lt;</t>
    </r>
    <r>
      <rPr>
        <sz val="10"/>
        <rFont val="Arial"/>
        <family val="2"/>
      </rPr>
      <t xml:space="preserve"> h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(parte da mesa ou toda mesa comprimida)</t>
    </r>
  </si>
  <si>
    <r>
      <t>0,5b</t>
    </r>
    <r>
      <rPr>
        <vertAlign val="subscript"/>
        <sz val="10"/>
        <rFont val="Arial"/>
        <family val="2"/>
      </rPr>
      <t>f</t>
    </r>
  </si>
  <si>
    <r>
      <t>x</t>
    </r>
    <r>
      <rPr>
        <vertAlign val="subscript"/>
        <sz val="10"/>
        <rFont val="Arial"/>
        <family val="2"/>
      </rPr>
      <t>2,c1</t>
    </r>
  </si>
  <si>
    <r>
      <t>I</t>
    </r>
    <r>
      <rPr>
        <vertAlign val="subscript"/>
        <sz val="10"/>
        <rFont val="Arial"/>
        <family val="2"/>
      </rPr>
      <t>2,c1</t>
    </r>
  </si>
  <si>
    <r>
      <t>b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2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/3 + nA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(d - x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+ (n -1)A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'(x</t>
    </r>
    <r>
      <rPr>
        <vertAlign val="subscript"/>
        <sz val="10"/>
        <rFont val="Arial"/>
        <family val="2"/>
      </rPr>
      <t xml:space="preserve">2 </t>
    </r>
    <r>
      <rPr>
        <sz val="10"/>
        <rFont val="Arial"/>
        <family val="2"/>
      </rPr>
      <t>- d')</t>
    </r>
    <r>
      <rPr>
        <vertAlign val="superscript"/>
        <sz val="10"/>
        <rFont val="Arial"/>
        <family val="2"/>
      </rPr>
      <t>2</t>
    </r>
  </si>
  <si>
    <r>
      <t>Caso C2 - x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&gt; h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(toda mesa e parte da alma comprimidas)</t>
    </r>
  </si>
  <si>
    <r>
      <t>0,5b</t>
    </r>
    <r>
      <rPr>
        <vertAlign val="subscript"/>
        <sz val="10"/>
        <rFont val="Arial"/>
        <family val="2"/>
      </rPr>
      <t>w</t>
    </r>
  </si>
  <si>
    <r>
      <t>(b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- 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)h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+ nA</t>
    </r>
    <r>
      <rPr>
        <vertAlign val="subscript"/>
        <sz val="10"/>
        <rFont val="Arial"/>
        <family val="2"/>
      </rPr>
      <t xml:space="preserve">s </t>
    </r>
    <r>
      <rPr>
        <sz val="10"/>
        <rFont val="Arial"/>
        <family val="2"/>
      </rPr>
      <t>+ (n -1)A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</t>
    </r>
  </si>
  <si>
    <r>
      <t>- (b</t>
    </r>
    <r>
      <rPr>
        <vertAlign val="subscript"/>
        <sz val="10"/>
        <rFont val="Arial"/>
        <family val="2"/>
      </rPr>
      <t xml:space="preserve">f </t>
    </r>
    <r>
      <rPr>
        <sz val="10"/>
        <rFont val="Arial"/>
        <family val="2"/>
      </rPr>
      <t>- 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)h</t>
    </r>
    <r>
      <rPr>
        <vertAlign val="subscript"/>
        <sz val="10"/>
        <rFont val="Arial"/>
        <family val="2"/>
      </rPr>
      <t>f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/2 - nA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d - (n -1)A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'd'</t>
    </r>
  </si>
  <si>
    <r>
      <t>x</t>
    </r>
    <r>
      <rPr>
        <vertAlign val="subscript"/>
        <sz val="10"/>
        <rFont val="Arial"/>
        <family val="2"/>
      </rPr>
      <t>2,c2</t>
    </r>
  </si>
  <si>
    <r>
      <t>I</t>
    </r>
    <r>
      <rPr>
        <vertAlign val="subscript"/>
        <sz val="10"/>
        <rFont val="Arial"/>
        <family val="2"/>
      </rPr>
      <t>2,c2</t>
    </r>
  </si>
  <si>
    <r>
      <t>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2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/3 + (b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- 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)h</t>
    </r>
    <r>
      <rPr>
        <vertAlign val="subscript"/>
        <sz val="10"/>
        <rFont val="Arial"/>
        <family val="2"/>
      </rPr>
      <t>f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/12 + (b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- 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)h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(x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- h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/2)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+ nA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(d - x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+ (n -1)A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'(x</t>
    </r>
    <r>
      <rPr>
        <vertAlign val="subscript"/>
        <sz val="10"/>
        <rFont val="Arial"/>
        <family val="2"/>
      </rPr>
      <t xml:space="preserve">2 </t>
    </r>
    <r>
      <rPr>
        <sz val="10"/>
        <rFont val="Arial"/>
        <family val="2"/>
      </rPr>
      <t>- d')</t>
    </r>
    <r>
      <rPr>
        <vertAlign val="superscript"/>
        <sz val="10"/>
        <rFont val="Arial"/>
        <family val="2"/>
      </rPr>
      <t>2</t>
    </r>
  </si>
  <si>
    <r>
      <t>SE(x</t>
    </r>
    <r>
      <rPr>
        <vertAlign val="subscript"/>
        <sz val="10"/>
        <rFont val="Arial"/>
        <family val="2"/>
      </rPr>
      <t>2,c1</t>
    </r>
    <r>
      <rPr>
        <sz val="10"/>
        <rFont val="Arial"/>
        <family val="2"/>
      </rPr>
      <t xml:space="preserve"> &lt;= h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; "C1"; "C2")</t>
    </r>
  </si>
  <si>
    <r>
      <t>SE(caso = "C1"; x</t>
    </r>
    <r>
      <rPr>
        <vertAlign val="subscript"/>
        <sz val="10"/>
        <rFont val="Arial"/>
        <family val="2"/>
      </rPr>
      <t>2,c1</t>
    </r>
    <r>
      <rPr>
        <sz val="10"/>
        <rFont val="Arial"/>
        <family val="2"/>
      </rPr>
      <t>; x</t>
    </r>
    <r>
      <rPr>
        <vertAlign val="subscript"/>
        <sz val="10"/>
        <rFont val="Arial"/>
        <family val="2"/>
      </rPr>
      <t>2,c2</t>
    </r>
    <r>
      <rPr>
        <sz val="10"/>
        <rFont val="Arial"/>
        <family val="2"/>
      </rPr>
      <t>)</t>
    </r>
  </si>
  <si>
    <r>
      <t>SE(caso = "C1"; I</t>
    </r>
    <r>
      <rPr>
        <vertAlign val="subscript"/>
        <sz val="10"/>
        <rFont val="Arial"/>
        <family val="2"/>
      </rPr>
      <t>2,c1</t>
    </r>
    <r>
      <rPr>
        <sz val="10"/>
        <rFont val="Arial"/>
        <family val="2"/>
      </rPr>
      <t>; I</t>
    </r>
    <r>
      <rPr>
        <vertAlign val="subscript"/>
        <sz val="10"/>
        <rFont val="Arial"/>
        <family val="2"/>
      </rPr>
      <t>2,c2</t>
    </r>
    <r>
      <rPr>
        <sz val="10"/>
        <rFont val="Arial"/>
        <family val="2"/>
      </rPr>
      <t>)</t>
    </r>
  </si>
  <si>
    <t>resistência característica à tração do concreto</t>
  </si>
  <si>
    <t>coeficiente de conformação superficial da barra da armadura longitudinal</t>
  </si>
  <si>
    <t>DIÂMETRO DA ARMADURA LONGITUDINAL TRACIONADA</t>
  </si>
  <si>
    <t>diâmetro da barra da armadura longitudinal tracionada</t>
  </si>
  <si>
    <t>MOMENTO FLETOR FREQUENTE</t>
  </si>
  <si>
    <t>momento fletor para combinação frequente de ações</t>
  </si>
  <si>
    <t>momento de fissuração da seção para ELS-W</t>
  </si>
  <si>
    <t>TENSÃO NA ARMADURA TRACIONADA NO ESTÁDIO 2 PURO</t>
  </si>
  <si>
    <t>tensão na armadura longitudinal tracionada no estádio 2 puro</t>
  </si>
  <si>
    <t>tensão na armadura longitudinal tracionada no estádio 2 puro (método aproximado)</t>
  </si>
  <si>
    <t>TAXA DE ARMADURA NA REGIÃO DE ENVOLVIMENTO</t>
  </si>
  <si>
    <t>área da região de envolvimento</t>
  </si>
  <si>
    <t>ABERTURA DE FISSURA</t>
  </si>
  <si>
    <t>abertura de fissura</t>
  </si>
  <si>
    <t>VERIFICAÇÃO DO ESTADO LIMITE DE SERVIÇO DE ABERTURA DE FISSURA - (ELS-W)</t>
  </si>
  <si>
    <t>abertura de fissura limite</t>
  </si>
  <si>
    <r>
      <t>f</t>
    </r>
    <r>
      <rPr>
        <vertAlign val="subscript"/>
        <sz val="10"/>
        <rFont val="Arial"/>
        <family val="2"/>
      </rPr>
      <t>ctk</t>
    </r>
  </si>
  <si>
    <r>
      <t>0,7f</t>
    </r>
    <r>
      <rPr>
        <vertAlign val="subscript"/>
        <sz val="10"/>
        <rFont val="Arial"/>
        <family val="2"/>
      </rPr>
      <t>ctm</t>
    </r>
  </si>
  <si>
    <r>
      <t>f</t>
    </r>
    <r>
      <rPr>
        <vertAlign val="subscript"/>
        <sz val="10"/>
        <rFont val="Arial"/>
        <family val="2"/>
      </rPr>
      <t>ct,W</t>
    </r>
  </si>
  <si>
    <r>
      <t>SE(f</t>
    </r>
    <r>
      <rPr>
        <vertAlign val="subscript"/>
        <sz val="10"/>
        <rFont val="Arial"/>
        <family val="2"/>
      </rPr>
      <t>yk</t>
    </r>
    <r>
      <rPr>
        <sz val="10"/>
        <rFont val="Arial"/>
        <family val="2"/>
      </rPr>
      <t xml:space="preserve"> = 250; 1; SE(f</t>
    </r>
    <r>
      <rPr>
        <vertAlign val="subscript"/>
        <sz val="10"/>
        <rFont val="Arial"/>
        <family val="2"/>
      </rPr>
      <t>yk</t>
    </r>
    <r>
      <rPr>
        <sz val="10"/>
        <rFont val="Arial"/>
        <family val="2"/>
      </rPr>
      <t xml:space="preserve"> = 500; 2,25; 1,4))</t>
    </r>
  </si>
  <si>
    <r>
      <t>M</t>
    </r>
    <r>
      <rPr>
        <vertAlign val="subscript"/>
        <sz val="10"/>
        <rFont val="Arial"/>
        <family val="2"/>
      </rPr>
      <t>F</t>
    </r>
  </si>
  <si>
    <r>
      <t>M</t>
    </r>
    <r>
      <rPr>
        <vertAlign val="subscript"/>
        <sz val="10"/>
        <rFont val="Arial"/>
        <family val="2"/>
      </rPr>
      <t>r,W</t>
    </r>
  </si>
  <si>
    <r>
      <t>W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f</t>
    </r>
    <r>
      <rPr>
        <vertAlign val="subscript"/>
        <sz val="10"/>
        <rFont val="Arial"/>
        <family val="2"/>
      </rPr>
      <t>ct,W</t>
    </r>
  </si>
  <si>
    <r>
      <t>M</t>
    </r>
    <r>
      <rPr>
        <vertAlign val="subscript"/>
        <sz val="10"/>
        <rFont val="Arial"/>
        <family val="2"/>
      </rPr>
      <t>r,W</t>
    </r>
    <r>
      <rPr>
        <sz val="10"/>
        <rFont val="Arial"/>
        <family val="2"/>
      </rPr>
      <t>/M</t>
    </r>
    <r>
      <rPr>
        <vertAlign val="subscript"/>
        <sz val="10"/>
        <rFont val="Arial"/>
        <family val="2"/>
      </rPr>
      <t>F</t>
    </r>
  </si>
  <si>
    <r>
      <t>SE(M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&lt; M</t>
    </r>
    <r>
      <rPr>
        <vertAlign val="subscript"/>
        <sz val="10"/>
        <rFont val="Arial"/>
        <family val="2"/>
      </rPr>
      <t>r,W</t>
    </r>
    <r>
      <rPr>
        <sz val="10"/>
        <rFont val="Arial"/>
        <family val="2"/>
      </rPr>
      <t>; "não fissurada"; "fissurada")</t>
    </r>
  </si>
  <si>
    <r>
      <t>s</t>
    </r>
    <r>
      <rPr>
        <vertAlign val="subscript"/>
        <sz val="10"/>
        <rFont val="Arial"/>
        <family val="2"/>
      </rPr>
      <t>s</t>
    </r>
  </si>
  <si>
    <r>
      <t>nM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(d - x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)/I</t>
    </r>
    <r>
      <rPr>
        <vertAlign val="subscript"/>
        <sz val="10"/>
        <rFont val="Arial"/>
        <family val="2"/>
      </rPr>
      <t>2</t>
    </r>
  </si>
  <si>
    <r>
      <t>s</t>
    </r>
    <r>
      <rPr>
        <vertAlign val="subscript"/>
        <sz val="10"/>
        <rFont val="Arial"/>
        <family val="2"/>
      </rPr>
      <t>s,aprox</t>
    </r>
  </si>
  <si>
    <r>
      <t>M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/(0,9dA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)</t>
    </r>
  </si>
  <si>
    <r>
      <t>A</t>
    </r>
    <r>
      <rPr>
        <vertAlign val="subscript"/>
        <sz val="10"/>
        <rFont val="Arial"/>
        <family val="2"/>
      </rPr>
      <t>cr</t>
    </r>
  </si>
  <si>
    <r>
      <t>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/A</t>
    </r>
    <r>
      <rPr>
        <vertAlign val="subscript"/>
        <sz val="10"/>
        <rFont val="Arial"/>
        <family val="2"/>
      </rPr>
      <t>cr</t>
    </r>
  </si>
  <si>
    <r>
      <t>taxa de armadura 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 xml:space="preserve"> na região de envolvimento A</t>
    </r>
    <r>
      <rPr>
        <vertAlign val="subscript"/>
        <sz val="10"/>
        <rFont val="Arial"/>
        <family val="2"/>
      </rPr>
      <t>cr</t>
    </r>
  </si>
  <si>
    <r>
      <t>w</t>
    </r>
    <r>
      <rPr>
        <vertAlign val="subscript"/>
        <sz val="10"/>
        <rFont val="Arial"/>
        <family val="2"/>
      </rPr>
      <t>1</t>
    </r>
  </si>
  <si>
    <r>
      <t>SE</t>
    </r>
    <r>
      <rPr>
        <sz val="10"/>
        <rFont val="Symbol"/>
        <family val="1"/>
        <charset val="2"/>
      </rPr>
      <t>(</t>
    </r>
    <r>
      <rPr>
        <sz val="10"/>
        <rFont val="Arial"/>
        <family val="2"/>
      </rPr>
      <t xml:space="preserve">seção = "fissurada"; </t>
    </r>
    <r>
      <rPr>
        <sz val="10"/>
        <rFont val="Symbol"/>
        <family val="1"/>
        <charset val="2"/>
      </rPr>
      <t>fs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3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/(12,5</t>
    </r>
    <r>
      <rPr>
        <sz val="10"/>
        <rFont val="Symbol"/>
        <family val="1"/>
        <charset val="2"/>
      </rPr>
      <t>h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E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f</t>
    </r>
    <r>
      <rPr>
        <vertAlign val="subscript"/>
        <sz val="10"/>
        <rFont val="Arial"/>
        <family val="2"/>
      </rPr>
      <t>ctm</t>
    </r>
    <r>
      <rPr>
        <sz val="10"/>
        <rFont val="Arial"/>
        <family val="2"/>
      </rPr>
      <t>); 0)</t>
    </r>
  </si>
  <si>
    <r>
      <t>w</t>
    </r>
    <r>
      <rPr>
        <vertAlign val="subscript"/>
        <sz val="10"/>
        <rFont val="Arial"/>
        <family val="2"/>
      </rPr>
      <t>2</t>
    </r>
  </si>
  <si>
    <r>
      <t xml:space="preserve">SE(seção = "fissurada"; </t>
    </r>
    <r>
      <rPr>
        <sz val="10"/>
        <rFont val="Symbol"/>
        <family val="1"/>
        <charset val="2"/>
      </rPr>
      <t>fs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(4/</t>
    </r>
    <r>
      <rPr>
        <sz val="10"/>
        <rFont val="Symbol"/>
        <family val="1"/>
        <charset val="2"/>
      </rPr>
      <t>r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>+45)/(12,5</t>
    </r>
    <r>
      <rPr>
        <sz val="10"/>
        <rFont val="Symbol"/>
        <family val="1"/>
        <charset val="2"/>
      </rPr>
      <t>h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E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); 0)</t>
    </r>
  </si>
  <si>
    <r>
      <t>w</t>
    </r>
    <r>
      <rPr>
        <vertAlign val="subscript"/>
        <sz val="10"/>
        <rFont val="Arial"/>
        <family val="2"/>
      </rPr>
      <t>k</t>
    </r>
  </si>
  <si>
    <r>
      <t>MÍNIMO(w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; w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</si>
  <si>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razão w</t>
    </r>
    <r>
      <rPr>
        <vertAlign val="subscript"/>
        <sz val="10"/>
        <rFont val="Arial"/>
        <family val="2"/>
      </rPr>
      <t>k</t>
    </r>
    <r>
      <rPr>
        <sz val="10"/>
        <rFont val="Arial"/>
        <family val="2"/>
      </rPr>
      <t>/w</t>
    </r>
    <r>
      <rPr>
        <vertAlign val="subscript"/>
        <sz val="10"/>
        <rFont val="Arial"/>
        <family val="2"/>
      </rPr>
      <t>lim</t>
    </r>
    <r>
      <rPr>
        <sz val="10"/>
        <rFont val="Arial"/>
        <family val="2"/>
      </rPr>
      <t xml:space="preserve"> [se for menor ou igual a 1 OK!]</t>
    </r>
  </si>
  <si>
    <r>
      <t>1,2f</t>
    </r>
    <r>
      <rPr>
        <vertAlign val="subscript"/>
        <sz val="10"/>
        <rFont val="Arial"/>
        <family val="2"/>
      </rPr>
      <t>ctk</t>
    </r>
  </si>
  <si>
    <t>VERIFICAÇÃO DO ESTADO LIMITE ÚLTIMO DE RESISTÊNCIA À FORÇA CORTANTE (ELU-V) - LAJE</t>
  </si>
  <si>
    <t>resistência de cálculo à tração do concreto</t>
  </si>
  <si>
    <t>z</t>
  </si>
  <si>
    <t>braço de alavanca da seção</t>
  </si>
  <si>
    <t>FORÇA CORTANTE SOLICITANTE DE CÁLCULO</t>
  </si>
  <si>
    <t>força cortante solicitante de cálculo</t>
  </si>
  <si>
    <t>área de aço da armadura tracionada</t>
  </si>
  <si>
    <t>parâmetro k</t>
  </si>
  <si>
    <t>taxa geométrica de armadura tracionada</t>
  </si>
  <si>
    <t>modelo</t>
  </si>
  <si>
    <t>simplificado</t>
  </si>
  <si>
    <t>modelo de cálculo: simplificado ou refinado?</t>
  </si>
  <si>
    <t>q</t>
  </si>
  <si>
    <t>graus</t>
  </si>
  <si>
    <t>ângulo de inclinação das bielas de concreto</t>
  </si>
  <si>
    <t>força cortante resistida pelas bielas de concreto</t>
  </si>
  <si>
    <r>
      <t>f</t>
    </r>
    <r>
      <rPr>
        <vertAlign val="subscript"/>
        <sz val="10"/>
        <rFont val="Arial"/>
        <family val="2"/>
      </rPr>
      <t>ctd</t>
    </r>
  </si>
  <si>
    <r>
      <t>f</t>
    </r>
    <r>
      <rPr>
        <vertAlign val="subscript"/>
        <sz val="10"/>
        <rFont val="Arial"/>
        <family val="2"/>
      </rPr>
      <t>ctk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g</t>
    </r>
    <r>
      <rPr>
        <vertAlign val="subscript"/>
        <sz val="10"/>
        <rFont val="Arial"/>
        <family val="2"/>
      </rPr>
      <t>c</t>
    </r>
  </si>
  <si>
    <r>
      <t>V</t>
    </r>
    <r>
      <rPr>
        <vertAlign val="subscript"/>
        <sz val="10"/>
        <rFont val="Arial"/>
        <family val="2"/>
      </rPr>
      <t>Sd</t>
    </r>
  </si>
  <si>
    <r>
      <t>VERIFICAÇÃO DA RUPTURA POR TRAÇÃO DIAGONAL DO CONCRETO SEM ARMADURA TRANSVERSAL (V</t>
    </r>
    <r>
      <rPr>
        <vertAlign val="subscript"/>
        <sz val="10"/>
        <rFont val="Arial"/>
        <family val="2"/>
      </rPr>
      <t>Sd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&lt;</t>
    </r>
    <r>
      <rPr>
        <sz val="10"/>
        <rFont val="Arial"/>
        <family val="2"/>
      </rPr>
      <t xml:space="preserve"> V</t>
    </r>
    <r>
      <rPr>
        <vertAlign val="subscript"/>
        <sz val="10"/>
        <rFont val="Arial"/>
        <family val="2"/>
      </rPr>
      <t>Rd1</t>
    </r>
    <r>
      <rPr>
        <sz val="10"/>
        <rFont val="Arial"/>
        <family val="2"/>
      </rPr>
      <t>)</t>
    </r>
  </si>
  <si>
    <r>
      <t>t</t>
    </r>
    <r>
      <rPr>
        <vertAlign val="subscript"/>
        <sz val="10"/>
        <rFont val="Arial"/>
        <family val="2"/>
      </rPr>
      <t>Rd</t>
    </r>
  </si>
  <si>
    <r>
      <t>razão V</t>
    </r>
    <r>
      <rPr>
        <vertAlign val="subscript"/>
        <sz val="10"/>
        <rFont val="Arial"/>
        <family val="2"/>
      </rPr>
      <t>Sd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>Rd1</t>
    </r>
    <r>
      <rPr>
        <sz val="10"/>
        <rFont val="Arial"/>
        <family val="2"/>
      </rPr>
      <t xml:space="preserve"> [se for menor ou igual a 1 OK!]</t>
    </r>
  </si>
  <si>
    <r>
      <t>VERIFICAÇÃO DA RUPTURA POR COMPRESSÃO DIAGONAL DO CONCRETO (V</t>
    </r>
    <r>
      <rPr>
        <vertAlign val="subscript"/>
        <sz val="10"/>
        <rFont val="Arial"/>
        <family val="2"/>
      </rPr>
      <t>Sd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&lt;</t>
    </r>
    <r>
      <rPr>
        <sz val="10"/>
        <rFont val="Arial"/>
        <family val="2"/>
      </rPr>
      <t xml:space="preserve"> V</t>
    </r>
    <r>
      <rPr>
        <vertAlign val="subscript"/>
        <sz val="10"/>
        <rFont val="Arial"/>
        <family val="2"/>
      </rPr>
      <t>Rd2</t>
    </r>
    <r>
      <rPr>
        <sz val="10"/>
        <rFont val="Arial"/>
        <family val="2"/>
      </rPr>
      <t>)</t>
    </r>
  </si>
  <si>
    <r>
      <t>0,6(1- f</t>
    </r>
    <r>
      <rPr>
        <vertAlign val="subscript"/>
        <sz val="10"/>
        <rFont val="Arial"/>
        <family val="2"/>
      </rPr>
      <t>ck</t>
    </r>
    <r>
      <rPr>
        <sz val="10"/>
        <rFont val="Arial"/>
        <family val="2"/>
      </rPr>
      <t>/250)</t>
    </r>
  </si>
  <si>
    <r>
      <t>coeficiente redutor da resistência de cálculo f</t>
    </r>
    <r>
      <rPr>
        <vertAlign val="subscript"/>
        <sz val="10"/>
        <rFont val="Arial"/>
        <family val="2"/>
      </rPr>
      <t>cd</t>
    </r>
    <r>
      <rPr>
        <sz val="10"/>
        <rFont val="Arial"/>
        <family val="2"/>
      </rPr>
      <t xml:space="preserve"> para bielas comprimidas</t>
    </r>
  </si>
  <si>
    <r>
      <t>V</t>
    </r>
    <r>
      <rPr>
        <vertAlign val="subscript"/>
        <sz val="10"/>
        <rFont val="Arial"/>
        <family val="2"/>
      </rPr>
      <t>Sd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>Rd2</t>
    </r>
  </si>
  <si>
    <r>
      <t>razão V</t>
    </r>
    <r>
      <rPr>
        <vertAlign val="subscript"/>
        <sz val="10"/>
        <rFont val="Arial"/>
        <family val="2"/>
      </rPr>
      <t>Sd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Rd2 </t>
    </r>
    <r>
      <rPr>
        <sz val="10"/>
        <rFont val="Arial"/>
        <family val="2"/>
      </rPr>
      <t xml:space="preserve"> [se for menor ou igual a 1 OK!]</t>
    </r>
  </si>
  <si>
    <t>d"</t>
  </si>
  <si>
    <t>distância do centróide da armadura tracionada à borda tracionada da seção</t>
  </si>
  <si>
    <t>distância do centróide da armadura comprimida à borda comprimida da seção</t>
  </si>
  <si>
    <r>
      <t>A'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 xml:space="preserve"> 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/m</t>
    </r>
  </si>
  <si>
    <t>borda da laje</t>
  </si>
  <si>
    <r>
      <t>A</t>
    </r>
    <r>
      <rPr>
        <vertAlign val="subscript"/>
        <sz val="10"/>
        <rFont val="Arial"/>
        <family val="2"/>
      </rPr>
      <t>s,ado</t>
    </r>
    <r>
      <rPr>
        <sz val="10"/>
        <rFont val="Arial"/>
        <family val="2"/>
      </rPr>
      <t xml:space="preserve"> 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/m</t>
    </r>
  </si>
  <si>
    <r>
      <t>b</t>
    </r>
    <r>
      <rPr>
        <vertAlign val="subscript"/>
        <sz val="10"/>
        <rFont val="Arial"/>
        <family val="2"/>
      </rPr>
      <t>e,inf</t>
    </r>
  </si>
  <si>
    <r>
      <t>b</t>
    </r>
    <r>
      <rPr>
        <vertAlign val="subscript"/>
        <sz val="10"/>
        <rFont val="Arial"/>
        <family val="2"/>
      </rPr>
      <t>e,sup</t>
    </r>
  </si>
  <si>
    <t>h - d"</t>
  </si>
  <si>
    <t>carga</t>
  </si>
  <si>
    <t>QP</t>
  </si>
  <si>
    <r>
      <t>h</t>
    </r>
    <r>
      <rPr>
        <b/>
        <vertAlign val="subscript"/>
        <sz val="10"/>
        <rFont val="Arial"/>
        <family val="2"/>
      </rPr>
      <t>f</t>
    </r>
    <r>
      <rPr>
        <b/>
        <sz val="10"/>
        <rFont val="Arial"/>
        <family val="2"/>
      </rPr>
      <t xml:space="preserve"> = </t>
    </r>
  </si>
  <si>
    <r>
      <t>b</t>
    </r>
    <r>
      <rPr>
        <b/>
        <vertAlign val="subscript"/>
        <sz val="10"/>
        <rFont val="Arial"/>
        <family val="2"/>
      </rPr>
      <t>w</t>
    </r>
    <r>
      <rPr>
        <b/>
        <sz val="10"/>
        <rFont val="Arial"/>
        <family val="2"/>
      </rPr>
      <t xml:space="preserve"> = </t>
    </r>
  </si>
  <si>
    <r>
      <t>x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 cm</t>
    </r>
  </si>
  <si>
    <r>
      <t>e</t>
    </r>
    <r>
      <rPr>
        <b/>
        <vertAlign val="subscript"/>
        <sz val="10"/>
        <rFont val="Arial"/>
        <family val="2"/>
      </rPr>
      <t>n</t>
    </r>
    <r>
      <rPr>
        <b/>
        <sz val="10"/>
        <rFont val="Arial"/>
        <family val="2"/>
      </rPr>
      <t xml:space="preserve"> = </t>
    </r>
  </si>
  <si>
    <r>
      <t>h</t>
    </r>
    <r>
      <rPr>
        <b/>
        <vertAlign val="subscript"/>
        <sz val="10"/>
        <rFont val="Arial"/>
        <family val="2"/>
      </rPr>
      <t>eq</t>
    </r>
    <r>
      <rPr>
        <b/>
        <sz val="10"/>
        <rFont val="Arial"/>
        <family val="2"/>
      </rPr>
      <t xml:space="preserve"> = </t>
    </r>
  </si>
  <si>
    <r>
      <t>razão M</t>
    </r>
    <r>
      <rPr>
        <vertAlign val="subscript"/>
        <sz val="10"/>
        <rFont val="Arial"/>
        <family val="2"/>
      </rPr>
      <t>r,W</t>
    </r>
    <r>
      <rPr>
        <sz val="10"/>
        <rFont val="Arial"/>
        <family val="2"/>
      </rPr>
      <t>/M</t>
    </r>
    <r>
      <rPr>
        <vertAlign val="subscript"/>
        <sz val="10"/>
        <rFont val="Arial"/>
        <family val="2"/>
      </rPr>
      <t>F</t>
    </r>
  </si>
  <si>
    <t>altura da região de envolvimento</t>
  </si>
  <si>
    <r>
      <t>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cr</t>
    </r>
  </si>
  <si>
    <r>
      <t>MÍNIMO(h - d + 7,5</t>
    </r>
    <r>
      <rPr>
        <sz val="10"/>
        <rFont val="Symbol"/>
        <family val="1"/>
        <charset val="2"/>
      </rPr>
      <t>f</t>
    </r>
    <r>
      <rPr>
        <sz val="10"/>
        <rFont val="Arial"/>
        <family val="2"/>
      </rPr>
      <t>; h/2)</t>
    </r>
  </si>
  <si>
    <r>
      <t>h</t>
    </r>
    <r>
      <rPr>
        <vertAlign val="subscript"/>
        <sz val="10"/>
        <rFont val="Arial"/>
        <family val="2"/>
      </rPr>
      <t>cr</t>
    </r>
  </si>
  <si>
    <r>
      <t>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2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/3 + nA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(d - x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+ (n -1)A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'(x</t>
    </r>
    <r>
      <rPr>
        <vertAlign val="subscript"/>
        <sz val="10"/>
        <rFont val="Arial"/>
        <family val="2"/>
      </rPr>
      <t xml:space="preserve">2 </t>
    </r>
    <r>
      <rPr>
        <sz val="10"/>
        <rFont val="Arial"/>
        <family val="2"/>
      </rPr>
      <t>- d')</t>
    </r>
    <r>
      <rPr>
        <vertAlign val="superscript"/>
        <sz val="10"/>
        <rFont val="Arial"/>
        <family val="2"/>
      </rPr>
      <t>2</t>
    </r>
  </si>
  <si>
    <t>VERIFICAÇÃO DO ESTADO LIMITE DE SERVIÇO DE ABERTURA DE FISSURA - (ELS-W) - SEÇÃO T - MESA TRACIONADA</t>
  </si>
  <si>
    <t>VERIFICAÇÃO DO ESTADO LIMITE DE SERVIÇO DE ABERTURA DE FISSURA - (ELS-W) - SEÇÃO T - MESA COMPRIMIDA</t>
  </si>
  <si>
    <r>
      <t>SE(armadura = "simples"; (d/</t>
    </r>
    <r>
      <rPr>
        <sz val="10"/>
        <rFont val="Symbol"/>
        <family val="1"/>
        <charset val="2"/>
      </rPr>
      <t>l</t>
    </r>
    <r>
      <rPr>
        <sz val="10"/>
        <rFont val="Arial"/>
        <family val="2"/>
      </rPr>
      <t>){1 - RAIZ[1 - 2M</t>
    </r>
    <r>
      <rPr>
        <vertAlign val="subscript"/>
        <sz val="10"/>
        <rFont val="Arial"/>
        <family val="2"/>
      </rPr>
      <t>Sd</t>
    </r>
    <r>
      <rPr>
        <sz val="10"/>
        <rFont val="Arial"/>
        <family val="2"/>
      </rPr>
      <t>/(b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d</t>
    </r>
    <r>
      <rPr>
        <vertAlign val="superscript"/>
        <sz val="10"/>
        <rFont val="Arial"/>
        <family val="2"/>
      </rPr>
      <t>2</t>
    </r>
    <r>
      <rPr>
        <sz val="10"/>
        <rFont val="Symbol"/>
        <family val="1"/>
        <charset val="2"/>
      </rPr>
      <t>h</t>
    </r>
    <r>
      <rPr>
        <sz val="10"/>
        <rFont val="Arial"/>
        <family val="2"/>
      </rPr>
      <t>f</t>
    </r>
    <r>
      <rPr>
        <vertAlign val="subscript"/>
        <sz val="10"/>
        <rFont val="Arial"/>
        <family val="2"/>
      </rPr>
      <t>cd</t>
    </r>
    <r>
      <rPr>
        <sz val="10"/>
        <rFont val="Arial"/>
        <family val="2"/>
      </rPr>
      <t>)]}; x</t>
    </r>
    <r>
      <rPr>
        <vertAlign val="subscript"/>
        <sz val="10"/>
        <rFont val="Arial"/>
        <family val="2"/>
      </rPr>
      <t>lim</t>
    </r>
    <r>
      <rPr>
        <sz val="10"/>
        <rFont val="Arial"/>
        <family val="2"/>
      </rPr>
      <t>)</t>
    </r>
  </si>
  <si>
    <r>
      <t>a</t>
    </r>
    <r>
      <rPr>
        <vertAlign val="subscript"/>
        <sz val="10"/>
        <rFont val="Arial"/>
        <family val="2"/>
      </rPr>
      <t>dist</t>
    </r>
  </si>
  <si>
    <r>
      <t>b</t>
    </r>
    <r>
      <rPr>
        <vertAlign val="subscript"/>
        <sz val="10"/>
        <rFont val="Arial"/>
        <family val="2"/>
      </rPr>
      <t>dist</t>
    </r>
  </si>
  <si>
    <t>aço kg</t>
  </si>
  <si>
    <r>
      <t>concreto m</t>
    </r>
    <r>
      <rPr>
        <vertAlign val="superscript"/>
        <sz val="10"/>
        <rFont val="Arial"/>
        <family val="2"/>
      </rPr>
      <t>3</t>
    </r>
  </si>
  <si>
    <r>
      <t>A</t>
    </r>
    <r>
      <rPr>
        <vertAlign val="subscript"/>
        <sz val="10"/>
        <rFont val="Arial"/>
        <family val="2"/>
      </rPr>
      <t>s,mesa</t>
    </r>
  </si>
  <si>
    <r>
      <t>A</t>
    </r>
    <r>
      <rPr>
        <vertAlign val="subscript"/>
        <sz val="10"/>
        <rFont val="Arial"/>
        <family val="2"/>
      </rPr>
      <t>s,mesa</t>
    </r>
    <r>
      <rPr>
        <sz val="10"/>
        <rFont val="Arial"/>
        <family val="2"/>
      </rPr>
      <t xml:space="preserve"> 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/m</t>
    </r>
  </si>
  <si>
    <t>K</t>
  </si>
  <si>
    <t>r</t>
  </si>
  <si>
    <r>
      <t>(a/d)</t>
    </r>
    <r>
      <rPr>
        <vertAlign val="subscript"/>
        <sz val="10"/>
        <rFont val="Arial"/>
        <family val="2"/>
      </rPr>
      <t>1</t>
    </r>
  </si>
  <si>
    <r>
      <t>(a/d)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/>
    </r>
  </si>
  <si>
    <r>
      <t>r</t>
    </r>
    <r>
      <rPr>
        <vertAlign val="subscript"/>
        <sz val="10"/>
        <rFont val="Arial"/>
        <family val="2"/>
      </rPr>
      <t>o</t>
    </r>
  </si>
  <si>
    <r>
      <t>b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- b</t>
    </r>
    <r>
      <rPr>
        <vertAlign val="subscript"/>
        <sz val="10"/>
        <rFont val="Arial"/>
        <family val="2"/>
      </rPr>
      <t>w</t>
    </r>
  </si>
  <si>
    <r>
      <t>0,5((b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h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+ (b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- 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)h</t>
    </r>
    <r>
      <rPr>
        <vertAlign val="subscript"/>
        <sz val="10"/>
        <rFont val="Arial"/>
        <family val="2"/>
      </rPr>
      <t>f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)/A</t>
    </r>
    <r>
      <rPr>
        <vertAlign val="subscript"/>
        <sz val="10"/>
        <rFont val="Arial"/>
        <family val="2"/>
      </rPr>
      <t>c</t>
    </r>
  </si>
  <si>
    <t>GEOMETRIA DA SEÇÃO</t>
  </si>
  <si>
    <t>PROPRIEDADES DA SEÇÃO NO ESTÁDIO 1 (SEÇÃO NÃO FISSURADA)</t>
  </si>
  <si>
    <r>
      <t>A</t>
    </r>
    <r>
      <rPr>
        <vertAlign val="subscript"/>
        <sz val="10"/>
        <rFont val="Arial"/>
        <family val="2"/>
      </rPr>
      <t>1</t>
    </r>
  </si>
  <si>
    <r>
      <t>(b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- 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)h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+ 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h + (n - 1)A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 xml:space="preserve"> + (n - 1)A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</t>
    </r>
  </si>
  <si>
    <r>
      <t>x</t>
    </r>
    <r>
      <rPr>
        <vertAlign val="subscript"/>
        <sz val="10"/>
        <rFont val="Arial"/>
        <family val="2"/>
      </rPr>
      <t>1</t>
    </r>
  </si>
  <si>
    <r>
      <t>(0,5b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h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+ 0,5(b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- 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)h</t>
    </r>
    <r>
      <rPr>
        <vertAlign val="subscript"/>
        <sz val="10"/>
        <rFont val="Arial"/>
        <family val="2"/>
      </rPr>
      <t>f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+ (n - 1)A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d + (n-1)A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'd')/A</t>
    </r>
    <r>
      <rPr>
        <vertAlign val="subscript"/>
        <sz val="10"/>
        <rFont val="Arial"/>
        <family val="2"/>
      </rPr>
      <t>1</t>
    </r>
  </si>
  <si>
    <t>área da seção no estádio 1</t>
  </si>
  <si>
    <t>profundidade da linha neutra da seção no estádio 1</t>
  </si>
  <si>
    <t>momento de inércia da seção no estádio 1</t>
  </si>
  <si>
    <r>
      <t>I</t>
    </r>
    <r>
      <rPr>
        <vertAlign val="subscript"/>
        <sz val="10"/>
        <rFont val="Arial"/>
        <family val="2"/>
      </rPr>
      <t>1</t>
    </r>
  </si>
  <si>
    <r>
      <t>W</t>
    </r>
    <r>
      <rPr>
        <vertAlign val="subscript"/>
        <sz val="10"/>
        <rFont val="Arial"/>
        <family val="2"/>
      </rPr>
      <t>1</t>
    </r>
  </si>
  <si>
    <r>
      <t>h - x</t>
    </r>
    <r>
      <rPr>
        <vertAlign val="subscript"/>
        <sz val="10"/>
        <rFont val="Arial"/>
        <family val="2"/>
      </rPr>
      <t>1</t>
    </r>
  </si>
  <si>
    <r>
      <t>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h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/12+b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h(x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-h/2)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+(b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-b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)h</t>
    </r>
    <r>
      <rPr>
        <vertAlign val="subscript"/>
        <sz val="10"/>
        <rFont val="Arial"/>
        <family val="2"/>
      </rPr>
      <t>f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/12+(b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-b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)h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(x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-h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/2)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+(n-1)(A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(d-x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+A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'(x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-d")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</si>
  <si>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PROPRIEDADES DA SEÇÃO NO ESTÁDIO 2 (SEÇÃO FISSURADA)</t>
  </si>
  <si>
    <t>MOMENTO FLETOR NO ESTADO LIMITE DE SERVIÇO</t>
  </si>
  <si>
    <t>PROPRIEDADES DA SEÇÃO DE CONCRETO (SEÇÃO BRUTA)</t>
  </si>
  <si>
    <r>
      <t>f</t>
    </r>
    <r>
      <rPr>
        <vertAlign val="subscript"/>
        <sz val="10"/>
        <rFont val="Arial"/>
        <family val="2"/>
      </rPr>
      <t>ct</t>
    </r>
  </si>
  <si>
    <r>
      <t>W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f</t>
    </r>
    <r>
      <rPr>
        <vertAlign val="subscript"/>
        <sz val="10"/>
        <rFont val="Arial"/>
        <family val="2"/>
      </rPr>
      <t>ct</t>
    </r>
  </si>
  <si>
    <t>M</t>
  </si>
  <si>
    <r>
      <t>y</t>
    </r>
    <r>
      <rPr>
        <vertAlign val="subscript"/>
        <sz val="10"/>
        <rFont val="Arial"/>
        <family val="2"/>
      </rPr>
      <t>c</t>
    </r>
  </si>
  <si>
    <r>
      <t>I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/y</t>
    </r>
    <r>
      <rPr>
        <vertAlign val="subscript"/>
        <sz val="10"/>
        <rFont val="Arial"/>
        <family val="2"/>
      </rPr>
      <t>c</t>
    </r>
  </si>
  <si>
    <r>
      <t>y</t>
    </r>
    <r>
      <rPr>
        <vertAlign val="subscript"/>
        <sz val="10"/>
        <rFont val="Arial"/>
        <family val="2"/>
      </rPr>
      <t>1</t>
    </r>
  </si>
  <si>
    <r>
      <t>I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/y</t>
    </r>
    <r>
      <rPr>
        <vertAlign val="subscript"/>
        <sz val="10"/>
        <rFont val="Arial"/>
        <family val="2"/>
      </rPr>
      <t>1</t>
    </r>
  </si>
  <si>
    <r>
      <t>E</t>
    </r>
    <r>
      <rPr>
        <vertAlign val="subscript"/>
        <sz val="10"/>
        <rFont val="Arial"/>
        <family val="2"/>
      </rPr>
      <t>ce</t>
    </r>
  </si>
  <si>
    <t>módulo de elasticidade efetivo do concreto</t>
  </si>
  <si>
    <t>norma</t>
  </si>
  <si>
    <t>NBR</t>
  </si>
  <si>
    <t>EC2</t>
  </si>
  <si>
    <r>
      <t>M</t>
    </r>
    <r>
      <rPr>
        <vertAlign val="subscript"/>
        <sz val="10"/>
        <rFont val="Arial"/>
        <family val="2"/>
      </rPr>
      <t>cr</t>
    </r>
  </si>
  <si>
    <r>
      <t>M</t>
    </r>
    <r>
      <rPr>
        <vertAlign val="subscript"/>
        <sz val="10"/>
        <rFont val="Arial"/>
        <family val="2"/>
      </rPr>
      <t>cr</t>
    </r>
    <r>
      <rPr>
        <sz val="10"/>
        <rFont val="Arial"/>
        <family val="2"/>
      </rPr>
      <t>/M</t>
    </r>
  </si>
  <si>
    <r>
      <t>SE(M &lt; M</t>
    </r>
    <r>
      <rPr>
        <vertAlign val="subscript"/>
        <sz val="10"/>
        <rFont val="Arial"/>
        <family val="2"/>
      </rPr>
      <t>cr</t>
    </r>
    <r>
      <rPr>
        <sz val="10"/>
        <rFont val="Arial"/>
        <family val="2"/>
      </rPr>
      <t>; "não fissurada"; "fissurada")</t>
    </r>
  </si>
  <si>
    <r>
      <t>D</t>
    </r>
    <r>
      <rPr>
        <vertAlign val="subscript"/>
        <sz val="10"/>
        <rFont val="Arial"/>
        <family val="2"/>
      </rPr>
      <t>lim</t>
    </r>
    <r>
      <rPr>
        <sz val="10"/>
        <rFont val="Arial"/>
        <family val="2"/>
      </rPr>
      <t>/</t>
    </r>
  </si>
  <si>
    <t>MOMENTO DE INÉRCIA EFETIVO</t>
  </si>
  <si>
    <t>Ic</t>
  </si>
  <si>
    <r>
      <t>momento de inércia não fissurado (seção bruta = I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ou seção no estádio 1 = I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)</t>
    </r>
  </si>
  <si>
    <r>
      <t>I</t>
    </r>
    <r>
      <rPr>
        <vertAlign val="subscript"/>
        <sz val="10"/>
        <rFont val="Arial"/>
        <family val="2"/>
      </rPr>
      <t>NF</t>
    </r>
  </si>
  <si>
    <r>
      <t>NBR: 4760.RAIZ(f</t>
    </r>
    <r>
      <rPr>
        <vertAlign val="subscript"/>
        <sz val="10"/>
        <rFont val="Arial"/>
        <family val="2"/>
      </rPr>
      <t>ck</t>
    </r>
    <r>
      <rPr>
        <sz val="10"/>
        <rFont val="Arial"/>
        <family val="2"/>
      </rPr>
      <t>); EC2: 22000((f</t>
    </r>
    <r>
      <rPr>
        <vertAlign val="subscript"/>
        <sz val="10"/>
        <rFont val="Arial"/>
        <family val="2"/>
      </rPr>
      <t>ck</t>
    </r>
    <r>
      <rPr>
        <sz val="10"/>
        <rFont val="Arial"/>
        <family val="2"/>
      </rPr>
      <t xml:space="preserve"> + 8)/10)</t>
    </r>
    <r>
      <rPr>
        <vertAlign val="superscript"/>
        <sz val="10"/>
        <rFont val="Arial"/>
        <family val="2"/>
      </rPr>
      <t>0,3</t>
    </r>
  </si>
  <si>
    <t>NBR: 210000; EC2: 200000</t>
  </si>
  <si>
    <r>
      <t>NBR: E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/E</t>
    </r>
    <r>
      <rPr>
        <vertAlign val="subscript"/>
        <sz val="10"/>
        <rFont val="Arial"/>
        <family val="2"/>
      </rPr>
      <t>cs</t>
    </r>
    <r>
      <rPr>
        <sz val="10"/>
        <rFont val="Arial"/>
        <family val="2"/>
      </rPr>
      <t>; EC2: E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/E</t>
    </r>
    <r>
      <rPr>
        <vertAlign val="subscript"/>
        <sz val="10"/>
        <rFont val="Arial"/>
        <family val="2"/>
      </rPr>
      <t>ce</t>
    </r>
  </si>
  <si>
    <r>
      <t>NBR: SE(seção="fissurada"; 1-(M</t>
    </r>
    <r>
      <rPr>
        <vertAlign val="subscript"/>
        <sz val="10"/>
        <rFont val="Arial"/>
        <family val="2"/>
      </rPr>
      <t>cr</t>
    </r>
    <r>
      <rPr>
        <sz val="10"/>
        <rFont val="Arial"/>
        <family val="2"/>
      </rPr>
      <t>/M)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; 0); EC2: SE(seção="fissurada"; 1-</t>
    </r>
    <r>
      <rPr>
        <sz val="10"/>
        <rFont val="Symbol"/>
        <family val="1"/>
        <charset val="2"/>
      </rPr>
      <t>b</t>
    </r>
    <r>
      <rPr>
        <sz val="10"/>
        <rFont val="Arial"/>
        <family val="2"/>
      </rPr>
      <t>(M</t>
    </r>
    <r>
      <rPr>
        <vertAlign val="subscript"/>
        <sz val="10"/>
        <rFont val="Arial"/>
        <family val="2"/>
      </rPr>
      <t>cr</t>
    </r>
    <r>
      <rPr>
        <sz val="10"/>
        <rFont val="Arial"/>
        <family val="2"/>
      </rPr>
      <t>/M)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; 0)</t>
    </r>
  </si>
  <si>
    <t>-</t>
  </si>
  <si>
    <r>
      <t xml:space="preserve">NBR: (1 - </t>
    </r>
    <r>
      <rPr>
        <sz val="10"/>
        <rFont val="Symbol"/>
        <family val="1"/>
        <charset val="2"/>
      </rPr>
      <t>z</t>
    </r>
    <r>
      <rPr>
        <sz val="10"/>
        <rFont val="Arial"/>
        <family val="2"/>
      </rPr>
      <t>)I</t>
    </r>
    <r>
      <rPr>
        <vertAlign val="subscript"/>
        <sz val="10"/>
        <rFont val="Arial"/>
        <family val="2"/>
      </rPr>
      <t>NF</t>
    </r>
    <r>
      <rPr>
        <sz val="10"/>
        <rFont val="Arial"/>
        <family val="2"/>
      </rPr>
      <t xml:space="preserve"> + </t>
    </r>
    <r>
      <rPr>
        <sz val="10"/>
        <rFont val="Symbol"/>
        <family val="1"/>
        <charset val="2"/>
      </rPr>
      <t>z</t>
    </r>
    <r>
      <rPr>
        <sz val="10"/>
        <rFont val="Arial"/>
        <family val="2"/>
      </rPr>
      <t>I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; EC2: I</t>
    </r>
    <r>
      <rPr>
        <vertAlign val="subscript"/>
        <sz val="10"/>
        <rFont val="Arial"/>
        <family val="2"/>
      </rPr>
      <t>NF</t>
    </r>
    <r>
      <rPr>
        <sz val="10"/>
        <rFont val="Arial"/>
        <family val="2"/>
      </rPr>
      <t>I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/(</t>
    </r>
    <r>
      <rPr>
        <sz val="10"/>
        <rFont val="Symbol"/>
        <family val="1"/>
        <charset val="2"/>
      </rPr>
      <t>z</t>
    </r>
    <r>
      <rPr>
        <sz val="10"/>
        <rFont val="Arial"/>
        <family val="2"/>
      </rPr>
      <t>I</t>
    </r>
    <r>
      <rPr>
        <vertAlign val="subscript"/>
        <sz val="10"/>
        <rFont val="Arial"/>
        <family val="2"/>
      </rPr>
      <t>NF</t>
    </r>
    <r>
      <rPr>
        <sz val="10"/>
        <rFont val="Arial"/>
        <family val="2"/>
      </rPr>
      <t xml:space="preserve"> + (1-</t>
    </r>
    <r>
      <rPr>
        <sz val="10"/>
        <rFont val="Symbol"/>
        <family val="1"/>
        <charset val="2"/>
      </rPr>
      <t>z</t>
    </r>
    <r>
      <rPr>
        <sz val="10"/>
        <rFont val="Arial"/>
        <family val="2"/>
      </rPr>
      <t>)I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</si>
  <si>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a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ou </t>
    </r>
    <r>
      <rPr>
        <sz val="10"/>
        <rFont val="Symbol"/>
        <family val="1"/>
        <charset val="2"/>
      </rPr>
      <t>j</t>
    </r>
  </si>
  <si>
    <t>coeficiente que leva em conta a fluência do concreto</t>
  </si>
  <si>
    <r>
      <t>NBR: 2 - 0,68(0,996</t>
    </r>
    <r>
      <rPr>
        <vertAlign val="superscript"/>
        <sz val="10"/>
        <rFont val="Arial"/>
        <family val="2"/>
      </rPr>
      <t>to</t>
    </r>
    <r>
      <rPr>
        <sz val="10"/>
        <rFont val="Arial"/>
        <family val="2"/>
      </rPr>
      <t>)t</t>
    </r>
    <r>
      <rPr>
        <vertAlign val="subscript"/>
        <sz val="10"/>
        <rFont val="Arial"/>
        <family val="2"/>
      </rPr>
      <t>o</t>
    </r>
    <r>
      <rPr>
        <vertAlign val="superscript"/>
        <sz val="10"/>
        <rFont val="Arial"/>
        <family val="2"/>
      </rPr>
      <t>0,32</t>
    </r>
    <r>
      <rPr>
        <sz val="10"/>
        <rFont val="Arial"/>
        <family val="2"/>
      </rPr>
      <t xml:space="preserve"> onde t</t>
    </r>
    <r>
      <rPr>
        <vertAlign val="subscript"/>
        <sz val="10"/>
        <rFont val="Arial"/>
        <family val="2"/>
      </rPr>
      <t>o</t>
    </r>
    <r>
      <rPr>
        <sz val="10"/>
        <rFont val="Arial"/>
        <family val="2"/>
      </rPr>
      <t xml:space="preserve"> = 1 mês; EC2: </t>
    </r>
    <r>
      <rPr>
        <sz val="10"/>
        <rFont val="Symbol"/>
        <family val="1"/>
        <charset val="2"/>
      </rPr>
      <t>j</t>
    </r>
    <r>
      <rPr>
        <sz val="10"/>
        <rFont val="Arial"/>
        <family val="2"/>
      </rPr>
      <t xml:space="preserve"> (coeficiente de fluência)</t>
    </r>
  </si>
  <si>
    <r>
      <t>NBR: E</t>
    </r>
    <r>
      <rPr>
        <vertAlign val="subscript"/>
        <sz val="10"/>
        <rFont val="Arial"/>
        <family val="2"/>
      </rPr>
      <t>cs</t>
    </r>
    <r>
      <rPr>
        <sz val="10"/>
        <rFont val="Arial"/>
        <family val="2"/>
      </rPr>
      <t xml:space="preserve">(1 + </t>
    </r>
    <r>
      <rPr>
        <sz val="10"/>
        <rFont val="Symbol"/>
        <family val="1"/>
        <charset val="2"/>
      </rPr>
      <t>a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); EC2: Ecs/(1 </t>
    </r>
    <r>
      <rPr>
        <vertAlign val="subscript"/>
        <sz val="10"/>
        <rFont val="Arial"/>
        <family val="2"/>
      </rPr>
      <t xml:space="preserve">+ </t>
    </r>
    <r>
      <rPr>
        <sz val="10"/>
        <rFont val="Symbol"/>
        <family val="1"/>
        <charset val="2"/>
      </rPr>
      <t>j</t>
    </r>
    <r>
      <rPr>
        <sz val="10"/>
        <rFont val="Arial"/>
        <family val="2"/>
      </rPr>
      <t>)</t>
    </r>
  </si>
  <si>
    <r>
      <t>E</t>
    </r>
    <r>
      <rPr>
        <vertAlign val="subscript"/>
        <sz val="10"/>
        <rFont val="Arial"/>
        <family val="2"/>
      </rPr>
      <t>cs</t>
    </r>
    <r>
      <rPr>
        <sz val="10"/>
        <rFont val="Arial"/>
        <family val="2"/>
      </rPr>
      <t>I</t>
    </r>
    <r>
      <rPr>
        <vertAlign val="subscript"/>
        <sz val="10"/>
        <rFont val="Arial"/>
        <family val="2"/>
      </rPr>
      <t>c</t>
    </r>
  </si>
  <si>
    <r>
      <t>E</t>
    </r>
    <r>
      <rPr>
        <vertAlign val="subscript"/>
        <sz val="10"/>
        <rFont val="Arial"/>
        <family val="2"/>
      </rPr>
      <t>ce</t>
    </r>
    <r>
      <rPr>
        <sz val="10"/>
        <rFont val="Arial"/>
        <family val="2"/>
      </rPr>
      <t>I</t>
    </r>
    <r>
      <rPr>
        <vertAlign val="subscript"/>
        <sz val="10"/>
        <rFont val="Arial"/>
        <family val="2"/>
      </rPr>
      <t>e</t>
    </r>
  </si>
  <si>
    <r>
      <t>kNcm</t>
    </r>
    <r>
      <rPr>
        <vertAlign val="superscript"/>
        <sz val="10"/>
        <rFont val="Arial"/>
        <family val="2"/>
      </rPr>
      <t>2</t>
    </r>
  </si>
  <si>
    <r>
      <t>(E</t>
    </r>
    <r>
      <rPr>
        <vertAlign val="subscript"/>
        <sz val="10"/>
        <rFont val="Arial"/>
        <family val="2"/>
      </rPr>
      <t>ce</t>
    </r>
    <r>
      <rPr>
        <sz val="10"/>
        <rFont val="Arial"/>
        <family val="2"/>
      </rPr>
      <t>I</t>
    </r>
    <r>
      <rPr>
        <vertAlign val="subscript"/>
        <sz val="10"/>
        <rFont val="Arial"/>
        <family val="2"/>
      </rPr>
      <t>e</t>
    </r>
    <r>
      <rPr>
        <sz val="10"/>
        <rFont val="Arial"/>
        <family val="2"/>
      </rPr>
      <t>/E</t>
    </r>
    <r>
      <rPr>
        <vertAlign val="subscript"/>
        <sz val="10"/>
        <rFont val="Arial"/>
        <family val="2"/>
      </rPr>
      <t>cs</t>
    </r>
    <r>
      <rPr>
        <sz val="10"/>
        <rFont val="Arial"/>
        <family val="2"/>
      </rPr>
      <t>I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)</t>
    </r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elástica</t>
    </r>
  </si>
  <si>
    <t>Norma</t>
  </si>
  <si>
    <r>
      <t>E</t>
    </r>
    <r>
      <rPr>
        <vertAlign val="subscript"/>
        <sz val="10"/>
        <rFont val="Arial"/>
        <family val="2"/>
      </rPr>
      <t>cs</t>
    </r>
    <r>
      <rPr>
        <sz val="10"/>
        <rFont val="Arial"/>
        <family val="2"/>
      </rPr>
      <t>I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kNcm</t>
    </r>
    <r>
      <rPr>
        <vertAlign val="superscript"/>
        <sz val="10"/>
        <rFont val="Arial"/>
        <family val="2"/>
      </rPr>
      <t>2</t>
    </r>
  </si>
  <si>
    <r>
      <t>E</t>
    </r>
    <r>
      <rPr>
        <vertAlign val="subscript"/>
        <sz val="10"/>
        <rFont val="Arial"/>
        <family val="2"/>
      </rPr>
      <t>cs</t>
    </r>
    <r>
      <rPr>
        <sz val="10"/>
        <rFont val="Arial"/>
        <family val="2"/>
      </rPr>
      <t>I</t>
    </r>
    <r>
      <rPr>
        <vertAlign val="subscript"/>
        <sz val="10"/>
        <rFont val="Arial"/>
        <family val="2"/>
      </rPr>
      <t>e</t>
    </r>
    <r>
      <rPr>
        <sz val="10"/>
        <rFont val="Arial"/>
        <family val="2"/>
      </rPr>
      <t>/E</t>
    </r>
    <r>
      <rPr>
        <vertAlign val="subscript"/>
        <sz val="10"/>
        <rFont val="Arial"/>
        <family val="2"/>
      </rPr>
      <t>ce</t>
    </r>
    <r>
      <rPr>
        <sz val="10"/>
        <rFont val="Arial"/>
        <family val="2"/>
      </rPr>
      <t>I</t>
    </r>
    <r>
      <rPr>
        <vertAlign val="subscript"/>
        <sz val="10"/>
        <rFont val="Arial"/>
        <family val="2"/>
      </rPr>
      <t>e</t>
    </r>
  </si>
  <si>
    <t xml:space="preserve">d = </t>
  </si>
  <si>
    <t>norma de referência</t>
  </si>
  <si>
    <t>NBR: MÁXIMO(1,6 - d; 1); EC2: MÍNIMO(1 + RAIZ(0,2/d); 2)      d em metros</t>
  </si>
  <si>
    <r>
      <t>C</t>
    </r>
    <r>
      <rPr>
        <vertAlign val="subscript"/>
        <sz val="10"/>
        <rFont val="Arial"/>
        <family val="2"/>
      </rPr>
      <t>Rd,c</t>
    </r>
  </si>
  <si>
    <r>
      <t xml:space="preserve">NBR: </t>
    </r>
    <r>
      <rPr>
        <sz val="10"/>
        <rFont val="Arial"/>
        <family val="2"/>
      </rPr>
      <t>0,25f</t>
    </r>
    <r>
      <rPr>
        <vertAlign val="subscript"/>
        <sz val="10"/>
        <rFont val="Arial"/>
        <family val="2"/>
      </rPr>
      <t>ctd</t>
    </r>
  </si>
  <si>
    <r>
      <t xml:space="preserve">EC2: </t>
    </r>
    <r>
      <rPr>
        <sz val="10"/>
        <rFont val="Arial"/>
        <family val="2"/>
      </rPr>
      <t>0,18/</t>
    </r>
    <r>
      <rPr>
        <sz val="10"/>
        <rFont val="Symbol"/>
        <family val="1"/>
        <charset val="2"/>
      </rPr>
      <t>g</t>
    </r>
    <r>
      <rPr>
        <vertAlign val="subscript"/>
        <sz val="10"/>
        <rFont val="Arial"/>
        <family val="2"/>
      </rPr>
      <t>c</t>
    </r>
  </si>
  <si>
    <r>
      <t>V</t>
    </r>
    <r>
      <rPr>
        <vertAlign val="subscript"/>
        <sz val="10"/>
        <rFont val="Arial"/>
        <family val="2"/>
      </rPr>
      <t>Rd1</t>
    </r>
    <r>
      <rPr>
        <sz val="10"/>
        <rFont val="Arial"/>
        <family val="2"/>
      </rPr>
      <t xml:space="preserve"> ou V</t>
    </r>
    <r>
      <rPr>
        <vertAlign val="subscript"/>
        <sz val="10"/>
        <rFont val="Arial"/>
        <family val="2"/>
      </rPr>
      <t>Rd,c</t>
    </r>
  </si>
  <si>
    <t>kN/m</t>
  </si>
  <si>
    <r>
      <t>EC2: 0,035k</t>
    </r>
    <r>
      <rPr>
        <vertAlign val="superscript"/>
        <sz val="10"/>
        <rFont val="Arial"/>
        <family val="2"/>
      </rPr>
      <t>3/2</t>
    </r>
    <r>
      <rPr>
        <sz val="10"/>
        <rFont val="Arial"/>
        <family val="2"/>
      </rPr>
      <t>RAIZ(f</t>
    </r>
    <r>
      <rPr>
        <vertAlign val="subscript"/>
        <sz val="10"/>
        <rFont val="Arial"/>
        <family val="2"/>
      </rPr>
      <t>ck</t>
    </r>
    <r>
      <rPr>
        <sz val="10"/>
        <rFont val="Arial"/>
        <family val="2"/>
      </rPr>
      <t>)bd</t>
    </r>
  </si>
  <si>
    <t>força cortante resistida pelo concreto tracionado</t>
  </si>
  <si>
    <r>
      <t>MÍNIMO(A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/(bd); 0,02)</t>
    </r>
  </si>
  <si>
    <r>
      <t>NBR: V</t>
    </r>
    <r>
      <rPr>
        <vertAlign val="subscript"/>
        <sz val="10"/>
        <rFont val="Arial"/>
        <family val="2"/>
      </rPr>
      <t>Rd1</t>
    </r>
    <r>
      <rPr>
        <sz val="10"/>
        <rFont val="Arial"/>
        <family val="2"/>
      </rPr>
      <t xml:space="preserve"> = </t>
    </r>
    <r>
      <rPr>
        <sz val="10"/>
        <rFont val="Symbol"/>
        <family val="1"/>
        <charset val="2"/>
      </rPr>
      <t>t</t>
    </r>
    <r>
      <rPr>
        <vertAlign val="subscript"/>
        <sz val="10"/>
        <rFont val="Arial"/>
        <family val="2"/>
      </rPr>
      <t>Rd</t>
    </r>
    <r>
      <rPr>
        <sz val="10"/>
        <rFont val="Arial"/>
        <family val="2"/>
      </rPr>
      <t>k(1,2 + 40</t>
    </r>
    <r>
      <rPr>
        <sz val="10"/>
        <rFont val="Symbol"/>
        <family val="1"/>
        <charset val="2"/>
      </rPr>
      <t>r</t>
    </r>
    <r>
      <rPr>
        <sz val="10"/>
        <rFont val="Arial"/>
        <family val="2"/>
      </rPr>
      <t>)bd; EC2: V</t>
    </r>
    <r>
      <rPr>
        <vertAlign val="subscript"/>
        <sz val="10"/>
        <rFont val="Arial"/>
        <family val="2"/>
      </rPr>
      <t>Rd,c</t>
    </r>
    <r>
      <rPr>
        <sz val="10"/>
        <rFont val="Arial"/>
        <family val="2"/>
      </rPr>
      <t xml:space="preserve"> = MÁXIMO(C</t>
    </r>
    <r>
      <rPr>
        <vertAlign val="subscript"/>
        <sz val="10"/>
        <rFont val="Arial"/>
        <family val="2"/>
      </rPr>
      <t>Rd,c</t>
    </r>
    <r>
      <rPr>
        <sz val="10"/>
        <rFont val="Arial"/>
        <family val="2"/>
      </rPr>
      <t>k(100</t>
    </r>
    <r>
      <rPr>
        <sz val="10"/>
        <rFont val="Symbol"/>
        <family val="1"/>
        <charset val="2"/>
      </rPr>
      <t>r</t>
    </r>
    <r>
      <rPr>
        <sz val="10"/>
        <rFont val="Arial"/>
        <family val="2"/>
      </rPr>
      <t>f</t>
    </r>
    <r>
      <rPr>
        <vertAlign val="subscript"/>
        <sz val="10"/>
        <rFont val="Arial"/>
        <family val="2"/>
      </rPr>
      <t>ck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1/3</t>
    </r>
    <r>
      <rPr>
        <sz val="10"/>
        <rFont val="Arial"/>
        <family val="2"/>
      </rPr>
      <t>bd; V</t>
    </r>
    <r>
      <rPr>
        <vertAlign val="subscript"/>
        <sz val="10"/>
        <rFont val="Arial"/>
        <family val="2"/>
      </rPr>
      <t>Rdc,mín</t>
    </r>
    <r>
      <rPr>
        <sz val="10"/>
        <rFont val="Arial"/>
        <family val="2"/>
      </rPr>
      <t>)</t>
    </r>
  </si>
  <si>
    <t>0,9d</t>
  </si>
  <si>
    <r>
      <t>D</t>
    </r>
    <r>
      <rPr>
        <b/>
        <vertAlign val="subscript"/>
        <sz val="10"/>
        <rFont val="Arial"/>
        <family val="2"/>
      </rPr>
      <t xml:space="preserve">T  </t>
    </r>
    <r>
      <rPr>
        <b/>
        <sz val="10"/>
        <rFont val="Arial"/>
        <family val="2"/>
      </rPr>
      <t>mm</t>
    </r>
  </si>
  <si>
    <r>
      <t>D</t>
    </r>
    <r>
      <rPr>
        <b/>
        <vertAlign val="subscript"/>
        <sz val="10"/>
        <rFont val="Arial"/>
        <family val="2"/>
      </rPr>
      <t xml:space="preserve">T,lim  </t>
    </r>
    <r>
      <rPr>
        <b/>
        <sz val="10"/>
        <rFont val="Arial"/>
        <family val="2"/>
      </rPr>
      <t>mm</t>
    </r>
  </si>
  <si>
    <r>
      <t>w</t>
    </r>
    <r>
      <rPr>
        <b/>
        <vertAlign val="subscript"/>
        <sz val="10"/>
        <rFont val="Arial"/>
        <family val="2"/>
      </rPr>
      <t>lim</t>
    </r>
    <r>
      <rPr>
        <b/>
        <sz val="10"/>
        <rFont val="Arial"/>
        <family val="2"/>
      </rPr>
      <t xml:space="preserve">  mm</t>
    </r>
  </si>
  <si>
    <r>
      <t>w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>/w</t>
    </r>
    <r>
      <rPr>
        <b/>
        <vertAlign val="subscript"/>
        <sz val="10"/>
        <rFont val="Arial"/>
        <family val="2"/>
      </rPr>
      <t>lim</t>
    </r>
  </si>
  <si>
    <r>
      <t>V</t>
    </r>
    <r>
      <rPr>
        <b/>
        <vertAlign val="subscript"/>
        <sz val="10"/>
        <rFont val="Arial"/>
        <family val="2"/>
      </rPr>
      <t>Rd1</t>
    </r>
    <r>
      <rPr>
        <b/>
        <sz val="10"/>
        <rFont val="Arial"/>
        <family val="2"/>
      </rPr>
      <t xml:space="preserve"> kN/m</t>
    </r>
  </si>
  <si>
    <r>
      <t>V</t>
    </r>
    <r>
      <rPr>
        <b/>
        <vertAlign val="subscript"/>
        <sz val="10"/>
        <rFont val="Arial"/>
        <family val="2"/>
      </rPr>
      <t>Sd</t>
    </r>
    <r>
      <rPr>
        <b/>
        <sz val="10"/>
        <rFont val="Arial"/>
        <family val="2"/>
      </rPr>
      <t>/V</t>
    </r>
    <r>
      <rPr>
        <b/>
        <vertAlign val="subscript"/>
        <sz val="10"/>
        <rFont val="Arial"/>
        <family val="2"/>
      </rPr>
      <t>Rd1</t>
    </r>
  </si>
  <si>
    <r>
      <t>f</t>
    </r>
    <r>
      <rPr>
        <b/>
        <vertAlign val="subscript"/>
        <sz val="10"/>
        <rFont val="Arial"/>
        <family val="2"/>
      </rPr>
      <t xml:space="preserve">   </t>
    </r>
    <r>
      <rPr>
        <b/>
        <sz val="10"/>
        <rFont val="Arial"/>
        <family val="2"/>
      </rPr>
      <t>mm</t>
    </r>
  </si>
  <si>
    <r>
      <t xml:space="preserve">n ou </t>
    </r>
    <r>
      <rPr>
        <sz val="10"/>
        <rFont val="Symbol"/>
        <family val="1"/>
        <charset val="2"/>
      </rPr>
      <t>a</t>
    </r>
    <r>
      <rPr>
        <vertAlign val="subscript"/>
        <sz val="10"/>
        <rFont val="Arial"/>
        <family val="2"/>
      </rPr>
      <t>e</t>
    </r>
  </si>
  <si>
    <r>
      <t>E</t>
    </r>
    <r>
      <rPr>
        <vertAlign val="subscript"/>
        <sz val="10"/>
        <rFont val="Arial"/>
        <family val="2"/>
      </rPr>
      <t>cs</t>
    </r>
    <r>
      <rPr>
        <sz val="10"/>
        <rFont val="Arial"/>
        <family val="2"/>
      </rPr>
      <t xml:space="preserve"> ou E</t>
    </r>
    <r>
      <rPr>
        <vertAlign val="subscript"/>
        <sz val="10"/>
        <rFont val="Arial"/>
        <family val="2"/>
      </rPr>
      <t>cm</t>
    </r>
  </si>
  <si>
    <r>
      <t>V</t>
    </r>
    <r>
      <rPr>
        <vertAlign val="subscript"/>
        <sz val="10"/>
        <rFont val="Arial"/>
        <family val="2"/>
      </rPr>
      <t>Rdc,mín</t>
    </r>
  </si>
  <si>
    <r>
      <t>V</t>
    </r>
    <r>
      <rPr>
        <vertAlign val="subscript"/>
        <sz val="10"/>
        <rFont val="Arial"/>
        <family val="2"/>
      </rPr>
      <t>Rd2</t>
    </r>
    <r>
      <rPr>
        <sz val="10"/>
        <rFont val="Arial"/>
        <family val="2"/>
      </rPr>
      <t xml:space="preserve"> ou V</t>
    </r>
    <r>
      <rPr>
        <vertAlign val="subscript"/>
        <sz val="10"/>
        <rFont val="Arial"/>
        <family val="2"/>
      </rPr>
      <t>Rd,máx</t>
    </r>
  </si>
  <si>
    <r>
      <t>nM</t>
    </r>
    <r>
      <rPr>
        <sz val="10"/>
        <rFont val="Arial"/>
        <family val="2"/>
      </rPr>
      <t>(d - x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)/I</t>
    </r>
    <r>
      <rPr>
        <vertAlign val="subscript"/>
        <sz val="10"/>
        <rFont val="Arial"/>
        <family val="2"/>
      </rPr>
      <t>2</t>
    </r>
  </si>
  <si>
    <t>c</t>
  </si>
  <si>
    <t>cobrimento da armadura longitudinal tracionada</t>
  </si>
  <si>
    <r>
      <t>r</t>
    </r>
    <r>
      <rPr>
        <vertAlign val="subscript"/>
        <sz val="10"/>
        <rFont val="Arial"/>
        <family val="2"/>
      </rPr>
      <t>cr</t>
    </r>
  </si>
  <si>
    <r>
      <t>NBR: MÍNIMO(h - d + 7,5</t>
    </r>
    <r>
      <rPr>
        <sz val="10"/>
        <rFont val="Symbol"/>
        <family val="1"/>
        <charset val="2"/>
      </rPr>
      <t>f</t>
    </r>
    <r>
      <rPr>
        <sz val="10"/>
        <rFont val="Arial"/>
        <family val="2"/>
      </rPr>
      <t>; h/2); EC2: MÍNIMO(2,5(h - d); (h - x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)/3; h/2)</t>
    </r>
  </si>
  <si>
    <r>
      <t>SE(f</t>
    </r>
    <r>
      <rPr>
        <vertAlign val="subscript"/>
        <sz val="10"/>
        <rFont val="Arial"/>
        <family val="2"/>
      </rPr>
      <t>yk</t>
    </r>
    <r>
      <rPr>
        <sz val="10"/>
        <rFont val="Arial"/>
        <family val="2"/>
      </rPr>
      <t xml:space="preserve"> = 250; 1; SE(f</t>
    </r>
    <r>
      <rPr>
        <vertAlign val="subscript"/>
        <sz val="10"/>
        <rFont val="Arial"/>
        <family val="2"/>
      </rPr>
      <t>yk</t>
    </r>
    <r>
      <rPr>
        <sz val="10"/>
        <rFont val="Arial"/>
        <family val="2"/>
      </rPr>
      <t xml:space="preserve"> = 600; 1,4; 2,25))</t>
    </r>
  </si>
  <si>
    <r>
      <t>k</t>
    </r>
    <r>
      <rPr>
        <vertAlign val="subscript"/>
        <sz val="10"/>
        <rFont val="Arial"/>
        <family val="2"/>
      </rPr>
      <t>t</t>
    </r>
  </si>
  <si>
    <t>coeficiente função da duração do carregamento</t>
  </si>
  <si>
    <r>
      <t>EC2: k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= 0,4 para ações de longa duração e 0,6 para ações de curta duração</t>
    </r>
  </si>
  <si>
    <r>
      <t>e</t>
    </r>
    <r>
      <rPr>
        <vertAlign val="subscript"/>
        <sz val="10"/>
        <rFont val="Arial"/>
        <family val="2"/>
      </rPr>
      <t>sm</t>
    </r>
    <r>
      <rPr>
        <sz val="10"/>
        <rFont val="Arial"/>
        <family val="2"/>
      </rPr>
      <t xml:space="preserve"> - </t>
    </r>
    <r>
      <rPr>
        <sz val="10"/>
        <rFont val="Symbol"/>
        <family val="1"/>
        <charset val="2"/>
      </rPr>
      <t>e</t>
    </r>
    <r>
      <rPr>
        <vertAlign val="subscript"/>
        <sz val="10"/>
        <rFont val="Arial"/>
        <family val="2"/>
      </rPr>
      <t>cm</t>
    </r>
  </si>
  <si>
    <r>
      <t>e</t>
    </r>
    <r>
      <rPr>
        <vertAlign val="subscript"/>
        <sz val="10"/>
        <rFont val="Arial"/>
        <family val="2"/>
      </rPr>
      <t>sm</t>
    </r>
    <r>
      <rPr>
        <sz val="10"/>
        <rFont val="Arial"/>
        <family val="2"/>
      </rPr>
      <t xml:space="preserve"> é a deformação média da armadura e </t>
    </r>
    <r>
      <rPr>
        <sz val="10"/>
        <rFont val="Symbol"/>
        <family val="1"/>
        <charset val="2"/>
      </rPr>
      <t>e</t>
    </r>
    <r>
      <rPr>
        <vertAlign val="subscript"/>
        <sz val="10"/>
        <rFont val="Arial"/>
        <family val="2"/>
      </rPr>
      <t>cm</t>
    </r>
    <r>
      <rPr>
        <sz val="10"/>
        <rFont val="Arial"/>
        <family val="2"/>
      </rPr>
      <t xml:space="preserve"> é a deformação média do concreto entre fissuras</t>
    </r>
  </si>
  <si>
    <r>
      <t>EC2: MÁXIMO((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 xml:space="preserve"> - (k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>f</t>
    </r>
    <r>
      <rPr>
        <vertAlign val="subscript"/>
        <sz val="10"/>
        <rFont val="Arial"/>
        <family val="2"/>
      </rPr>
      <t>ct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r</t>
    </r>
    <r>
      <rPr>
        <vertAlign val="subscript"/>
        <sz val="10"/>
        <rFont val="Arial"/>
        <family val="2"/>
      </rPr>
      <t>cr</t>
    </r>
    <r>
      <rPr>
        <sz val="10"/>
        <rFont val="Arial"/>
        <family val="2"/>
      </rPr>
      <t xml:space="preserve">)(1 + </t>
    </r>
    <r>
      <rPr>
        <sz val="10"/>
        <rFont val="Symbol"/>
        <family val="1"/>
        <charset val="2"/>
      </rPr>
      <t>a</t>
    </r>
    <r>
      <rPr>
        <vertAlign val="subscript"/>
        <sz val="10"/>
        <rFont val="Arial"/>
        <family val="2"/>
      </rPr>
      <t>e</t>
    </r>
    <r>
      <rPr>
        <sz val="10"/>
        <rFont val="Symbol"/>
        <family val="1"/>
        <charset val="2"/>
      </rPr>
      <t>r</t>
    </r>
    <r>
      <rPr>
        <vertAlign val="subscript"/>
        <sz val="10"/>
        <rFont val="Arial"/>
        <family val="2"/>
      </rPr>
      <t>cr</t>
    </r>
    <r>
      <rPr>
        <sz val="10"/>
        <rFont val="Arial"/>
        <family val="2"/>
      </rPr>
      <t>))/E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; 0,6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/E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))</t>
    </r>
  </si>
  <si>
    <t>espaçamento máximo entre fissuras</t>
  </si>
  <si>
    <r>
      <t>EC2: 3,4c + 0,425k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k</t>
    </r>
    <r>
      <rPr>
        <vertAlign val="subscript"/>
        <sz val="10"/>
        <rFont val="Arial"/>
        <family val="2"/>
      </rPr>
      <t>2</t>
    </r>
    <r>
      <rPr>
        <sz val="10"/>
        <rFont val="Symbol"/>
        <family val="1"/>
        <charset val="2"/>
      </rPr>
      <t>f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r</t>
    </r>
    <r>
      <rPr>
        <vertAlign val="subscript"/>
        <sz val="10"/>
        <rFont val="Arial"/>
        <family val="2"/>
      </rPr>
      <t>cr</t>
    </r>
  </si>
  <si>
    <r>
      <t>k</t>
    </r>
    <r>
      <rPr>
        <vertAlign val="subscript"/>
        <sz val="10"/>
        <rFont val="Arial"/>
        <family val="2"/>
      </rPr>
      <t>1</t>
    </r>
  </si>
  <si>
    <r>
      <t>k</t>
    </r>
    <r>
      <rPr>
        <vertAlign val="subscript"/>
        <sz val="10"/>
        <rFont val="Arial"/>
        <family val="2"/>
      </rPr>
      <t>2</t>
    </r>
  </si>
  <si>
    <t>EC2: 0,8 para barra de alta aderência e 1,6 para barra lisa</t>
  </si>
  <si>
    <t>EC2: 0,5 para flexão e 1 para tração simples</t>
  </si>
  <si>
    <r>
      <t>5(c+</t>
    </r>
    <r>
      <rPr>
        <sz val="10"/>
        <rFont val="Symbol"/>
        <family val="1"/>
        <charset val="2"/>
      </rPr>
      <t>f</t>
    </r>
    <r>
      <rPr>
        <sz val="10"/>
        <rFont val="Arial"/>
        <family val="2"/>
      </rPr>
      <t>/2)</t>
    </r>
  </si>
  <si>
    <r>
      <t xml:space="preserve">EC2: 5(c + </t>
    </r>
    <r>
      <rPr>
        <sz val="10"/>
        <rFont val="Symbol"/>
        <family val="1"/>
        <charset val="2"/>
      </rPr>
      <t>f</t>
    </r>
    <r>
      <rPr>
        <sz val="10"/>
        <rFont val="Arial"/>
        <family val="2"/>
      </rPr>
      <t>/2)</t>
    </r>
  </si>
  <si>
    <r>
      <t>s</t>
    </r>
    <r>
      <rPr>
        <vertAlign val="subscript"/>
        <sz val="10"/>
        <rFont val="Arial"/>
        <family val="2"/>
      </rPr>
      <t>r,máx</t>
    </r>
  </si>
  <si>
    <r>
      <t>s</t>
    </r>
    <r>
      <rPr>
        <vertAlign val="subscript"/>
        <sz val="10"/>
        <rFont val="Arial"/>
        <family val="2"/>
      </rPr>
      <t>r</t>
    </r>
  </si>
  <si>
    <r>
      <t>EC2: SE(s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&lt;= 5(c + </t>
    </r>
    <r>
      <rPr>
        <sz val="10"/>
        <rFont val="Symbol"/>
        <family val="1"/>
        <charset val="2"/>
      </rPr>
      <t>f</t>
    </r>
    <r>
      <rPr>
        <sz val="10"/>
        <rFont val="Arial"/>
        <family val="2"/>
      </rPr>
      <t>/2); s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>; 1,3(h - x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))</t>
    </r>
  </si>
  <si>
    <r>
      <t>NBR: SE(seção="fissurada"; MÍNIMO(w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; w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); 0); EC2: SE(seção="fissurada"; (</t>
    </r>
    <r>
      <rPr>
        <sz val="10"/>
        <rFont val="Symbol"/>
        <family val="1"/>
        <charset val="2"/>
      </rPr>
      <t>e</t>
    </r>
    <r>
      <rPr>
        <vertAlign val="subscript"/>
        <sz val="10"/>
        <rFont val="Arial"/>
        <family val="2"/>
      </rPr>
      <t>sm</t>
    </r>
    <r>
      <rPr>
        <sz val="10"/>
        <rFont val="Arial"/>
        <family val="2"/>
      </rPr>
      <t xml:space="preserve"> - </t>
    </r>
    <r>
      <rPr>
        <sz val="10"/>
        <rFont val="Symbol"/>
        <family val="1"/>
        <charset val="2"/>
      </rPr>
      <t>e</t>
    </r>
    <r>
      <rPr>
        <vertAlign val="subscript"/>
        <sz val="10"/>
        <rFont val="Arial"/>
        <family val="2"/>
      </rPr>
      <t>cm</t>
    </r>
    <r>
      <rPr>
        <sz val="10"/>
        <rFont val="Arial"/>
        <family val="2"/>
      </rPr>
      <t>)s</t>
    </r>
    <r>
      <rPr>
        <vertAlign val="subscript"/>
        <sz val="10"/>
        <rFont val="Arial"/>
        <family val="2"/>
      </rPr>
      <t>r,máx</t>
    </r>
    <r>
      <rPr>
        <sz val="10"/>
        <rFont val="Arial"/>
        <family val="2"/>
      </rPr>
      <t>; 0)</t>
    </r>
  </si>
  <si>
    <t>TESTE</t>
  </si>
  <si>
    <r>
      <t>fs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3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/(12,5</t>
    </r>
    <r>
      <rPr>
        <sz val="10"/>
        <rFont val="Symbol"/>
        <family val="1"/>
        <charset val="2"/>
      </rPr>
      <t>h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E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f</t>
    </r>
    <r>
      <rPr>
        <vertAlign val="subscript"/>
        <sz val="10"/>
        <rFont val="Arial"/>
        <family val="2"/>
      </rPr>
      <t>ctm</t>
    </r>
    <r>
      <rPr>
        <sz val="10"/>
        <rFont val="Arial"/>
        <family val="2"/>
      </rPr>
      <t>)</t>
    </r>
  </si>
  <si>
    <r>
      <t>fs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(4/</t>
    </r>
    <r>
      <rPr>
        <sz val="10"/>
        <rFont val="Symbol"/>
        <family val="1"/>
        <charset val="2"/>
      </rPr>
      <t>r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>+45)/(12,5</t>
    </r>
    <r>
      <rPr>
        <sz val="10"/>
        <rFont val="Symbol"/>
        <family val="1"/>
        <charset val="2"/>
      </rPr>
      <t>h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E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)</t>
    </r>
  </si>
  <si>
    <r>
      <t>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/(b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d)</t>
    </r>
  </si>
  <si>
    <r>
      <t>A'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/(b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d)</t>
    </r>
  </si>
  <si>
    <t>vão do elemento</t>
  </si>
  <si>
    <r>
      <t>I</t>
    </r>
    <r>
      <rPr>
        <vertAlign val="subscript"/>
        <sz val="10"/>
        <rFont val="Arial"/>
        <family val="2"/>
      </rPr>
      <t>NF</t>
    </r>
    <r>
      <rPr>
        <sz val="10"/>
        <rFont val="Arial"/>
        <family val="2"/>
      </rPr>
      <t xml:space="preserve"> = I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ou I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?</t>
    </r>
  </si>
  <si>
    <t>inércia da seção fissurada igual a inércia da seção de concreto ou inércia no estádio 1</t>
  </si>
  <si>
    <r>
      <t xml:space="preserve">EC2: </t>
    </r>
    <r>
      <rPr>
        <sz val="10"/>
        <rFont val="Symbol"/>
        <family val="1"/>
        <charset val="2"/>
      </rPr>
      <t>b</t>
    </r>
    <r>
      <rPr>
        <sz val="10"/>
        <rFont val="Arial"/>
        <family val="2"/>
      </rPr>
      <t xml:space="preserve"> = 0,5 para ações de longa duração e 1,0 para ações de curta duração</t>
    </r>
  </si>
  <si>
    <t>coeficiente que leva em conta a contribuição do concreto tracionado entre fissuras</t>
  </si>
  <si>
    <r>
      <t>produto E</t>
    </r>
    <r>
      <rPr>
        <vertAlign val="subscript"/>
        <sz val="10"/>
        <rFont val="Arial"/>
        <family val="2"/>
      </rPr>
      <t>cs</t>
    </r>
    <r>
      <rPr>
        <sz val="10"/>
        <rFont val="Arial"/>
        <family val="2"/>
      </rPr>
      <t>I</t>
    </r>
    <r>
      <rPr>
        <vertAlign val="subscript"/>
        <sz val="10"/>
        <rFont val="Arial"/>
        <family val="2"/>
      </rPr>
      <t>c</t>
    </r>
  </si>
  <si>
    <r>
      <t>produto E</t>
    </r>
    <r>
      <rPr>
        <vertAlign val="subscript"/>
        <sz val="10"/>
        <rFont val="Arial"/>
        <family val="2"/>
      </rPr>
      <t>ce</t>
    </r>
    <r>
      <rPr>
        <sz val="10"/>
        <rFont val="Arial"/>
        <family val="2"/>
      </rPr>
      <t>I</t>
    </r>
    <r>
      <rPr>
        <vertAlign val="subscript"/>
        <sz val="10"/>
        <rFont val="Arial"/>
        <family val="2"/>
      </rPr>
      <t>e</t>
    </r>
  </si>
  <si>
    <r>
      <t>NBR: 0,5bz</t>
    </r>
    <r>
      <rPr>
        <sz val="10"/>
        <rFont val="Symbol"/>
        <family val="1"/>
        <charset val="2"/>
      </rPr>
      <t>n</t>
    </r>
    <r>
      <rPr>
        <sz val="10"/>
        <rFont val="Arial"/>
        <family val="2"/>
      </rPr>
      <t>f</t>
    </r>
    <r>
      <rPr>
        <vertAlign val="subscript"/>
        <sz val="10"/>
        <rFont val="Arial"/>
        <family val="2"/>
      </rPr>
      <t>cd</t>
    </r>
    <r>
      <rPr>
        <sz val="10"/>
        <rFont val="Arial"/>
        <family val="2"/>
      </rPr>
      <t>sen2</t>
    </r>
    <r>
      <rPr>
        <sz val="10"/>
        <rFont val="Symbol"/>
        <family val="1"/>
        <charset val="2"/>
      </rPr>
      <t>q</t>
    </r>
    <r>
      <rPr>
        <sz val="10"/>
        <rFont val="Arial"/>
        <family val="2"/>
      </rPr>
      <t>; EC2: 0,5bd</t>
    </r>
    <r>
      <rPr>
        <sz val="10"/>
        <rFont val="Symbol"/>
        <family val="1"/>
        <charset val="2"/>
      </rPr>
      <t>n</t>
    </r>
    <r>
      <rPr>
        <sz val="10"/>
        <rFont val="Arial"/>
        <family val="2"/>
      </rPr>
      <t>f</t>
    </r>
    <r>
      <rPr>
        <vertAlign val="subscript"/>
        <sz val="10"/>
        <rFont val="Arial"/>
        <family val="2"/>
      </rPr>
      <t>cd</t>
    </r>
  </si>
  <si>
    <t>(a/d)est</t>
  </si>
  <si>
    <t>(a/d)real</t>
  </si>
  <si>
    <t>VERIFICAÇÃO DO ESTADO LIMITE DE SERVIÇO DE ABERTURA DE FISSURA - (ELSW) - SEÇÃO T COM MESA TRACIONADA</t>
  </si>
  <si>
    <r>
      <t>I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/x</t>
    </r>
    <r>
      <rPr>
        <vertAlign val="subscript"/>
        <sz val="10"/>
        <rFont val="Arial"/>
        <family val="2"/>
      </rPr>
      <t>c</t>
    </r>
  </si>
  <si>
    <t>ELU-M - Momento</t>
  </si>
  <si>
    <t>ELU-V - Cortante</t>
  </si>
  <si>
    <t>ELS-W - Fissura</t>
  </si>
  <si>
    <t>ELS-DEF - Flecha</t>
  </si>
  <si>
    <t>ELU-M - Momento Fletor</t>
  </si>
  <si>
    <t>ELU-V - Força Cortante</t>
  </si>
  <si>
    <t>ELS-W - Abertura de Fissura</t>
  </si>
  <si>
    <t>ELU-M/V</t>
  </si>
  <si>
    <t>ELS-W</t>
  </si>
  <si>
    <t>ELS-DEF</t>
  </si>
  <si>
    <r>
      <t>b</t>
    </r>
    <r>
      <rPr>
        <b/>
        <vertAlign val="subscript"/>
        <sz val="10"/>
        <rFont val="Arial"/>
        <family val="2"/>
      </rPr>
      <t>n</t>
    </r>
    <r>
      <rPr>
        <b/>
        <sz val="10"/>
        <rFont val="Arial"/>
        <family val="2"/>
      </rPr>
      <t xml:space="preserve"> = </t>
    </r>
  </si>
  <si>
    <t>Laje</t>
  </si>
  <si>
    <t>Resumo - Verificações</t>
  </si>
  <si>
    <t>Direção</t>
  </si>
  <si>
    <r>
      <t>l</t>
    </r>
    <r>
      <rPr>
        <sz val="10"/>
        <rFont val="Arial"/>
        <family val="2"/>
      </rPr>
      <t>x  cm</t>
    </r>
  </si>
  <si>
    <t>direção</t>
  </si>
  <si>
    <r>
      <t>r</t>
    </r>
    <r>
      <rPr>
        <vertAlign val="subscript"/>
        <sz val="10"/>
        <rFont val="Arial"/>
        <family val="2"/>
      </rPr>
      <t>s,mín</t>
    </r>
  </si>
  <si>
    <t>taxa mínima de aço da armadura longitudinal de tração</t>
  </si>
  <si>
    <r>
      <t>r</t>
    </r>
    <r>
      <rPr>
        <vertAlign val="subscript"/>
        <sz val="10"/>
        <rFont val="Arial"/>
        <family val="2"/>
      </rPr>
      <t>mín</t>
    </r>
  </si>
  <si>
    <r>
      <t>D</t>
    </r>
    <r>
      <rPr>
        <vertAlign val="subscript"/>
        <sz val="10"/>
        <color indexed="12"/>
        <rFont val="Arial"/>
        <family val="2"/>
      </rPr>
      <t>lim</t>
    </r>
    <r>
      <rPr>
        <sz val="10"/>
        <color indexed="12"/>
        <rFont val="Arial"/>
        <family val="2"/>
      </rPr>
      <t xml:space="preserve"> =</t>
    </r>
  </si>
  <si>
    <t>aço R$/kg</t>
  </si>
  <si>
    <r>
      <t>concr.R$/m</t>
    </r>
    <r>
      <rPr>
        <vertAlign val="superscript"/>
        <sz val="10"/>
        <rFont val="Arial"/>
        <family val="2"/>
      </rPr>
      <t>3</t>
    </r>
  </si>
  <si>
    <t>e = engaste</t>
  </si>
  <si>
    <t>a = apoio simples</t>
  </si>
  <si>
    <r>
      <t>NBR: E</t>
    </r>
    <r>
      <rPr>
        <vertAlign val="subscript"/>
        <sz val="10"/>
        <rFont val="Arial"/>
        <family val="2"/>
      </rPr>
      <t>cs</t>
    </r>
    <r>
      <rPr>
        <sz val="10"/>
        <rFont val="Arial"/>
        <family val="2"/>
      </rPr>
      <t xml:space="preserve">(1 + </t>
    </r>
    <r>
      <rPr>
        <sz val="10"/>
        <rFont val="Symbol"/>
        <family val="1"/>
        <charset val="2"/>
      </rPr>
      <t>a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); EC2: E</t>
    </r>
    <r>
      <rPr>
        <vertAlign val="subscript"/>
        <sz val="10"/>
        <rFont val="Arial"/>
        <family val="2"/>
      </rPr>
      <t>cs</t>
    </r>
    <r>
      <rPr>
        <sz val="10"/>
        <rFont val="Arial"/>
        <family val="2"/>
      </rPr>
      <t xml:space="preserve">/(1 </t>
    </r>
    <r>
      <rPr>
        <vertAlign val="subscript"/>
        <sz val="10"/>
        <rFont val="Arial"/>
        <family val="2"/>
      </rPr>
      <t xml:space="preserve">+ </t>
    </r>
    <r>
      <rPr>
        <sz val="10"/>
        <rFont val="Symbol"/>
        <family val="1"/>
        <charset val="2"/>
      </rPr>
      <t>j</t>
    </r>
    <r>
      <rPr>
        <sz val="10"/>
        <rFont val="Arial"/>
        <family val="2"/>
      </rPr>
      <t>)</t>
    </r>
  </si>
  <si>
    <r>
      <t>kg/m</t>
    </r>
    <r>
      <rPr>
        <vertAlign val="superscript"/>
        <sz val="10"/>
        <rFont val="Arial"/>
        <family val="2"/>
      </rPr>
      <t>2</t>
    </r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</si>
  <si>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/m</t>
    </r>
    <r>
      <rPr>
        <vertAlign val="superscript"/>
        <sz val="10"/>
        <rFont val="Arial"/>
        <family val="2"/>
      </rPr>
      <t>2</t>
    </r>
  </si>
  <si>
    <t>Custo R$</t>
  </si>
  <si>
    <t>momento fletor resistente limite referente às abas da seção T</t>
  </si>
  <si>
    <t>área de aço da armadura longitudinal de tração referente às abas da seção T</t>
  </si>
  <si>
    <t>MOMENTO FLETOR RESISTENTE LIMITE E ÁREA LIMITE DE ARMADURA LONGITUDINAL</t>
  </si>
  <si>
    <r>
      <t>A</t>
    </r>
    <r>
      <rPr>
        <vertAlign val="subscript"/>
        <sz val="10"/>
        <rFont val="Arial"/>
        <family val="2"/>
      </rPr>
      <t>s,cal</t>
    </r>
  </si>
  <si>
    <t>área de aço calculada da armadura longitudinal de tração</t>
  </si>
  <si>
    <r>
      <t>SE(armadura = "simples"; b</t>
    </r>
    <r>
      <rPr>
        <vertAlign val="subscript"/>
        <sz val="10"/>
        <rFont val="Arial"/>
        <family val="2"/>
      </rPr>
      <t>f</t>
    </r>
    <r>
      <rPr>
        <sz val="10"/>
        <rFont val="Symbol"/>
        <family val="1"/>
        <charset val="2"/>
      </rPr>
      <t>l</t>
    </r>
    <r>
      <rPr>
        <sz val="10"/>
        <rFont val="Arial"/>
        <family val="2"/>
      </rPr>
      <t>x</t>
    </r>
    <r>
      <rPr>
        <sz val="10"/>
        <rFont val="Symbol"/>
        <family val="1"/>
        <charset val="2"/>
      </rPr>
      <t>h</t>
    </r>
    <r>
      <rPr>
        <sz val="10"/>
        <rFont val="Arial"/>
        <family val="2"/>
      </rPr>
      <t>f</t>
    </r>
    <r>
      <rPr>
        <vertAlign val="subscript"/>
        <sz val="10"/>
        <rFont val="Arial"/>
        <family val="2"/>
      </rPr>
      <t>cd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yd</t>
    </r>
    <r>
      <rPr>
        <sz val="10"/>
        <rFont val="Arial"/>
        <family val="2"/>
      </rPr>
      <t>; A</t>
    </r>
    <r>
      <rPr>
        <vertAlign val="subscript"/>
        <sz val="10"/>
        <rFont val="Arial"/>
        <family val="2"/>
      </rPr>
      <t xml:space="preserve">s,lim </t>
    </r>
    <r>
      <rPr>
        <sz val="10"/>
        <rFont val="Arial"/>
        <family val="2"/>
      </rPr>
      <t>+ 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</t>
    </r>
    <r>
      <rPr>
        <vertAlign val="subscript"/>
        <sz val="10"/>
        <rFont val="Arial"/>
        <family val="2"/>
      </rPr>
      <t>d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yd</t>
    </r>
    <r>
      <rPr>
        <sz val="10"/>
        <rFont val="Arial"/>
        <family val="2"/>
      </rPr>
      <t>)</t>
    </r>
  </si>
  <si>
    <r>
      <t>SE(armadura = "simples"; A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+ b</t>
    </r>
    <r>
      <rPr>
        <vertAlign val="subscript"/>
        <sz val="10"/>
        <rFont val="Arial"/>
        <family val="2"/>
      </rPr>
      <t>w</t>
    </r>
    <r>
      <rPr>
        <sz val="10"/>
        <rFont val="Symbol"/>
        <family val="1"/>
        <charset val="2"/>
      </rPr>
      <t>l</t>
    </r>
    <r>
      <rPr>
        <sz val="10"/>
        <rFont val="Arial"/>
        <family val="2"/>
      </rPr>
      <t>x</t>
    </r>
    <r>
      <rPr>
        <sz val="10"/>
        <rFont val="Symbol"/>
        <family val="1"/>
        <charset val="2"/>
      </rPr>
      <t>h</t>
    </r>
    <r>
      <rPr>
        <sz val="10"/>
        <rFont val="Arial"/>
        <family val="2"/>
      </rPr>
      <t>f</t>
    </r>
    <r>
      <rPr>
        <vertAlign val="subscript"/>
        <sz val="10"/>
        <rFont val="Arial"/>
        <family val="2"/>
      </rPr>
      <t>cd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yd</t>
    </r>
    <r>
      <rPr>
        <sz val="10"/>
        <rFont val="Arial"/>
        <family val="2"/>
      </rPr>
      <t>; A</t>
    </r>
    <r>
      <rPr>
        <vertAlign val="subscript"/>
        <sz val="10"/>
        <rFont val="Arial"/>
        <family val="2"/>
      </rPr>
      <t xml:space="preserve">s,lim </t>
    </r>
    <r>
      <rPr>
        <sz val="10"/>
        <rFont val="Arial"/>
        <family val="2"/>
      </rPr>
      <t>+ 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</t>
    </r>
    <r>
      <rPr>
        <vertAlign val="subscript"/>
        <sz val="10"/>
        <rFont val="Arial"/>
        <family val="2"/>
      </rPr>
      <t>d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yd</t>
    </r>
    <r>
      <rPr>
        <sz val="10"/>
        <rFont val="Arial"/>
        <family val="2"/>
      </rPr>
      <t>)</t>
    </r>
  </si>
  <si>
    <r>
      <t>SE(caso = "T1"; MÁXIMO(A</t>
    </r>
    <r>
      <rPr>
        <vertAlign val="subscript"/>
        <sz val="10"/>
        <rFont val="Arial"/>
        <family val="2"/>
      </rPr>
      <t>sT1,cal</t>
    </r>
    <r>
      <rPr>
        <sz val="10"/>
        <rFont val="Arial"/>
        <family val="2"/>
      </rPr>
      <t>; A</t>
    </r>
    <r>
      <rPr>
        <vertAlign val="subscript"/>
        <sz val="10"/>
        <rFont val="Arial"/>
        <family val="2"/>
      </rPr>
      <t>sT1,mín</t>
    </r>
    <r>
      <rPr>
        <sz val="10"/>
        <rFont val="Arial"/>
        <family val="2"/>
      </rPr>
      <t>); MÁXIMO(A</t>
    </r>
    <r>
      <rPr>
        <vertAlign val="subscript"/>
        <sz val="10"/>
        <rFont val="Arial"/>
        <family val="2"/>
      </rPr>
      <t>sT2,cal</t>
    </r>
    <r>
      <rPr>
        <sz val="10"/>
        <rFont val="Arial"/>
        <family val="2"/>
      </rPr>
      <t>; A</t>
    </r>
    <r>
      <rPr>
        <vertAlign val="subscript"/>
        <sz val="10"/>
        <rFont val="Arial"/>
        <family val="2"/>
      </rPr>
      <t>sT2,mín</t>
    </r>
    <r>
      <rPr>
        <sz val="10"/>
        <rFont val="Arial"/>
        <family val="2"/>
      </rPr>
      <t>)</t>
    </r>
  </si>
  <si>
    <r>
      <t xml:space="preserve">SE(caso = "T1"; </t>
    </r>
    <r>
      <rPr>
        <sz val="10"/>
        <rFont val="Arial"/>
        <family val="2"/>
      </rPr>
      <t>A</t>
    </r>
    <r>
      <rPr>
        <vertAlign val="subscript"/>
        <sz val="10"/>
        <rFont val="Arial"/>
        <family val="2"/>
      </rPr>
      <t>sT1,mín</t>
    </r>
    <r>
      <rPr>
        <sz val="10"/>
        <rFont val="Arial"/>
        <family val="2"/>
      </rPr>
      <t xml:space="preserve">; </t>
    </r>
    <r>
      <rPr>
        <sz val="10"/>
        <rFont val="Arial"/>
        <family val="2"/>
      </rPr>
      <t>A</t>
    </r>
    <r>
      <rPr>
        <vertAlign val="subscript"/>
        <sz val="10"/>
        <rFont val="Arial"/>
        <family val="2"/>
      </rPr>
      <t>sT2,mín</t>
    </r>
    <r>
      <rPr>
        <sz val="10"/>
        <rFont val="Arial"/>
        <family val="2"/>
      </rPr>
      <t>)</t>
    </r>
  </si>
  <si>
    <r>
      <t>SE(armadura = "simples"; b</t>
    </r>
    <r>
      <rPr>
        <vertAlign val="subscript"/>
        <sz val="10"/>
        <rFont val="Arial"/>
        <family val="2"/>
      </rPr>
      <t>w</t>
    </r>
    <r>
      <rPr>
        <sz val="10"/>
        <rFont val="Symbol"/>
        <family val="1"/>
        <charset val="2"/>
      </rPr>
      <t>l</t>
    </r>
    <r>
      <rPr>
        <sz val="10"/>
        <rFont val="Arial"/>
        <family val="2"/>
      </rPr>
      <t>x</t>
    </r>
    <r>
      <rPr>
        <sz val="10"/>
        <rFont val="Symbol"/>
        <family val="1"/>
        <charset val="2"/>
      </rPr>
      <t>h</t>
    </r>
    <r>
      <rPr>
        <sz val="10"/>
        <rFont val="Arial"/>
        <family val="2"/>
      </rPr>
      <t>f</t>
    </r>
    <r>
      <rPr>
        <vertAlign val="subscript"/>
        <sz val="10"/>
        <rFont val="Arial"/>
        <family val="2"/>
      </rPr>
      <t>cd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yd</t>
    </r>
    <r>
      <rPr>
        <sz val="10"/>
        <rFont val="Arial"/>
        <family val="2"/>
      </rPr>
      <t>; A</t>
    </r>
    <r>
      <rPr>
        <vertAlign val="subscript"/>
        <sz val="10"/>
        <rFont val="Arial"/>
        <family val="2"/>
      </rPr>
      <t xml:space="preserve">s,lim </t>
    </r>
    <r>
      <rPr>
        <sz val="10"/>
        <rFont val="Arial"/>
        <family val="2"/>
      </rPr>
      <t>+ A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'</t>
    </r>
    <r>
      <rPr>
        <vertAlign val="subscript"/>
        <sz val="10"/>
        <rFont val="Arial"/>
        <family val="2"/>
      </rPr>
      <t>d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yd</t>
    </r>
    <r>
      <rPr>
        <sz val="10"/>
        <rFont val="Arial"/>
        <family val="2"/>
      </rPr>
      <t>)</t>
    </r>
  </si>
  <si>
    <t>NBR: 1,4; EC2: 1,5</t>
  </si>
  <si>
    <r>
      <t>NBR: SE(f</t>
    </r>
    <r>
      <rPr>
        <vertAlign val="subscript"/>
        <sz val="10"/>
        <rFont val="Arial"/>
        <family val="2"/>
      </rPr>
      <t xml:space="preserve">ck </t>
    </r>
    <r>
      <rPr>
        <sz val="10"/>
        <rFont val="Arial"/>
        <family val="2"/>
      </rPr>
      <t>&lt;= 35MPa; 0,5d; 0,4d); EC2: SE(f</t>
    </r>
    <r>
      <rPr>
        <vertAlign val="subscript"/>
        <sz val="10"/>
        <rFont val="Arial"/>
        <family val="2"/>
      </rPr>
      <t>ck</t>
    </r>
    <r>
      <rPr>
        <sz val="10"/>
        <rFont val="Arial"/>
        <family val="2"/>
      </rPr>
      <t xml:space="preserve"> &lt;= 50MPa; 0,45d; 0,35d)</t>
    </r>
  </si>
  <si>
    <r>
      <t>NBR: MÁXIMO(0,15%; 0,035f</t>
    </r>
    <r>
      <rPr>
        <vertAlign val="subscript"/>
        <sz val="10"/>
        <rFont val="Arial"/>
        <family val="2"/>
      </rPr>
      <t>cd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yd</t>
    </r>
    <r>
      <rPr>
        <sz val="10"/>
        <rFont val="Arial"/>
        <family val="2"/>
      </rPr>
      <t>) (seção R) ou MÁXIMO(0,15%; 0,024f</t>
    </r>
    <r>
      <rPr>
        <vertAlign val="subscript"/>
        <sz val="10"/>
        <rFont val="Arial"/>
        <family val="2"/>
      </rPr>
      <t>cd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yd</t>
    </r>
    <r>
      <rPr>
        <sz val="10"/>
        <rFont val="Arial"/>
        <family val="2"/>
      </rPr>
      <t>) (seção T); EC2: MÁXIMO(0,13%; 0,26f</t>
    </r>
    <r>
      <rPr>
        <vertAlign val="subscript"/>
        <sz val="10"/>
        <rFont val="Arial"/>
        <family val="2"/>
      </rPr>
      <t>ctm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yk</t>
    </r>
    <r>
      <rPr>
        <sz val="10"/>
        <rFont val="Arial"/>
        <family val="2"/>
      </rPr>
      <t>)</t>
    </r>
  </si>
  <si>
    <t>posição</t>
  </si>
  <si>
    <r>
      <t xml:space="preserve">NBR: </t>
    </r>
    <r>
      <rPr>
        <sz val="10"/>
        <rFont val="Symbol"/>
        <family val="1"/>
        <charset val="2"/>
      </rPr>
      <t>r</t>
    </r>
    <r>
      <rPr>
        <vertAlign val="subscript"/>
        <sz val="10"/>
        <rFont val="Arial"/>
        <family val="2"/>
      </rPr>
      <t>s,mín</t>
    </r>
    <r>
      <rPr>
        <sz val="10"/>
        <rFont val="Arial"/>
        <family val="2"/>
      </rPr>
      <t>A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(dir.a e b de laje em 2 dir. e dir.a de laje em 1 dir.); MÁXIMO(</t>
    </r>
    <r>
      <rPr>
        <sz val="10"/>
        <rFont val="Symbol"/>
        <family val="1"/>
        <charset val="2"/>
      </rPr>
      <t>r</t>
    </r>
    <r>
      <rPr>
        <vertAlign val="subscript"/>
        <sz val="10"/>
        <rFont val="Arial"/>
        <family val="2"/>
      </rPr>
      <t>s,mín</t>
    </r>
    <r>
      <rPr>
        <sz val="10"/>
        <rFont val="Arial"/>
        <family val="2"/>
      </rPr>
      <t>A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; 0,9 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/m; 0,2A</t>
    </r>
    <r>
      <rPr>
        <vertAlign val="subscript"/>
        <sz val="10"/>
        <rFont val="Arial"/>
        <family val="2"/>
      </rPr>
      <t>sa</t>
    </r>
    <r>
      <rPr>
        <sz val="10"/>
        <rFont val="Arial"/>
        <family val="2"/>
      </rPr>
      <t>) (dir.b de laje em 1 dir.)</t>
    </r>
  </si>
  <si>
    <r>
      <t xml:space="preserve">EC2: </t>
    </r>
    <r>
      <rPr>
        <sz val="10"/>
        <rFont val="Symbol"/>
        <family val="1"/>
        <charset val="2"/>
      </rPr>
      <t>r</t>
    </r>
    <r>
      <rPr>
        <vertAlign val="subscript"/>
        <sz val="10"/>
        <rFont val="Arial"/>
        <family val="2"/>
      </rPr>
      <t>mín</t>
    </r>
    <r>
      <rPr>
        <sz val="10"/>
        <rFont val="Arial"/>
        <family val="2"/>
      </rPr>
      <t>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d (dir.a e b de laje em 2 dir. e dir.a de laje em 1 dir.); MÁXIMO(</t>
    </r>
    <r>
      <rPr>
        <sz val="10"/>
        <rFont val="Symbol"/>
        <family val="1"/>
        <charset val="2"/>
      </rPr>
      <t>r</t>
    </r>
    <r>
      <rPr>
        <vertAlign val="subscript"/>
        <sz val="10"/>
        <rFont val="Arial"/>
        <family val="2"/>
      </rPr>
      <t>mín</t>
    </r>
    <r>
      <rPr>
        <sz val="10"/>
        <rFont val="Arial"/>
        <family val="2"/>
      </rPr>
      <t>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d; 0,2A</t>
    </r>
    <r>
      <rPr>
        <vertAlign val="subscript"/>
        <sz val="10"/>
        <rFont val="Arial"/>
        <family val="2"/>
      </rPr>
      <t>sa</t>
    </r>
    <r>
      <rPr>
        <sz val="10"/>
        <rFont val="Arial"/>
        <family val="2"/>
      </rPr>
      <t>) (dir.b de laje em 1 dir.)</t>
    </r>
  </si>
  <si>
    <t>VERIFICAÇÃO DO ESTADO LIMITE ÚLTIMO DE RESISTÊNCIA À MOMENTO FLETOR (ELU-M) - MOMENTO POSITIVO</t>
  </si>
  <si>
    <t>CASO DE CÁLCULO PARA SEÇÃO T</t>
  </si>
  <si>
    <r>
      <t>NBR: MÁXIMO(0,15%; 0,035f</t>
    </r>
    <r>
      <rPr>
        <vertAlign val="subscript"/>
        <sz val="10"/>
        <rFont val="Arial"/>
        <family val="2"/>
      </rPr>
      <t>cd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yd</t>
    </r>
    <r>
      <rPr>
        <sz val="10"/>
        <rFont val="Arial"/>
        <family val="2"/>
      </rPr>
      <t>) (seção R) ou MÁXIMO(0,15%; 0,031f</t>
    </r>
    <r>
      <rPr>
        <vertAlign val="subscript"/>
        <sz val="10"/>
        <rFont val="Arial"/>
        <family val="2"/>
      </rPr>
      <t>cd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yd</t>
    </r>
    <r>
      <rPr>
        <sz val="10"/>
        <rFont val="Arial"/>
        <family val="2"/>
      </rPr>
      <t>) (seção T); EC2: MÁXIMO(0,13%; 0,26f</t>
    </r>
    <r>
      <rPr>
        <vertAlign val="subscript"/>
        <sz val="10"/>
        <rFont val="Arial"/>
        <family val="2"/>
      </rPr>
      <t>ctm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yk</t>
    </r>
    <r>
      <rPr>
        <sz val="10"/>
        <rFont val="Arial"/>
        <family val="2"/>
      </rPr>
      <t>)</t>
    </r>
  </si>
  <si>
    <r>
      <t>NBR: 0,67</t>
    </r>
    <r>
      <rPr>
        <sz val="10"/>
        <rFont val="Symbol"/>
        <family val="1"/>
        <charset val="2"/>
      </rPr>
      <t>r</t>
    </r>
    <r>
      <rPr>
        <vertAlign val="subscript"/>
        <sz val="10"/>
        <rFont val="Arial"/>
        <family val="2"/>
      </rPr>
      <t>mín</t>
    </r>
    <r>
      <rPr>
        <sz val="10"/>
        <rFont val="Arial"/>
        <family val="2"/>
      </rPr>
      <t xml:space="preserve"> (dir.a e b de laje em 2 dir.); </t>
    </r>
    <r>
      <rPr>
        <sz val="10"/>
        <rFont val="Symbol"/>
        <family val="1"/>
        <charset val="2"/>
      </rPr>
      <t>r</t>
    </r>
    <r>
      <rPr>
        <vertAlign val="subscript"/>
        <sz val="10"/>
        <rFont val="Arial"/>
        <family val="2"/>
      </rPr>
      <t>mín</t>
    </r>
    <r>
      <rPr>
        <sz val="10"/>
        <rFont val="Arial"/>
        <family val="2"/>
      </rPr>
      <t xml:space="preserve"> (dir.a de laje em 1 dir.); 0,5</t>
    </r>
    <r>
      <rPr>
        <sz val="10"/>
        <rFont val="Symbol"/>
        <family val="1"/>
        <charset val="2"/>
      </rPr>
      <t>r</t>
    </r>
    <r>
      <rPr>
        <vertAlign val="subscript"/>
        <sz val="10"/>
        <rFont val="Arial"/>
        <family val="2"/>
      </rPr>
      <t>mín</t>
    </r>
    <r>
      <rPr>
        <sz val="10"/>
        <rFont val="Arial"/>
        <family val="2"/>
      </rPr>
      <t xml:space="preserve"> (dir.b de laje em 1 dir.)</t>
    </r>
  </si>
  <si>
    <t>NBR: simplificado ou refinado?</t>
  </si>
  <si>
    <t>NBR: SE(modelo = "simplificado"; 45; 30)</t>
  </si>
  <si>
    <r>
      <t xml:space="preserve">NBR: </t>
    </r>
    <r>
      <rPr>
        <sz val="10"/>
        <rFont val="Symbol"/>
        <family val="1"/>
        <charset val="2"/>
      </rPr>
      <t>r</t>
    </r>
    <r>
      <rPr>
        <vertAlign val="subscript"/>
        <sz val="10"/>
        <rFont val="Arial"/>
        <family val="2"/>
      </rPr>
      <t>mín</t>
    </r>
    <r>
      <rPr>
        <sz val="10"/>
        <rFont val="Arial"/>
        <family val="2"/>
      </rPr>
      <t>A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; EC2: </t>
    </r>
    <r>
      <rPr>
        <sz val="10"/>
        <rFont val="Symbol"/>
        <family val="1"/>
        <charset val="2"/>
      </rPr>
      <t>r</t>
    </r>
    <r>
      <rPr>
        <vertAlign val="subscript"/>
        <sz val="10"/>
        <rFont val="Arial"/>
        <family val="2"/>
      </rPr>
      <t>mín</t>
    </r>
    <r>
      <rPr>
        <sz val="10"/>
        <rFont val="Arial"/>
        <family val="2"/>
      </rPr>
      <t>b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d</t>
    </r>
  </si>
  <si>
    <r>
      <t>MÁXIMO(A</t>
    </r>
    <r>
      <rPr>
        <vertAlign val="subscript"/>
        <sz val="10"/>
        <rFont val="Arial"/>
        <family val="2"/>
      </rPr>
      <t>s,cal</t>
    </r>
    <r>
      <rPr>
        <sz val="10"/>
        <rFont val="Arial"/>
        <family val="2"/>
      </rPr>
      <t>; A</t>
    </r>
    <r>
      <rPr>
        <vertAlign val="subscript"/>
        <sz val="10"/>
        <rFont val="Arial"/>
        <family val="2"/>
      </rPr>
      <t>s,mín</t>
    </r>
    <r>
      <rPr>
        <sz val="10"/>
        <rFont val="Arial"/>
        <family val="2"/>
      </rPr>
      <t>)</t>
    </r>
  </si>
  <si>
    <t>VERIFICAÇÃO DO ESTADO LIMITE ÚLTIMO DE RESISTÊNCIA À MOMENTO FLETOR (ELU-M) - MOMENTO NEGATIVO</t>
  </si>
  <si>
    <t>VERIFICAÇÃO DO ESTADO LIMITE DE SERVIÇO DE DEFORMAÇÃO - (ELS-DEF) - SEÇÃO R OU SEÇÃO T COM MESA COMPRIMIDA</t>
  </si>
  <si>
    <t>VERIFICAÇÃO DO ESTADO LIMITE DE SERVIÇO DE ABERTURA DE FISSURA - (ELS-W) - MOMENTO POSITIVO</t>
  </si>
  <si>
    <r>
      <t>M</t>
    </r>
    <r>
      <rPr>
        <vertAlign val="subscript"/>
        <sz val="10"/>
        <rFont val="Arial"/>
        <family val="2"/>
      </rPr>
      <t>Gk</t>
    </r>
  </si>
  <si>
    <r>
      <t>M</t>
    </r>
    <r>
      <rPr>
        <vertAlign val="subscript"/>
        <sz val="10"/>
        <rFont val="Arial"/>
        <family val="2"/>
      </rPr>
      <t>Qk</t>
    </r>
  </si>
  <si>
    <r>
      <t>V</t>
    </r>
    <r>
      <rPr>
        <vertAlign val="subscript"/>
        <sz val="10"/>
        <rFont val="Arial"/>
        <family val="2"/>
      </rPr>
      <t>Gk</t>
    </r>
  </si>
  <si>
    <r>
      <t>V</t>
    </r>
    <r>
      <rPr>
        <vertAlign val="subscript"/>
        <sz val="10"/>
        <rFont val="Arial"/>
        <family val="2"/>
      </rPr>
      <t>Qk</t>
    </r>
  </si>
  <si>
    <r>
      <t>forma m</t>
    </r>
    <r>
      <rPr>
        <vertAlign val="superscript"/>
        <sz val="10"/>
        <rFont val="Arial"/>
        <family val="2"/>
      </rPr>
      <t>2</t>
    </r>
  </si>
  <si>
    <r>
      <t>forma R$/m</t>
    </r>
    <r>
      <rPr>
        <vertAlign val="superscript"/>
        <sz val="10"/>
        <rFont val="Arial"/>
        <family val="2"/>
      </rPr>
      <t>2</t>
    </r>
  </si>
  <si>
    <t>Custo (MO+MT+EQ+DI)</t>
  </si>
  <si>
    <r>
      <t>I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 cm</t>
    </r>
    <r>
      <rPr>
        <vertAlign val="superscript"/>
        <sz val="10"/>
        <rFont val="Arial"/>
        <family val="2"/>
      </rPr>
      <t>4</t>
    </r>
  </si>
  <si>
    <t>DIMENSIONAMENTO DE LAJE DE CONCRETO ARMADO</t>
  </si>
  <si>
    <r>
      <t>M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kNm/m</t>
    </r>
  </si>
  <si>
    <r>
      <t>f</t>
    </r>
    <r>
      <rPr>
        <vertAlign val="subscript"/>
        <sz val="10"/>
        <color indexed="12"/>
        <rFont val="Arial"/>
        <family val="2"/>
      </rPr>
      <t>ctm</t>
    </r>
  </si>
  <si>
    <t>Ex3.B</t>
  </si>
  <si>
    <t>Laje Modelada no Ansys</t>
  </si>
  <si>
    <r>
      <t>LAJE © v.2012-1 Fernando Musso Junior-</t>
    </r>
    <r>
      <rPr>
        <b/>
        <sz val="9"/>
        <color indexed="10"/>
        <rFont val="Arial"/>
        <family val="2"/>
      </rPr>
      <t>ALTERADA</t>
    </r>
  </si>
  <si>
    <r>
      <t>NBR 6118:2007-</t>
    </r>
    <r>
      <rPr>
        <b/>
        <sz val="8"/>
        <color indexed="10"/>
        <rFont val="Arial"/>
        <family val="2"/>
      </rPr>
      <t>ALTERADA</t>
    </r>
  </si>
  <si>
    <r>
      <rPr>
        <b/>
        <u/>
        <sz val="12"/>
        <color indexed="47"/>
        <rFont val="Arial"/>
        <family val="2"/>
      </rPr>
      <t>ATENÇÃO:</t>
    </r>
    <r>
      <rPr>
        <b/>
        <sz val="9"/>
        <color indexed="9"/>
        <rFont val="Arial"/>
        <family val="2"/>
      </rPr>
      <t xml:space="preserve">
ESTA PLANILHA FOI ALTERADA COM PROPÓSITOS DIDÁTICOS E NÃO SEGUE OS CRITÉRIOS DE DIMENSIONAMENTO PRESCRITOS EM NORMAS, NÃO DEVENDO, PORTANTO, SER UTILIZADA NO DIMENSIONAMENTO.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</si>
</sst>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000"/>
    <numFmt numFmtId="167" formatCode="0.0000"/>
    <numFmt numFmtId="168" formatCode="0.000%"/>
  </numFmts>
  <fonts count="60" x14ac:knownFonts="1">
    <font>
      <sz val="10"/>
      <name val="Arial"/>
    </font>
    <font>
      <sz val="10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vertAlign val="subscript"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name val="Times New Roman"/>
      <family val="1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sz val="10"/>
      <color indexed="12"/>
      <name val="Arial"/>
      <family val="2"/>
    </font>
    <font>
      <vertAlign val="superscript"/>
      <sz val="10"/>
      <name val="Arial"/>
      <family val="2"/>
    </font>
    <font>
      <vertAlign val="subscript"/>
      <sz val="9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vertAlign val="subscript"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Symbol"/>
      <family val="1"/>
      <charset val="2"/>
    </font>
    <font>
      <u/>
      <vertAlign val="superscript"/>
      <sz val="10"/>
      <name val="Arial"/>
      <family val="2"/>
    </font>
    <font>
      <sz val="12"/>
      <name val="Symeteo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9"/>
      <color indexed="9"/>
      <name val="Arial"/>
      <family val="2"/>
    </font>
    <font>
      <b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u/>
      <sz val="8"/>
      <color indexed="81"/>
      <name val="Tahoma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u/>
      <sz val="12"/>
      <color indexed="47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  <font>
      <sz val="8"/>
      <color rgb="FF000000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42">
    <xf numFmtId="0" fontId="0" fillId="0" borderId="0"/>
    <xf numFmtId="0" fontId="34" fillId="2" borderId="0" applyNumberFormat="0" applyBorder="0" applyAlignment="0" applyProtection="0"/>
    <xf numFmtId="0" fontId="34" fillId="3" borderId="0" applyNumberFormat="0" applyBorder="0" applyAlignment="0" applyProtection="0"/>
    <xf numFmtId="0" fontId="34" fillId="4" borderId="0" applyNumberFormat="0" applyBorder="0" applyAlignment="0" applyProtection="0"/>
    <xf numFmtId="0" fontId="34" fillId="5" borderId="0" applyNumberFormat="0" applyBorder="0" applyAlignment="0" applyProtection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5" borderId="0" applyNumberFormat="0" applyBorder="0" applyAlignment="0" applyProtection="0"/>
    <xf numFmtId="0" fontId="34" fillId="8" borderId="0" applyNumberFormat="0" applyBorder="0" applyAlignment="0" applyProtection="0"/>
    <xf numFmtId="0" fontId="34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4" borderId="0" applyNumberFormat="0" applyBorder="0" applyAlignment="0" applyProtection="0"/>
    <xf numFmtId="0" fontId="37" fillId="16" borderId="1" applyNumberFormat="0" applyAlignment="0" applyProtection="0"/>
    <xf numFmtId="0" fontId="38" fillId="17" borderId="2" applyNumberFormat="0" applyAlignment="0" applyProtection="0"/>
    <xf numFmtId="0" fontId="39" fillId="0" borderId="3" applyNumberFormat="0" applyFill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21" borderId="0" applyNumberFormat="0" applyBorder="0" applyAlignment="0" applyProtection="0"/>
    <xf numFmtId="0" fontId="40" fillId="7" borderId="1" applyNumberFormat="0" applyAlignment="0" applyProtection="0"/>
    <xf numFmtId="0" fontId="41" fillId="3" borderId="0" applyNumberFormat="0" applyBorder="0" applyAlignment="0" applyProtection="0"/>
    <xf numFmtId="0" fontId="42" fillId="22" borderId="0" applyNumberFormat="0" applyBorder="0" applyAlignment="0" applyProtection="0"/>
    <xf numFmtId="0" fontId="1" fillId="23" borderId="4" applyNumberFormat="0" applyFont="0" applyAlignment="0" applyProtection="0"/>
    <xf numFmtId="0" fontId="43" fillId="16" borderId="5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6" applyNumberFormat="0" applyFill="0" applyAlignment="0" applyProtection="0"/>
    <xf numFmtId="0" fontId="48" fillId="0" borderId="7" applyNumberFormat="0" applyFill="0" applyAlignment="0" applyProtection="0"/>
    <xf numFmtId="0" fontId="49" fillId="0" borderId="8" applyNumberFormat="0" applyFill="0" applyAlignment="0" applyProtection="0"/>
    <xf numFmtId="0" fontId="49" fillId="0" borderId="0" applyNumberFormat="0" applyFill="0" applyBorder="0" applyAlignment="0" applyProtection="0"/>
    <xf numFmtId="0" fontId="50" fillId="0" borderId="9" applyNumberFormat="0" applyFill="0" applyAlignment="0" applyProtection="0"/>
  </cellStyleXfs>
  <cellXfs count="500">
    <xf numFmtId="0" fontId="0" fillId="0" borderId="0" xfId="0"/>
    <xf numFmtId="0" fontId="0" fillId="24" borderId="0" xfId="0" applyFill="1"/>
    <xf numFmtId="0" fontId="17" fillId="0" borderId="0" xfId="0" applyFont="1" applyFill="1" applyBorder="1"/>
    <xf numFmtId="0" fontId="3" fillId="0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1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Continuous"/>
    </xf>
    <xf numFmtId="0" fontId="5" fillId="0" borderId="0" xfId="0" applyFont="1" applyFill="1" applyBorder="1" applyAlignment="1">
      <alignment horizontal="centerContinuous"/>
    </xf>
    <xf numFmtId="0" fontId="0" fillId="0" borderId="0" xfId="0" applyAlignment="1"/>
    <xf numFmtId="0" fontId="2" fillId="0" borderId="0" xfId="0" applyFont="1"/>
    <xf numFmtId="0" fontId="0" fillId="24" borderId="0" xfId="0" applyFill="1" applyAlignment="1">
      <alignment horizontal="center"/>
    </xf>
    <xf numFmtId="0" fontId="5" fillId="24" borderId="0" xfId="0" applyFont="1" applyFill="1" applyBorder="1" applyAlignment="1">
      <alignment horizontal="center" vertical="center"/>
    </xf>
    <xf numFmtId="2" fontId="3" fillId="24" borderId="11" xfId="0" applyNumberFormat="1" applyFont="1" applyFill="1" applyBorder="1" applyAlignment="1">
      <alignment horizontal="center"/>
    </xf>
    <xf numFmtId="2" fontId="11" fillId="24" borderId="0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0" xfId="0" applyBorder="1"/>
    <xf numFmtId="0" fontId="0" fillId="0" borderId="13" xfId="0" applyBorder="1"/>
    <xf numFmtId="2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2" fontId="3" fillId="0" borderId="10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 vertical="center"/>
    </xf>
    <xf numFmtId="2" fontId="23" fillId="0" borderId="14" xfId="0" applyNumberFormat="1" applyFont="1" applyFill="1" applyBorder="1" applyAlignment="1">
      <alignment horizontal="center"/>
    </xf>
    <xf numFmtId="2" fontId="3" fillId="0" borderId="15" xfId="0" applyNumberFormat="1" applyFont="1" applyFill="1" applyBorder="1" applyAlignment="1">
      <alignment horizontal="center"/>
    </xf>
    <xf numFmtId="0" fontId="0" fillId="0" borderId="12" xfId="0" applyFill="1" applyBorder="1"/>
    <xf numFmtId="0" fontId="0" fillId="0" borderId="0" xfId="0" applyFill="1" applyBorder="1"/>
    <xf numFmtId="167" fontId="0" fillId="0" borderId="0" xfId="0" applyNumberFormat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28" fillId="0" borderId="15" xfId="0" applyFont="1" applyFill="1" applyBorder="1" applyAlignment="1">
      <alignment horizontal="center" vertical="center"/>
    </xf>
    <xf numFmtId="166" fontId="0" fillId="0" borderId="18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0" fillId="24" borderId="18" xfId="0" applyNumberFormat="1" applyFill="1" applyBorder="1" applyAlignment="1">
      <alignment horizontal="center"/>
    </xf>
    <xf numFmtId="166" fontId="31" fillId="0" borderId="18" xfId="0" applyNumberFormat="1" applyFont="1" applyBorder="1" applyAlignment="1">
      <alignment horizontal="center"/>
    </xf>
    <xf numFmtId="0" fontId="0" fillId="0" borderId="16" xfId="0" applyFill="1" applyBorder="1"/>
    <xf numFmtId="165" fontId="0" fillId="0" borderId="18" xfId="0" applyNumberFormat="1" applyFill="1" applyBorder="1" applyAlignment="1">
      <alignment horizontal="center"/>
    </xf>
    <xf numFmtId="166" fontId="0" fillId="0" borderId="18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13" xfId="0" applyFill="1" applyBorder="1"/>
    <xf numFmtId="0" fontId="0" fillId="0" borderId="17" xfId="0" applyFill="1" applyBorder="1"/>
    <xf numFmtId="166" fontId="1" fillId="0" borderId="0" xfId="0" applyNumberFormat="1" applyFont="1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/>
    <xf numFmtId="0" fontId="1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2" fontId="0" fillId="25" borderId="10" xfId="0" applyNumberFormat="1" applyFill="1" applyBorder="1" applyAlignment="1">
      <alignment horizontal="center" vertical="center"/>
    </xf>
    <xf numFmtId="0" fontId="3" fillId="25" borderId="10" xfId="0" applyFont="1" applyFill="1" applyBorder="1" applyAlignment="1">
      <alignment horizontal="center"/>
    </xf>
    <xf numFmtId="2" fontId="1" fillId="25" borderId="10" xfId="0" applyNumberFormat="1" applyFont="1" applyFill="1" applyBorder="1" applyAlignment="1">
      <alignment horizontal="center"/>
    </xf>
    <xf numFmtId="2" fontId="1" fillId="25" borderId="10" xfId="0" applyNumberFormat="1" applyFont="1" applyFill="1" applyBorder="1" applyAlignment="1">
      <alignment horizontal="center" vertical="center"/>
    </xf>
    <xf numFmtId="2" fontId="3" fillId="24" borderId="10" xfId="0" applyNumberFormat="1" applyFont="1" applyFill="1" applyBorder="1" applyAlignment="1">
      <alignment horizontal="center"/>
    </xf>
    <xf numFmtId="0" fontId="0" fillId="24" borderId="0" xfId="0" applyFill="1" applyBorder="1"/>
    <xf numFmtId="2" fontId="0" fillId="0" borderId="16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165" fontId="31" fillId="0" borderId="18" xfId="0" applyNumberFormat="1" applyFont="1" applyBorder="1" applyAlignment="1">
      <alignment horizontal="center"/>
    </xf>
    <xf numFmtId="164" fontId="31" fillId="0" borderId="18" xfId="0" applyNumberFormat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2" fontId="3" fillId="0" borderId="1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2" fontId="3" fillId="0" borderId="11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166" fontId="0" fillId="24" borderId="0" xfId="0" applyNumberForma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24" borderId="16" xfId="0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25" borderId="10" xfId="0" applyFill="1" applyBorder="1" applyAlignment="1">
      <alignment horizontal="center"/>
    </xf>
    <xf numFmtId="166" fontId="1" fillId="24" borderId="0" xfId="0" applyNumberFormat="1" applyFont="1" applyFill="1" applyBorder="1" applyAlignment="1">
      <alignment horizontal="center"/>
    </xf>
    <xf numFmtId="166" fontId="1" fillId="24" borderId="18" xfId="0" applyNumberFormat="1" applyFont="1" applyFill="1" applyBorder="1" applyAlignment="1">
      <alignment horizontal="center"/>
    </xf>
    <xf numFmtId="166" fontId="0" fillId="24" borderId="10" xfId="0" applyNumberFormat="1" applyFill="1" applyBorder="1" applyAlignment="1">
      <alignment horizontal="center"/>
    </xf>
    <xf numFmtId="166" fontId="3" fillId="24" borderId="10" xfId="0" applyNumberFormat="1" applyFont="1" applyFill="1" applyBorder="1" applyAlignment="1">
      <alignment horizontal="center"/>
    </xf>
    <xf numFmtId="164" fontId="3" fillId="25" borderId="1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3" fillId="26" borderId="20" xfId="0" quotePrefix="1" applyFont="1" applyFill="1" applyBorder="1" applyAlignment="1">
      <alignment horizontal="center" vertical="center"/>
    </xf>
    <xf numFmtId="166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21" xfId="0" applyNumberForma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33" fillId="0" borderId="10" xfId="0" applyNumberFormat="1" applyFont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/>
    </xf>
    <xf numFmtId="166" fontId="1" fillId="0" borderId="22" xfId="0" applyNumberFormat="1" applyFont="1" applyBorder="1" applyAlignment="1">
      <alignment horizontal="center" vertical="center"/>
    </xf>
    <xf numFmtId="166" fontId="33" fillId="0" borderId="22" xfId="0" applyNumberFormat="1" applyFont="1" applyBorder="1" applyAlignment="1">
      <alignment horizontal="center" vertical="center"/>
    </xf>
    <xf numFmtId="166" fontId="0" fillId="0" borderId="17" xfId="0" applyNumberFormat="1" applyFill="1" applyBorder="1" applyAlignment="1">
      <alignment horizontal="center"/>
    </xf>
    <xf numFmtId="166" fontId="1" fillId="0" borderId="17" xfId="0" applyNumberFormat="1" applyFont="1" applyFill="1" applyBorder="1" applyAlignment="1">
      <alignment horizontal="center"/>
    </xf>
    <xf numFmtId="0" fontId="17" fillId="24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164" fontId="17" fillId="24" borderId="0" xfId="0" applyNumberFormat="1" applyFont="1" applyFill="1" applyBorder="1" applyAlignment="1">
      <alignment horizontal="center" vertical="center"/>
    </xf>
    <xf numFmtId="0" fontId="0" fillId="24" borderId="23" xfId="0" applyFill="1" applyBorder="1"/>
    <xf numFmtId="0" fontId="3" fillId="24" borderId="24" xfId="0" applyFont="1" applyFill="1" applyBorder="1"/>
    <xf numFmtId="0" fontId="0" fillId="24" borderId="25" xfId="0" applyFill="1" applyBorder="1"/>
    <xf numFmtId="0" fontId="5" fillId="24" borderId="0" xfId="0" applyFont="1" applyFill="1" applyBorder="1"/>
    <xf numFmtId="0" fontId="8" fillId="24" borderId="0" xfId="0" applyFont="1" applyFill="1" applyBorder="1" applyAlignment="1">
      <alignment horizontal="right"/>
    </xf>
    <xf numFmtId="0" fontId="0" fillId="24" borderId="26" xfId="0" applyFill="1" applyBorder="1"/>
    <xf numFmtId="0" fontId="11" fillId="24" borderId="25" xfId="0" applyFont="1" applyFill="1" applyBorder="1" applyAlignment="1">
      <alignment horizontal="center"/>
    </xf>
    <xf numFmtId="0" fontId="0" fillId="24" borderId="27" xfId="0" applyFill="1" applyBorder="1"/>
    <xf numFmtId="0" fontId="0" fillId="24" borderId="28" xfId="0" applyFill="1" applyBorder="1"/>
    <xf numFmtId="0" fontId="0" fillId="24" borderId="29" xfId="0" applyFill="1" applyBorder="1"/>
    <xf numFmtId="0" fontId="11" fillId="24" borderId="26" xfId="0" applyFont="1" applyFill="1" applyBorder="1" applyAlignment="1">
      <alignment horizontal="center"/>
    </xf>
    <xf numFmtId="0" fontId="11" fillId="24" borderId="25" xfId="0" applyFont="1" applyFill="1" applyBorder="1" applyAlignment="1">
      <alignment horizontal="right"/>
    </xf>
    <xf numFmtId="0" fontId="11" fillId="24" borderId="0" xfId="0" applyFont="1" applyFill="1" applyBorder="1" applyAlignment="1">
      <alignment horizontal="right"/>
    </xf>
    <xf numFmtId="0" fontId="11" fillId="24" borderId="0" xfId="0" applyFont="1" applyFill="1" applyBorder="1" applyAlignment="1">
      <alignment horizontal="right" textRotation="90"/>
    </xf>
    <xf numFmtId="2" fontId="11" fillId="24" borderId="0" xfId="0" applyNumberFormat="1" applyFont="1" applyFill="1" applyBorder="1" applyAlignment="1">
      <alignment horizontal="right" vertical="center" textRotation="90"/>
    </xf>
    <xf numFmtId="0" fontId="11" fillId="24" borderId="0" xfId="0" applyFont="1" applyFill="1" applyBorder="1" applyAlignment="1">
      <alignment horizontal="left"/>
    </xf>
    <xf numFmtId="0" fontId="7" fillId="24" borderId="26" xfId="0" applyFont="1" applyFill="1" applyBorder="1" applyAlignment="1"/>
    <xf numFmtId="0" fontId="1" fillId="24" borderId="25" xfId="0" applyFont="1" applyFill="1" applyBorder="1"/>
    <xf numFmtId="0" fontId="18" fillId="24" borderId="26" xfId="0" applyFont="1" applyFill="1" applyBorder="1" applyAlignment="1"/>
    <xf numFmtId="0" fontId="19" fillId="24" borderId="25" xfId="0" applyFont="1" applyFill="1" applyBorder="1"/>
    <xf numFmtId="0" fontId="22" fillId="24" borderId="0" xfId="0" applyFont="1" applyFill="1" applyBorder="1"/>
    <xf numFmtId="0" fontId="11" fillId="24" borderId="0" xfId="0" applyFont="1" applyFill="1" applyBorder="1"/>
    <xf numFmtId="0" fontId="0" fillId="24" borderId="24" xfId="0" applyFill="1" applyBorder="1"/>
    <xf numFmtId="0" fontId="0" fillId="24" borderId="30" xfId="0" applyFill="1" applyBorder="1"/>
    <xf numFmtId="0" fontId="20" fillId="24" borderId="26" xfId="0" applyFont="1" applyFill="1" applyBorder="1"/>
    <xf numFmtId="0" fontId="21" fillId="24" borderId="25" xfId="0" applyFont="1" applyFill="1" applyBorder="1"/>
    <xf numFmtId="0" fontId="3" fillId="24" borderId="27" xfId="0" applyFont="1" applyFill="1" applyBorder="1" applyAlignment="1"/>
    <xf numFmtId="0" fontId="3" fillId="24" borderId="28" xfId="0" applyFont="1" applyFill="1" applyBorder="1" applyAlignment="1"/>
    <xf numFmtId="0" fontId="3" fillId="24" borderId="28" xfId="0" applyFont="1" applyFill="1" applyBorder="1"/>
    <xf numFmtId="0" fontId="3" fillId="24" borderId="29" xfId="0" applyFont="1" applyFill="1" applyBorder="1" applyAlignment="1"/>
    <xf numFmtId="0" fontId="17" fillId="24" borderId="26" xfId="0" applyFont="1" applyFill="1" applyBorder="1"/>
    <xf numFmtId="0" fontId="17" fillId="24" borderId="25" xfId="0" applyFont="1" applyFill="1" applyBorder="1"/>
    <xf numFmtId="0" fontId="3" fillId="24" borderId="25" xfId="0" applyFont="1" applyFill="1" applyBorder="1" applyAlignment="1">
      <alignment horizontal="right"/>
    </xf>
    <xf numFmtId="0" fontId="3" fillId="24" borderId="0" xfId="0" applyFont="1" applyFill="1" applyBorder="1" applyAlignment="1">
      <alignment horizontal="right"/>
    </xf>
    <xf numFmtId="0" fontId="3" fillId="24" borderId="0" xfId="0" applyFont="1" applyFill="1" applyBorder="1"/>
    <xf numFmtId="0" fontId="3" fillId="24" borderId="0" xfId="0" applyFont="1" applyFill="1" applyBorder="1" applyAlignment="1"/>
    <xf numFmtId="0" fontId="3" fillId="24" borderId="26" xfId="0" applyFont="1" applyFill="1" applyBorder="1" applyAlignment="1"/>
    <xf numFmtId="0" fontId="3" fillId="24" borderId="25" xfId="0" applyFont="1" applyFill="1" applyBorder="1" applyAlignment="1"/>
    <xf numFmtId="0" fontId="3" fillId="24" borderId="0" xfId="0" applyFont="1" applyFill="1" applyBorder="1" applyAlignment="1">
      <alignment horizontal="right" textRotation="90"/>
    </xf>
    <xf numFmtId="2" fontId="3" fillId="24" borderId="0" xfId="0" applyNumberFormat="1" applyFont="1" applyFill="1" applyBorder="1" applyAlignment="1">
      <alignment horizontal="right" vertical="center" textRotation="90"/>
    </xf>
    <xf numFmtId="1" fontId="3" fillId="24" borderId="0" xfId="0" applyNumberFormat="1" applyFon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left"/>
    </xf>
    <xf numFmtId="2" fontId="3" fillId="24" borderId="0" xfId="0" applyNumberFormat="1" applyFont="1" applyFill="1" applyBorder="1" applyAlignment="1">
      <alignment horizontal="center" vertical="center"/>
    </xf>
    <xf numFmtId="0" fontId="3" fillId="24" borderId="24" xfId="0" applyFont="1" applyFill="1" applyBorder="1" applyAlignment="1"/>
    <xf numFmtId="0" fontId="3" fillId="24" borderId="23" xfId="0" applyFont="1" applyFill="1" applyBorder="1" applyAlignment="1"/>
    <xf numFmtId="0" fontId="3" fillId="24" borderId="30" xfId="0" applyFont="1" applyFill="1" applyBorder="1" applyAlignment="1"/>
    <xf numFmtId="0" fontId="3" fillId="24" borderId="25" xfId="0" applyFont="1" applyFill="1" applyBorder="1"/>
    <xf numFmtId="0" fontId="3" fillId="24" borderId="26" xfId="0" applyFont="1" applyFill="1" applyBorder="1"/>
    <xf numFmtId="0" fontId="3" fillId="24" borderId="23" xfId="0" applyFont="1" applyFill="1" applyBorder="1"/>
    <xf numFmtId="0" fontId="3" fillId="24" borderId="30" xfId="0" applyFont="1" applyFill="1" applyBorder="1"/>
    <xf numFmtId="0" fontId="11" fillId="24" borderId="22" xfId="0" applyFont="1" applyFill="1" applyBorder="1" applyAlignment="1" applyProtection="1">
      <alignment horizontal="center" vertical="center"/>
      <protection hidden="1"/>
    </xf>
    <xf numFmtId="165" fontId="3" fillId="24" borderId="0" xfId="0" applyNumberFormat="1" applyFont="1" applyFill="1" applyBorder="1"/>
    <xf numFmtId="0" fontId="17" fillId="24" borderId="24" xfId="0" applyFont="1" applyFill="1" applyBorder="1"/>
    <xf numFmtId="0" fontId="17" fillId="24" borderId="30" xfId="0" applyFont="1" applyFill="1" applyBorder="1"/>
    <xf numFmtId="0" fontId="2" fillId="24" borderId="22" xfId="0" applyFont="1" applyFill="1" applyBorder="1" applyAlignment="1">
      <alignment horizontal="center" vertical="center"/>
    </xf>
    <xf numFmtId="0" fontId="3" fillId="24" borderId="22" xfId="0" applyFont="1" applyFill="1" applyBorder="1" applyAlignment="1">
      <alignment horizontal="center" vertical="center"/>
    </xf>
    <xf numFmtId="0" fontId="3" fillId="24" borderId="31" xfId="0" applyFont="1" applyFill="1" applyBorder="1" applyAlignment="1">
      <alignment horizontal="center" vertical="center"/>
    </xf>
    <xf numFmtId="2" fontId="33" fillId="26" borderId="20" xfId="0" applyNumberFormat="1" applyFont="1" applyFill="1" applyBorder="1" applyAlignment="1">
      <alignment horizontal="center" vertical="center"/>
    </xf>
    <xf numFmtId="0" fontId="33" fillId="26" borderId="20" xfId="0" applyFont="1" applyFill="1" applyBorder="1" applyAlignment="1" applyProtection="1">
      <alignment horizontal="center" vertical="center"/>
      <protection locked="0"/>
    </xf>
    <xf numFmtId="0" fontId="3" fillId="24" borderId="22" xfId="0" applyFont="1" applyFill="1" applyBorder="1" applyAlignment="1" applyProtection="1">
      <alignment horizontal="center" vertical="center"/>
      <protection hidden="1"/>
    </xf>
    <xf numFmtId="0" fontId="17" fillId="24" borderId="32" xfId="0" applyFont="1" applyFill="1" applyBorder="1" applyAlignment="1" applyProtection="1">
      <alignment horizontal="center" vertical="center"/>
      <protection locked="0"/>
    </xf>
    <xf numFmtId="0" fontId="17" fillId="24" borderId="22" xfId="0" applyFont="1" applyFill="1" applyBorder="1" applyAlignment="1">
      <alignment horizontal="center" vertical="center"/>
    </xf>
    <xf numFmtId="0" fontId="5" fillId="24" borderId="22" xfId="0" applyFont="1" applyFill="1" applyBorder="1" applyAlignment="1">
      <alignment horizontal="center" vertical="center"/>
    </xf>
    <xf numFmtId="2" fontId="17" fillId="24" borderId="22" xfId="0" applyNumberFormat="1" applyFont="1" applyFill="1" applyBorder="1" applyAlignment="1">
      <alignment horizontal="center" vertical="center"/>
    </xf>
    <xf numFmtId="0" fontId="11" fillId="24" borderId="22" xfId="0" applyFont="1" applyFill="1" applyBorder="1" applyAlignment="1">
      <alignment horizontal="center" vertical="center"/>
    </xf>
    <xf numFmtId="2" fontId="21" fillId="24" borderId="22" xfId="0" applyNumberFormat="1" applyFont="1" applyFill="1" applyBorder="1" applyAlignment="1">
      <alignment horizontal="center" vertical="center"/>
    </xf>
    <xf numFmtId="0" fontId="2" fillId="24" borderId="22" xfId="0" quotePrefix="1" applyFont="1" applyFill="1" applyBorder="1" applyAlignment="1">
      <alignment horizontal="center" vertical="center"/>
    </xf>
    <xf numFmtId="0" fontId="21" fillId="24" borderId="22" xfId="0" applyFont="1" applyFill="1" applyBorder="1" applyAlignment="1">
      <alignment horizontal="center" vertical="center"/>
    </xf>
    <xf numFmtId="0" fontId="0" fillId="24" borderId="22" xfId="0" applyFill="1" applyBorder="1" applyAlignment="1">
      <alignment horizontal="center" vertical="center"/>
    </xf>
    <xf numFmtId="2" fontId="0" fillId="24" borderId="22" xfId="0" applyNumberFormat="1" applyFill="1" applyBorder="1" applyAlignment="1">
      <alignment horizontal="center" vertical="center"/>
    </xf>
    <xf numFmtId="165" fontId="0" fillId="24" borderId="22" xfId="0" applyNumberFormat="1" applyFill="1" applyBorder="1" applyAlignment="1">
      <alignment horizontal="center" vertical="center"/>
    </xf>
    <xf numFmtId="0" fontId="2" fillId="24" borderId="33" xfId="0" applyFont="1" applyFill="1" applyBorder="1" applyAlignment="1">
      <alignment horizontal="center" vertical="center"/>
    </xf>
    <xf numFmtId="0" fontId="2" fillId="24" borderId="34" xfId="0" applyFont="1" applyFill="1" applyBorder="1" applyAlignment="1">
      <alignment horizontal="center" vertical="center"/>
    </xf>
    <xf numFmtId="165" fontId="21" fillId="24" borderId="22" xfId="0" applyNumberFormat="1" applyFont="1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2" fontId="3" fillId="24" borderId="22" xfId="0" applyNumberFormat="1" applyFont="1" applyFill="1" applyBorder="1" applyAlignment="1">
      <alignment horizontal="center" vertical="center"/>
    </xf>
    <xf numFmtId="164" fontId="3" fillId="24" borderId="22" xfId="0" applyNumberFormat="1" applyFont="1" applyFill="1" applyBorder="1" applyAlignment="1">
      <alignment horizontal="center" vertical="center"/>
    </xf>
    <xf numFmtId="1" fontId="0" fillId="24" borderId="22" xfId="0" applyNumberFormat="1" applyFill="1" applyBorder="1" applyAlignment="1">
      <alignment horizontal="center" vertical="center"/>
    </xf>
    <xf numFmtId="2" fontId="21" fillId="24" borderId="32" xfId="0" applyNumberFormat="1" applyFont="1" applyFill="1" applyBorder="1" applyAlignment="1">
      <alignment horizontal="center" vertical="center"/>
    </xf>
    <xf numFmtId="165" fontId="11" fillId="24" borderId="22" xfId="0" applyNumberFormat="1" applyFont="1" applyFill="1" applyBorder="1" applyAlignment="1">
      <alignment horizontal="center" vertical="center"/>
    </xf>
    <xf numFmtId="2" fontId="11" fillId="24" borderId="22" xfId="0" applyNumberFormat="1" applyFont="1" applyFill="1" applyBorder="1" applyAlignment="1">
      <alignment horizontal="center" vertical="center"/>
    </xf>
    <xf numFmtId="1" fontId="11" fillId="24" borderId="22" xfId="0" applyNumberFormat="1" applyFont="1" applyFill="1" applyBorder="1" applyAlignment="1">
      <alignment horizontal="center" vertical="center"/>
    </xf>
    <xf numFmtId="0" fontId="2" fillId="24" borderId="22" xfId="0" applyFont="1" applyFill="1" applyBorder="1" applyAlignment="1" applyProtection="1">
      <alignment horizontal="center" vertical="center"/>
      <protection hidden="1"/>
    </xf>
    <xf numFmtId="0" fontId="3" fillId="24" borderId="0" xfId="0" applyFont="1" applyFill="1" applyBorder="1" applyAlignment="1">
      <alignment horizontal="center" vertical="center"/>
    </xf>
    <xf numFmtId="2" fontId="11" fillId="24" borderId="22" xfId="0" applyNumberFormat="1" applyFont="1" applyFill="1" applyBorder="1" applyAlignment="1" applyProtection="1">
      <alignment horizontal="center" vertical="center"/>
      <protection hidden="1"/>
    </xf>
    <xf numFmtId="164" fontId="21" fillId="24" borderId="22" xfId="0" applyNumberFormat="1" applyFont="1" applyFill="1" applyBorder="1" applyAlignment="1">
      <alignment horizontal="center" vertical="center"/>
    </xf>
    <xf numFmtId="0" fontId="1" fillId="24" borderId="0" xfId="0" applyFont="1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/>
    </xf>
    <xf numFmtId="1" fontId="3" fillId="24" borderId="22" xfId="0" applyNumberFormat="1" applyFont="1" applyFill="1" applyBorder="1" applyAlignment="1">
      <alignment horizontal="center" vertical="center"/>
    </xf>
    <xf numFmtId="0" fontId="3" fillId="24" borderId="25" xfId="0" applyFont="1" applyFill="1" applyBorder="1" applyAlignment="1">
      <alignment horizontal="left"/>
    </xf>
    <xf numFmtId="0" fontId="3" fillId="24" borderId="26" xfId="0" applyFont="1" applyFill="1" applyBorder="1" applyAlignment="1">
      <alignment horizontal="right"/>
    </xf>
    <xf numFmtId="0" fontId="1" fillId="0" borderId="0" xfId="0" applyFont="1" applyFill="1" applyAlignment="1">
      <alignment horizontal="center"/>
    </xf>
    <xf numFmtId="0" fontId="3" fillId="24" borderId="28" xfId="0" applyFont="1" applyFill="1" applyBorder="1" applyAlignment="1">
      <alignment horizontal="center"/>
    </xf>
    <xf numFmtId="0" fontId="3" fillId="24" borderId="23" xfId="0" applyFont="1" applyFill="1" applyBorder="1" applyAlignment="1">
      <alignment horizontal="center"/>
    </xf>
    <xf numFmtId="166" fontId="31" fillId="0" borderId="15" xfId="0" applyNumberFormat="1" applyFont="1" applyBorder="1" applyAlignment="1">
      <alignment horizontal="center"/>
    </xf>
    <xf numFmtId="166" fontId="0" fillId="0" borderId="0" xfId="0" applyNumberFormat="1"/>
    <xf numFmtId="166" fontId="31" fillId="0" borderId="0" xfId="0" applyNumberFormat="1" applyFont="1" applyAlignment="1">
      <alignment horizontal="center"/>
    </xf>
    <xf numFmtId="2" fontId="0" fillId="24" borderId="22" xfId="0" applyNumberFormat="1" applyFill="1" applyBorder="1" applyAlignment="1">
      <alignment horizontal="center"/>
    </xf>
    <xf numFmtId="0" fontId="11" fillId="24" borderId="22" xfId="0" applyFont="1" applyFill="1" applyBorder="1" applyAlignment="1">
      <alignment horizontal="center"/>
    </xf>
    <xf numFmtId="0" fontId="3" fillId="24" borderId="22" xfId="0" applyFont="1" applyFill="1" applyBorder="1" applyAlignment="1">
      <alignment horizontal="left" vertical="center"/>
    </xf>
    <xf numFmtId="164" fontId="3" fillId="24" borderId="27" xfId="0" applyNumberFormat="1" applyFont="1" applyFill="1" applyBorder="1" applyAlignment="1">
      <alignment horizontal="left" vertical="center"/>
    </xf>
    <xf numFmtId="164" fontId="3" fillId="24" borderId="28" xfId="0" applyNumberFormat="1" applyFont="1" applyFill="1" applyBorder="1" applyAlignment="1">
      <alignment horizontal="center"/>
    </xf>
    <xf numFmtId="164" fontId="3" fillId="24" borderId="28" xfId="0" applyNumberFormat="1" applyFont="1" applyFill="1" applyBorder="1" applyAlignment="1">
      <alignment horizontal="center" vertical="center"/>
    </xf>
    <xf numFmtId="164" fontId="3" fillId="24" borderId="29" xfId="0" applyNumberFormat="1" applyFont="1" applyFill="1" applyBorder="1" applyAlignment="1">
      <alignment horizontal="right" vertic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24" borderId="24" xfId="0" applyNumberFormat="1" applyFont="1" applyFill="1" applyBorder="1" applyAlignment="1">
      <alignment horizontal="left" vertical="center"/>
    </xf>
    <xf numFmtId="164" fontId="3" fillId="24" borderId="23" xfId="0" applyNumberFormat="1" applyFont="1" applyFill="1" applyBorder="1" applyAlignment="1">
      <alignment horizontal="center"/>
    </xf>
    <xf numFmtId="164" fontId="3" fillId="24" borderId="23" xfId="0" applyNumberFormat="1" applyFont="1" applyFill="1" applyBorder="1" applyAlignment="1">
      <alignment horizontal="center" vertical="center"/>
    </xf>
    <xf numFmtId="164" fontId="3" fillId="24" borderId="30" xfId="0" applyNumberFormat="1" applyFont="1" applyFill="1" applyBorder="1" applyAlignment="1">
      <alignment horizontal="right" vertical="center"/>
    </xf>
    <xf numFmtId="164" fontId="3" fillId="24" borderId="22" xfId="0" applyNumberFormat="1" applyFont="1" applyFill="1" applyBorder="1" applyAlignment="1">
      <alignment horizontal="left" vertical="center"/>
    </xf>
    <xf numFmtId="164" fontId="3" fillId="24" borderId="22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64" fontId="11" fillId="0" borderId="0" xfId="0" applyNumberFormat="1" applyFont="1" applyFill="1" applyBorder="1" applyAlignment="1"/>
    <xf numFmtId="164" fontId="3" fillId="0" borderId="0" xfId="0" applyNumberFormat="1" applyFont="1" applyFill="1" applyAlignment="1">
      <alignment horizontal="center"/>
    </xf>
    <xf numFmtId="164" fontId="3" fillId="24" borderId="22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" fontId="33" fillId="0" borderId="22" xfId="0" applyNumberFormat="1" applyFont="1" applyFill="1" applyBorder="1" applyAlignment="1">
      <alignment horizontal="center"/>
    </xf>
    <xf numFmtId="0" fontId="3" fillId="24" borderId="22" xfId="0" applyFont="1" applyFill="1" applyBorder="1"/>
    <xf numFmtId="165" fontId="3" fillId="24" borderId="22" xfId="0" applyNumberFormat="1" applyFont="1" applyFill="1" applyBorder="1" applyAlignment="1">
      <alignment horizontal="center"/>
    </xf>
    <xf numFmtId="165" fontId="3" fillId="24" borderId="22" xfId="0" applyNumberFormat="1" applyFont="1" applyFill="1" applyBorder="1" applyAlignment="1">
      <alignment horizontal="left" vertical="center"/>
    </xf>
    <xf numFmtId="2" fontId="3" fillId="24" borderId="22" xfId="0" applyNumberFormat="1" applyFont="1" applyFill="1" applyBorder="1" applyAlignment="1">
      <alignment horizontal="center"/>
    </xf>
    <xf numFmtId="2" fontId="3" fillId="24" borderId="22" xfId="0" applyNumberFormat="1" applyFont="1" applyFill="1" applyBorder="1" applyAlignment="1">
      <alignment horizontal="left" vertical="center"/>
    </xf>
    <xf numFmtId="1" fontId="3" fillId="24" borderId="22" xfId="0" applyNumberFormat="1" applyFont="1" applyFill="1" applyBorder="1" applyAlignment="1">
      <alignment horizontal="center"/>
    </xf>
    <xf numFmtId="1" fontId="3" fillId="24" borderId="22" xfId="0" applyNumberFormat="1" applyFont="1" applyFill="1" applyBorder="1" applyAlignment="1">
      <alignment horizontal="left" vertical="center"/>
    </xf>
    <xf numFmtId="166" fontId="3" fillId="24" borderId="22" xfId="0" applyNumberFormat="1" applyFont="1" applyFill="1" applyBorder="1" applyAlignment="1">
      <alignment horizontal="center"/>
    </xf>
    <xf numFmtId="164" fontId="3" fillId="0" borderId="0" xfId="0" applyNumberFormat="1" applyFont="1" applyFill="1" applyAlignment="1">
      <alignment horizontal="left"/>
    </xf>
    <xf numFmtId="2" fontId="33" fillId="0" borderId="22" xfId="0" applyNumberFormat="1" applyFont="1" applyFill="1" applyBorder="1" applyAlignment="1">
      <alignment horizontal="center"/>
    </xf>
    <xf numFmtId="165" fontId="33" fillId="0" borderId="22" xfId="0" applyNumberFormat="1" applyFont="1" applyFill="1" applyBorder="1" applyAlignment="1">
      <alignment horizontal="center"/>
    </xf>
    <xf numFmtId="0" fontId="3" fillId="24" borderId="22" xfId="0" applyFont="1" applyFill="1" applyBorder="1" applyAlignment="1"/>
    <xf numFmtId="164" fontId="2" fillId="24" borderId="22" xfId="0" applyNumberFormat="1" applyFont="1" applyFill="1" applyBorder="1" applyAlignment="1">
      <alignment horizontal="center" vertical="center"/>
    </xf>
    <xf numFmtId="164" fontId="2" fillId="24" borderId="22" xfId="0" applyNumberFormat="1" applyFont="1" applyFill="1" applyBorder="1" applyAlignment="1">
      <alignment horizontal="left" vertical="center"/>
    </xf>
    <xf numFmtId="2" fontId="11" fillId="24" borderId="22" xfId="0" applyNumberFormat="1" applyFont="1" applyFill="1" applyBorder="1" applyAlignment="1">
      <alignment horizontal="center"/>
    </xf>
    <xf numFmtId="0" fontId="2" fillId="24" borderId="22" xfId="0" applyFont="1" applyFill="1" applyBorder="1" applyAlignment="1">
      <alignment horizontal="left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left" vertical="center"/>
    </xf>
    <xf numFmtId="165" fontId="11" fillId="24" borderId="22" xfId="0" applyNumberFormat="1" applyFont="1" applyFill="1" applyBorder="1" applyAlignment="1">
      <alignment horizontal="center"/>
    </xf>
    <xf numFmtId="0" fontId="3" fillId="24" borderId="22" xfId="0" applyFont="1" applyFill="1" applyBorder="1" applyAlignment="1">
      <alignment horizontal="center"/>
    </xf>
    <xf numFmtId="1" fontId="33" fillId="0" borderId="22" xfId="0" applyNumberFormat="1" applyFont="1" applyFill="1" applyBorder="1" applyAlignment="1">
      <alignment horizontal="center" vertical="center"/>
    </xf>
    <xf numFmtId="0" fontId="3" fillId="24" borderId="22" xfId="0" applyFont="1" applyFill="1" applyBorder="1" applyAlignment="1">
      <alignment horizontal="left"/>
    </xf>
    <xf numFmtId="2" fontId="33" fillId="0" borderId="22" xfId="0" applyNumberFormat="1" applyFont="1" applyFill="1" applyBorder="1" applyAlignment="1">
      <alignment horizontal="center" vertical="center"/>
    </xf>
    <xf numFmtId="165" fontId="3" fillId="24" borderId="22" xfId="0" applyNumberFormat="1" applyFont="1" applyFill="1" applyBorder="1" applyAlignment="1">
      <alignment horizontal="center" vertical="center"/>
    </xf>
    <xf numFmtId="165" fontId="33" fillId="0" borderId="22" xfId="0" applyNumberFormat="1" applyFont="1" applyFill="1" applyBorder="1" applyAlignment="1">
      <alignment horizontal="center" vertical="center"/>
    </xf>
    <xf numFmtId="0" fontId="2" fillId="24" borderId="22" xfId="0" applyFont="1" applyFill="1" applyBorder="1" applyAlignment="1">
      <alignment horizontal="center" vertical="center" wrapText="1"/>
    </xf>
    <xf numFmtId="2" fontId="33" fillId="24" borderId="22" xfId="0" applyNumberFormat="1" applyFont="1" applyFill="1" applyBorder="1" applyAlignment="1">
      <alignment horizontal="center" vertical="center"/>
    </xf>
    <xf numFmtId="164" fontId="3" fillId="24" borderId="22" xfId="0" quotePrefix="1" applyNumberFormat="1" applyFont="1" applyFill="1" applyBorder="1" applyAlignment="1">
      <alignment horizontal="left" vertical="center"/>
    </xf>
    <xf numFmtId="168" fontId="3" fillId="24" borderId="22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left"/>
    </xf>
    <xf numFmtId="2" fontId="33" fillId="24" borderId="22" xfId="0" applyNumberFormat="1" applyFont="1" applyFill="1" applyBorder="1" applyAlignment="1">
      <alignment horizontal="center"/>
    </xf>
    <xf numFmtId="10" fontId="3" fillId="24" borderId="22" xfId="0" applyNumberFormat="1" applyFont="1" applyFill="1" applyBorder="1" applyAlignment="1">
      <alignment horizontal="center"/>
    </xf>
    <xf numFmtId="164" fontId="11" fillId="24" borderId="22" xfId="0" applyNumberFormat="1" applyFont="1" applyFill="1" applyBorder="1" applyAlignment="1">
      <alignment horizontal="center"/>
    </xf>
    <xf numFmtId="1" fontId="11" fillId="24" borderId="22" xfId="0" applyNumberFormat="1" applyFont="1" applyFill="1" applyBorder="1" applyAlignment="1">
      <alignment horizontal="center"/>
    </xf>
    <xf numFmtId="164" fontId="33" fillId="0" borderId="22" xfId="0" applyNumberFormat="1" applyFont="1" applyFill="1" applyBorder="1" applyAlignment="1">
      <alignment horizontal="center"/>
    </xf>
    <xf numFmtId="1" fontId="33" fillId="25" borderId="22" xfId="0" applyNumberFormat="1" applyFont="1" applyFill="1" applyBorder="1" applyAlignment="1">
      <alignment horizontal="center"/>
    </xf>
    <xf numFmtId="2" fontId="33" fillId="25" borderId="22" xfId="0" applyNumberFormat="1" applyFont="1" applyFill="1" applyBorder="1" applyAlignment="1">
      <alignment horizontal="center"/>
    </xf>
    <xf numFmtId="2" fontId="0" fillId="24" borderId="0" xfId="0" applyNumberFormat="1" applyFill="1" applyAlignment="1">
      <alignment horizontal="center"/>
    </xf>
    <xf numFmtId="165" fontId="33" fillId="25" borderId="22" xfId="0" applyNumberFormat="1" applyFont="1" applyFill="1" applyBorder="1" applyAlignment="1">
      <alignment horizontal="center"/>
    </xf>
    <xf numFmtId="0" fontId="0" fillId="24" borderId="22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21" fillId="24" borderId="32" xfId="0" applyNumberFormat="1" applyFont="1" applyFill="1" applyBorder="1" applyAlignment="1">
      <alignment horizontal="center" vertical="center"/>
    </xf>
    <xf numFmtId="1" fontId="33" fillId="25" borderId="22" xfId="0" applyNumberFormat="1" applyFont="1" applyFill="1" applyBorder="1" applyAlignment="1">
      <alignment horizontal="center" vertical="center"/>
    </xf>
    <xf numFmtId="2" fontId="33" fillId="25" borderId="2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8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24" borderId="32" xfId="0" applyNumberFormat="1" applyFill="1" applyBorder="1" applyAlignment="1">
      <alignment horizontal="center"/>
    </xf>
    <xf numFmtId="0" fontId="11" fillId="24" borderId="0" xfId="0" applyFont="1" applyFill="1" applyAlignment="1">
      <alignment horizontal="right"/>
    </xf>
    <xf numFmtId="2" fontId="17" fillId="24" borderId="32" xfId="0" applyNumberFormat="1" applyFont="1" applyFill="1" applyBorder="1" applyAlignment="1">
      <alignment horizontal="center" vertical="center"/>
    </xf>
    <xf numFmtId="0" fontId="0" fillId="24" borderId="33" xfId="0" applyFill="1" applyBorder="1" applyAlignment="1">
      <alignment horizontal="center" vertical="center"/>
    </xf>
    <xf numFmtId="2" fontId="3" fillId="27" borderId="22" xfId="0" applyNumberFormat="1" applyFont="1" applyFill="1" applyBorder="1" applyAlignment="1">
      <alignment horizontal="center"/>
    </xf>
    <xf numFmtId="164" fontId="3" fillId="27" borderId="22" xfId="0" applyNumberFormat="1" applyFont="1" applyFill="1" applyBorder="1" applyAlignment="1">
      <alignment horizontal="left" vertical="center"/>
    </xf>
    <xf numFmtId="1" fontId="3" fillId="27" borderId="22" xfId="0" applyNumberFormat="1" applyFont="1" applyFill="1" applyBorder="1" applyAlignment="1">
      <alignment horizontal="center"/>
    </xf>
    <xf numFmtId="1" fontId="21" fillId="24" borderId="32" xfId="0" applyNumberFormat="1" applyFont="1" applyFill="1" applyBorder="1" applyAlignment="1">
      <alignment horizontal="center" vertical="center"/>
    </xf>
    <xf numFmtId="0" fontId="3" fillId="27" borderId="22" xfId="0" applyFont="1" applyFill="1" applyBorder="1" applyAlignment="1">
      <alignment horizontal="left" vertical="center"/>
    </xf>
    <xf numFmtId="165" fontId="3" fillId="27" borderId="22" xfId="0" applyNumberFormat="1" applyFont="1" applyFill="1" applyBorder="1" applyAlignment="1">
      <alignment horizontal="center"/>
    </xf>
    <xf numFmtId="2" fontId="0" fillId="24" borderId="32" xfId="0" applyNumberForma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" fontId="0" fillId="24" borderId="0" xfId="0" applyNumberFormat="1" applyFill="1" applyBorder="1" applyAlignment="1">
      <alignment horizontal="center" vertical="center"/>
    </xf>
    <xf numFmtId="164" fontId="3" fillId="24" borderId="0" xfId="0" applyNumberFormat="1" applyFont="1" applyFill="1" applyAlignment="1">
      <alignment horizontal="center"/>
    </xf>
    <xf numFmtId="164" fontId="33" fillId="0" borderId="22" xfId="0" applyNumberFormat="1" applyFont="1" applyFill="1" applyBorder="1" applyAlignment="1">
      <alignment horizontal="center" vertical="center"/>
    </xf>
    <xf numFmtId="164" fontId="11" fillId="24" borderId="22" xfId="0" applyNumberFormat="1" applyFont="1" applyFill="1" applyBorder="1" applyAlignment="1">
      <alignment horizontal="center" vertical="center"/>
    </xf>
    <xf numFmtId="0" fontId="1" fillId="24" borderId="31" xfId="0" applyFont="1" applyFill="1" applyBorder="1" applyAlignment="1">
      <alignment horizontal="center"/>
    </xf>
    <xf numFmtId="0" fontId="11" fillId="24" borderId="0" xfId="0" applyFont="1" applyFill="1" applyBorder="1" applyAlignment="1">
      <alignment horizontal="center" vertical="center"/>
    </xf>
    <xf numFmtId="0" fontId="2" fillId="24" borderId="0" xfId="0" applyFont="1" applyFill="1" applyBorder="1" applyAlignment="1">
      <alignment horizontal="center" vertical="center"/>
    </xf>
    <xf numFmtId="164" fontId="0" fillId="24" borderId="0" xfId="0" applyNumberFormat="1" applyFill="1" applyBorder="1" applyAlignment="1" applyProtection="1">
      <alignment horizontal="center" vertical="center"/>
      <protection locked="0"/>
    </xf>
    <xf numFmtId="2" fontId="0" fillId="24" borderId="0" xfId="0" applyNumberFormat="1" applyFill="1" applyBorder="1" applyAlignment="1">
      <alignment horizontal="center" vertical="center"/>
    </xf>
    <xf numFmtId="166" fontId="0" fillId="24" borderId="22" xfId="0" applyNumberFormat="1" applyFill="1" applyBorder="1" applyAlignment="1">
      <alignment horizontal="center" vertical="center"/>
    </xf>
    <xf numFmtId="0" fontId="21" fillId="24" borderId="0" xfId="0" applyFont="1" applyFill="1" applyBorder="1" applyAlignment="1">
      <alignment horizontal="center" vertical="center"/>
    </xf>
    <xf numFmtId="0" fontId="2" fillId="24" borderId="27" xfId="0" applyFont="1" applyFill="1" applyBorder="1" applyAlignment="1">
      <alignment horizontal="center" vertical="center"/>
    </xf>
    <xf numFmtId="2" fontId="0" fillId="24" borderId="34" xfId="0" applyNumberFormat="1" applyFill="1" applyBorder="1" applyAlignment="1">
      <alignment horizontal="center" vertical="center"/>
    </xf>
    <xf numFmtId="2" fontId="3" fillId="24" borderId="32" xfId="0" applyNumberFormat="1" applyFont="1" applyFill="1" applyBorder="1" applyAlignment="1">
      <alignment horizontal="center" vertical="center"/>
    </xf>
    <xf numFmtId="0" fontId="12" fillId="24" borderId="35" xfId="0" applyFont="1" applyFill="1" applyBorder="1" applyAlignment="1">
      <alignment horizontal="center" vertical="center"/>
    </xf>
    <xf numFmtId="0" fontId="12" fillId="24" borderId="36" xfId="0" applyFont="1" applyFill="1" applyBorder="1" applyAlignment="1">
      <alignment horizontal="center" vertical="center"/>
    </xf>
    <xf numFmtId="165" fontId="52" fillId="24" borderId="37" xfId="0" applyNumberFormat="1" applyFont="1" applyFill="1" applyBorder="1" applyAlignment="1">
      <alignment horizontal="center" vertical="center"/>
    </xf>
    <xf numFmtId="0" fontId="3" fillId="24" borderId="32" xfId="0" applyFont="1" applyFill="1" applyBorder="1" applyAlignment="1">
      <alignment horizontal="center" vertical="center"/>
    </xf>
    <xf numFmtId="0" fontId="3" fillId="24" borderId="33" xfId="0" applyFont="1" applyFill="1" applyBorder="1" applyAlignment="1">
      <alignment horizontal="center" vertical="center"/>
    </xf>
    <xf numFmtId="0" fontId="11" fillId="24" borderId="33" xfId="0" applyFont="1" applyFill="1" applyBorder="1" applyAlignment="1">
      <alignment horizontal="center" vertical="center"/>
    </xf>
    <xf numFmtId="0" fontId="11" fillId="24" borderId="38" xfId="0" applyFont="1" applyFill="1" applyBorder="1" applyAlignment="1">
      <alignment horizontal="center" vertical="center"/>
    </xf>
    <xf numFmtId="0" fontId="11" fillId="24" borderId="39" xfId="0" applyFont="1" applyFill="1" applyBorder="1" applyAlignment="1">
      <alignment horizontal="center" vertical="center"/>
    </xf>
    <xf numFmtId="2" fontId="11" fillId="24" borderId="40" xfId="0" applyNumberFormat="1" applyFont="1" applyFill="1" applyBorder="1" applyAlignment="1">
      <alignment horizontal="center" vertical="center"/>
    </xf>
    <xf numFmtId="2" fontId="11" fillId="24" borderId="41" xfId="0" applyNumberFormat="1" applyFont="1" applyFill="1" applyBorder="1" applyAlignment="1">
      <alignment horizontal="center" vertical="center"/>
    </xf>
    <xf numFmtId="0" fontId="11" fillId="24" borderId="35" xfId="0" applyFont="1" applyFill="1" applyBorder="1" applyAlignment="1">
      <alignment horizontal="center" vertical="center"/>
    </xf>
    <xf numFmtId="2" fontId="11" fillId="24" borderId="42" xfId="0" applyNumberFormat="1" applyFont="1" applyFill="1" applyBorder="1" applyAlignment="1">
      <alignment horizontal="center" vertical="center"/>
    </xf>
    <xf numFmtId="2" fontId="11" fillId="24" borderId="43" xfId="0" applyNumberFormat="1" applyFont="1" applyFill="1" applyBorder="1" applyAlignment="1">
      <alignment horizontal="center" vertical="center"/>
    </xf>
    <xf numFmtId="2" fontId="11" fillId="24" borderId="44" xfId="0" applyNumberFormat="1" applyFont="1" applyFill="1" applyBorder="1" applyAlignment="1">
      <alignment horizontal="center" vertical="center"/>
    </xf>
    <xf numFmtId="2" fontId="11" fillId="24" borderId="37" xfId="0" applyNumberFormat="1" applyFont="1" applyFill="1" applyBorder="1" applyAlignment="1">
      <alignment horizontal="center" vertical="center"/>
    </xf>
    <xf numFmtId="0" fontId="0" fillId="24" borderId="32" xfId="0" applyFill="1" applyBorder="1"/>
    <xf numFmtId="0" fontId="17" fillId="24" borderId="32" xfId="0" applyFont="1" applyFill="1" applyBorder="1" applyAlignment="1">
      <alignment horizontal="center" vertical="center"/>
    </xf>
    <xf numFmtId="165" fontId="33" fillId="25" borderId="22" xfId="0" applyNumberFormat="1" applyFont="1" applyFill="1" applyBorder="1" applyAlignment="1">
      <alignment horizontal="center" vertical="center"/>
    </xf>
    <xf numFmtId="10" fontId="3" fillId="24" borderId="22" xfId="0" applyNumberFormat="1" applyFont="1" applyFill="1" applyBorder="1" applyAlignment="1">
      <alignment horizontal="center" vertical="center"/>
    </xf>
    <xf numFmtId="164" fontId="2" fillId="24" borderId="22" xfId="0" applyNumberFormat="1" applyFont="1" applyFill="1" applyBorder="1" applyAlignment="1">
      <alignment horizontal="left"/>
    </xf>
    <xf numFmtId="168" fontId="0" fillId="24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1" fillId="24" borderId="0" xfId="0" applyNumberFormat="1" applyFont="1" applyFill="1" applyBorder="1" applyAlignment="1">
      <alignment horizontal="center"/>
    </xf>
    <xf numFmtId="0" fontId="33" fillId="26" borderId="20" xfId="0" applyFont="1" applyFill="1" applyBorder="1" applyAlignment="1">
      <alignment horizontal="center" vertical="center"/>
    </xf>
    <xf numFmtId="1" fontId="3" fillId="27" borderId="22" xfId="0" applyNumberFormat="1" applyFont="1" applyFill="1" applyBorder="1" applyAlignment="1">
      <alignment horizontal="center" vertical="center"/>
    </xf>
    <xf numFmtId="2" fontId="3" fillId="27" borderId="22" xfId="0" applyNumberFormat="1" applyFont="1" applyFill="1" applyBorder="1" applyAlignment="1">
      <alignment horizontal="center" vertical="center"/>
    </xf>
    <xf numFmtId="0" fontId="11" fillId="24" borderId="39" xfId="0" quotePrefix="1" applyFont="1" applyFill="1" applyBorder="1" applyAlignment="1">
      <alignment horizontal="center" vertical="center"/>
    </xf>
    <xf numFmtId="1" fontId="33" fillId="26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24" borderId="45" xfId="0" applyFont="1" applyFill="1" applyBorder="1" applyAlignment="1">
      <alignment horizontal="center" vertical="center"/>
    </xf>
    <xf numFmtId="168" fontId="3" fillId="24" borderId="22" xfId="0" applyNumberFormat="1" applyFont="1" applyFill="1" applyBorder="1" applyAlignment="1">
      <alignment horizontal="center"/>
    </xf>
    <xf numFmtId="168" fontId="3" fillId="27" borderId="22" xfId="0" applyNumberFormat="1" applyFont="1" applyFill="1" applyBorder="1" applyAlignment="1">
      <alignment horizontal="center"/>
    </xf>
    <xf numFmtId="2" fontId="21" fillId="24" borderId="33" xfId="0" applyNumberFormat="1" applyFont="1" applyFill="1" applyBorder="1" applyAlignment="1">
      <alignment horizontal="center" vertical="center"/>
    </xf>
    <xf numFmtId="2" fontId="0" fillId="24" borderId="33" xfId="0" applyNumberFormat="1" applyFill="1" applyBorder="1" applyAlignment="1">
      <alignment horizontal="center"/>
    </xf>
    <xf numFmtId="2" fontId="0" fillId="24" borderId="33" xfId="0" quotePrefix="1" applyNumberFormat="1" applyFill="1" applyBorder="1" applyAlignment="1">
      <alignment horizontal="center"/>
    </xf>
    <xf numFmtId="10" fontId="0" fillId="24" borderId="33" xfId="0" applyNumberFormat="1" applyFill="1" applyBorder="1" applyAlignment="1">
      <alignment horizontal="center"/>
    </xf>
    <xf numFmtId="0" fontId="3" fillId="24" borderId="35" xfId="0" applyFont="1" applyFill="1" applyBorder="1" applyAlignment="1">
      <alignment horizontal="center" vertical="center"/>
    </xf>
    <xf numFmtId="2" fontId="21" fillId="24" borderId="42" xfId="0" applyNumberFormat="1" applyFont="1" applyFill="1" applyBorder="1" applyAlignment="1">
      <alignment horizontal="center" vertical="center"/>
    </xf>
    <xf numFmtId="2" fontId="0" fillId="24" borderId="42" xfId="0" applyNumberFormat="1" applyFill="1" applyBorder="1" applyAlignment="1">
      <alignment horizontal="center"/>
    </xf>
    <xf numFmtId="2" fontId="0" fillId="24" borderId="43" xfId="0" applyNumberFormat="1" applyFill="1" applyBorder="1" applyAlignment="1">
      <alignment horizontal="center"/>
    </xf>
    <xf numFmtId="0" fontId="3" fillId="24" borderId="39" xfId="0" applyFont="1" applyFill="1" applyBorder="1" applyAlignment="1">
      <alignment horizontal="center" vertical="center"/>
    </xf>
    <xf numFmtId="2" fontId="0" fillId="24" borderId="44" xfId="0" applyNumberFormat="1" applyFill="1" applyBorder="1" applyAlignment="1">
      <alignment horizontal="center" vertical="center"/>
    </xf>
    <xf numFmtId="2" fontId="0" fillId="24" borderId="37" xfId="0" applyNumberFormat="1" applyFill="1" applyBorder="1" applyAlignment="1">
      <alignment horizontal="center" vertical="center"/>
    </xf>
    <xf numFmtId="164" fontId="0" fillId="24" borderId="32" xfId="0" applyNumberFormat="1" applyFill="1" applyBorder="1" applyAlignment="1">
      <alignment horizontal="center"/>
    </xf>
    <xf numFmtId="165" fontId="33" fillId="26" borderId="20" xfId="0" applyNumberFormat="1" applyFont="1" applyFill="1" applyBorder="1" applyAlignment="1">
      <alignment horizontal="center" vertical="center"/>
    </xf>
    <xf numFmtId="1" fontId="33" fillId="26" borderId="20" xfId="0" applyNumberFormat="1" applyFont="1" applyFill="1" applyBorder="1" applyAlignment="1">
      <alignment horizontal="center" vertical="center"/>
    </xf>
    <xf numFmtId="0" fontId="11" fillId="24" borderId="46" xfId="0" applyFont="1" applyFill="1" applyBorder="1" applyAlignment="1">
      <alignment horizontal="center" vertical="center"/>
    </xf>
    <xf numFmtId="0" fontId="12" fillId="24" borderId="38" xfId="0" quotePrefix="1" applyFont="1" applyFill="1" applyBorder="1" applyAlignment="1">
      <alignment horizontal="center" vertical="center"/>
    </xf>
    <xf numFmtId="1" fontId="11" fillId="24" borderId="40" xfId="0" applyNumberFormat="1" applyFont="1" applyFill="1" applyBorder="1" applyAlignment="1">
      <alignment horizontal="center" vertical="center"/>
    </xf>
    <xf numFmtId="1" fontId="11" fillId="24" borderId="41" xfId="0" applyNumberFormat="1" applyFont="1" applyFill="1" applyBorder="1" applyAlignment="1">
      <alignment horizontal="center" vertical="center"/>
    </xf>
    <xf numFmtId="165" fontId="33" fillId="0" borderId="20" xfId="0" applyNumberFormat="1" applyFont="1" applyFill="1" applyBorder="1" applyAlignment="1">
      <alignment horizontal="center" vertical="center"/>
    </xf>
    <xf numFmtId="1" fontId="11" fillId="24" borderId="41" xfId="0" applyNumberFormat="1" applyFont="1" applyFill="1" applyBorder="1" applyAlignment="1">
      <alignment horizontal="center"/>
    </xf>
    <xf numFmtId="0" fontId="2" fillId="24" borderId="31" xfId="0" quotePrefix="1" applyFont="1" applyFill="1" applyBorder="1" applyAlignment="1">
      <alignment horizontal="center" vertical="center"/>
    </xf>
    <xf numFmtId="0" fontId="3" fillId="24" borderId="34" xfId="0" applyFont="1" applyFill="1" applyBorder="1" applyAlignment="1">
      <alignment horizontal="center" vertical="center"/>
    </xf>
    <xf numFmtId="165" fontId="52" fillId="24" borderId="47" xfId="0" applyNumberFormat="1" applyFont="1" applyFill="1" applyBorder="1" applyAlignment="1">
      <alignment horizontal="center" vertical="center"/>
    </xf>
    <xf numFmtId="0" fontId="0" fillId="24" borderId="31" xfId="0" applyFill="1" applyBorder="1" applyAlignment="1">
      <alignment horizontal="center"/>
    </xf>
    <xf numFmtId="0" fontId="0" fillId="24" borderId="27" xfId="0" applyFill="1" applyBorder="1" applyAlignment="1">
      <alignment horizontal="center" vertical="center"/>
    </xf>
    <xf numFmtId="2" fontId="0" fillId="24" borderId="0" xfId="0" applyNumberFormat="1" applyFill="1" applyBorder="1" applyAlignment="1">
      <alignment horizontal="center"/>
    </xf>
    <xf numFmtId="165" fontId="0" fillId="24" borderId="22" xfId="0" applyNumberFormat="1" applyFill="1" applyBorder="1" applyAlignment="1">
      <alignment horizontal="center"/>
    </xf>
    <xf numFmtId="0" fontId="11" fillId="24" borderId="45" xfId="0" applyFont="1" applyFill="1" applyBorder="1" applyAlignment="1">
      <alignment horizontal="center" vertical="center"/>
    </xf>
    <xf numFmtId="0" fontId="3" fillId="24" borderId="46" xfId="0" applyFont="1" applyFill="1" applyBorder="1" applyAlignment="1">
      <alignment horizontal="center" vertical="center"/>
    </xf>
    <xf numFmtId="2" fontId="21" fillId="24" borderId="48" xfId="0" applyNumberFormat="1" applyFont="1" applyFill="1" applyBorder="1" applyAlignment="1">
      <alignment horizontal="center" vertical="center"/>
    </xf>
    <xf numFmtId="2" fontId="0" fillId="24" borderId="48" xfId="0" quotePrefix="1" applyNumberFormat="1" applyFill="1" applyBorder="1" applyAlignment="1">
      <alignment horizontal="center" vertical="center"/>
    </xf>
    <xf numFmtId="2" fontId="0" fillId="24" borderId="49" xfId="0" quotePrefix="1" applyNumberFormat="1" applyFill="1" applyBorder="1" applyAlignment="1">
      <alignment horizontal="center" vertical="center"/>
    </xf>
    <xf numFmtId="164" fontId="14" fillId="24" borderId="22" xfId="0" applyNumberFormat="1" applyFont="1" applyFill="1" applyBorder="1" applyAlignment="1">
      <alignment horizontal="center" vertical="center"/>
    </xf>
    <xf numFmtId="0" fontId="14" fillId="24" borderId="22" xfId="0" applyFont="1" applyFill="1" applyBorder="1" applyAlignment="1">
      <alignment horizontal="left" vertical="center"/>
    </xf>
    <xf numFmtId="166" fontId="53" fillId="24" borderId="22" xfId="0" applyNumberFormat="1" applyFont="1" applyFill="1" applyBorder="1" applyAlignment="1">
      <alignment horizontal="center"/>
    </xf>
    <xf numFmtId="2" fontId="57" fillId="29" borderId="22" xfId="0" applyNumberFormat="1" applyFont="1" applyFill="1" applyBorder="1" applyAlignment="1" applyProtection="1">
      <alignment horizontal="center" vertical="center"/>
      <protection locked="0"/>
    </xf>
    <xf numFmtId="2" fontId="57" fillId="29" borderId="31" xfId="0" applyNumberFormat="1" applyFont="1" applyFill="1" applyBorder="1" applyAlignment="1" applyProtection="1">
      <alignment horizontal="center" vertical="center"/>
      <protection locked="0"/>
    </xf>
    <xf numFmtId="0" fontId="2" fillId="30" borderId="22" xfId="0" applyFont="1" applyFill="1" applyBorder="1" applyAlignment="1">
      <alignment horizontal="center" vertical="center"/>
    </xf>
    <xf numFmtId="2" fontId="0" fillId="30" borderId="22" xfId="0" applyNumberFormat="1" applyFill="1" applyBorder="1" applyAlignment="1">
      <alignment horizontal="center" vertical="center"/>
    </xf>
    <xf numFmtId="0" fontId="3" fillId="30" borderId="33" xfId="0" applyFont="1" applyFill="1" applyBorder="1" applyAlignment="1">
      <alignment horizontal="center" vertical="center"/>
    </xf>
    <xf numFmtId="2" fontId="17" fillId="30" borderId="33" xfId="0" applyNumberFormat="1" applyFont="1" applyFill="1" applyBorder="1" applyAlignment="1">
      <alignment horizontal="center" vertical="center"/>
    </xf>
    <xf numFmtId="2" fontId="3" fillId="24" borderId="26" xfId="0" applyNumberFormat="1" applyFont="1" applyFill="1" applyBorder="1" applyAlignment="1">
      <alignment horizontal="center" textRotation="90"/>
    </xf>
    <xf numFmtId="2" fontId="23" fillId="24" borderId="0" xfId="0" applyNumberFormat="1" applyFont="1" applyFill="1" applyBorder="1" applyAlignment="1">
      <alignment horizontal="center" textRotation="90"/>
    </xf>
    <xf numFmtId="0" fontId="3" fillId="24" borderId="25" xfId="0" applyFont="1" applyFill="1" applyBorder="1" applyAlignment="1">
      <alignment horizontal="center" textRotation="90"/>
    </xf>
    <xf numFmtId="2" fontId="14" fillId="24" borderId="0" xfId="0" applyNumberFormat="1" applyFont="1" applyFill="1" applyBorder="1" applyAlignment="1">
      <alignment horizontal="center"/>
    </xf>
    <xf numFmtId="0" fontId="3" fillId="24" borderId="0" xfId="0" applyFont="1" applyFill="1" applyBorder="1" applyAlignment="1">
      <alignment textRotation="90"/>
    </xf>
    <xf numFmtId="2" fontId="3" fillId="24" borderId="28" xfId="0" applyNumberFormat="1" applyFont="1" applyFill="1" applyBorder="1" applyAlignment="1">
      <alignment horizontal="left"/>
    </xf>
    <xf numFmtId="2" fontId="14" fillId="24" borderId="0" xfId="0" applyNumberFormat="1" applyFont="1" applyFill="1" applyBorder="1" applyAlignment="1">
      <alignment horizontal="right"/>
    </xf>
    <xf numFmtId="2" fontId="14" fillId="24" borderId="26" xfId="0" applyNumberFormat="1" applyFont="1" applyFill="1" applyBorder="1" applyAlignment="1">
      <alignment horizontal="right"/>
    </xf>
    <xf numFmtId="2" fontId="3" fillId="24" borderId="0" xfId="0" applyNumberFormat="1" applyFont="1" applyFill="1" applyBorder="1" applyAlignment="1">
      <alignment horizontal="center" textRotation="90"/>
    </xf>
    <xf numFmtId="2" fontId="23" fillId="24" borderId="0" xfId="0" applyNumberFormat="1" applyFont="1" applyFill="1" applyBorder="1" applyAlignment="1">
      <alignment horizontal="left"/>
    </xf>
    <xf numFmtId="1" fontId="3" fillId="24" borderId="22" xfId="0" applyNumberFormat="1" applyFont="1" applyFill="1" applyBorder="1" applyAlignment="1" applyProtection="1">
      <alignment horizontal="center" vertical="center"/>
      <protection hidden="1"/>
    </xf>
    <xf numFmtId="14" fontId="3" fillId="24" borderId="22" xfId="0" applyNumberFormat="1" applyFont="1" applyFill="1" applyBorder="1" applyAlignment="1" applyProtection="1">
      <alignment horizontal="center" vertical="center"/>
      <protection locked="0"/>
    </xf>
    <xf numFmtId="1" fontId="8" fillId="24" borderId="31" xfId="0" applyNumberFormat="1" applyFont="1" applyFill="1" applyBorder="1" applyAlignment="1" applyProtection="1">
      <alignment horizontal="center" vertical="center"/>
      <protection hidden="1"/>
    </xf>
    <xf numFmtId="1" fontId="8" fillId="24" borderId="50" xfId="0" applyNumberFormat="1" applyFont="1" applyFill="1" applyBorder="1" applyAlignment="1" applyProtection="1">
      <alignment horizontal="center" vertical="center"/>
      <protection hidden="1"/>
    </xf>
    <xf numFmtId="1" fontId="8" fillId="24" borderId="34" xfId="0" applyNumberFormat="1" applyFont="1" applyFill="1" applyBorder="1" applyAlignment="1" applyProtection="1">
      <alignment horizontal="center" vertical="center"/>
      <protection hidden="1"/>
    </xf>
    <xf numFmtId="1" fontId="8" fillId="24" borderId="31" xfId="0" applyNumberFormat="1" applyFont="1" applyFill="1" applyBorder="1" applyAlignment="1" applyProtection="1">
      <alignment horizontal="center" vertical="center"/>
      <protection locked="0"/>
    </xf>
    <xf numFmtId="1" fontId="8" fillId="24" borderId="50" xfId="0" applyNumberFormat="1" applyFont="1" applyFill="1" applyBorder="1" applyAlignment="1" applyProtection="1">
      <alignment horizontal="center" vertical="center"/>
      <protection locked="0"/>
    </xf>
    <xf numFmtId="1" fontId="8" fillId="24" borderId="34" xfId="0" applyNumberFormat="1" applyFont="1" applyFill="1" applyBorder="1" applyAlignment="1" applyProtection="1">
      <alignment horizontal="center" vertical="center"/>
      <protection locked="0"/>
    </xf>
    <xf numFmtId="2" fontId="14" fillId="24" borderId="28" xfId="0" applyNumberFormat="1" applyFont="1" applyFill="1" applyBorder="1" applyAlignment="1">
      <alignment horizontal="right" vertical="top" textRotation="90"/>
    </xf>
    <xf numFmtId="0" fontId="0" fillId="24" borderId="0" xfId="0" applyFill="1" applyBorder="1" applyAlignment="1">
      <alignment horizontal="right" vertical="top"/>
    </xf>
    <xf numFmtId="1" fontId="3" fillId="24" borderId="22" xfId="0" applyNumberFormat="1" applyFont="1" applyFill="1" applyBorder="1" applyAlignment="1" applyProtection="1">
      <alignment horizontal="center" vertical="center"/>
      <protection locked="0"/>
    </xf>
    <xf numFmtId="2" fontId="3" fillId="24" borderId="23" xfId="0" applyNumberFormat="1" applyFont="1" applyFill="1" applyBorder="1" applyAlignment="1">
      <alignment horizontal="left"/>
    </xf>
    <xf numFmtId="0" fontId="5" fillId="24" borderId="0" xfId="0" applyFont="1" applyFill="1" applyBorder="1" applyAlignment="1">
      <alignment horizontal="center"/>
    </xf>
    <xf numFmtId="0" fontId="11" fillId="24" borderId="0" xfId="0" applyFont="1" applyFill="1" applyBorder="1" applyAlignment="1">
      <alignment horizontal="center"/>
    </xf>
    <xf numFmtId="165" fontId="26" fillId="24" borderId="0" xfId="0" applyNumberFormat="1" applyFont="1" applyFill="1" applyBorder="1" applyAlignment="1">
      <alignment horizontal="right"/>
    </xf>
    <xf numFmtId="165" fontId="14" fillId="24" borderId="0" xfId="0" applyNumberFormat="1" applyFont="1" applyFill="1" applyBorder="1" applyAlignment="1">
      <alignment horizontal="right"/>
    </xf>
    <xf numFmtId="2" fontId="14" fillId="24" borderId="25" xfId="0" applyNumberFormat="1" applyFont="1" applyFill="1" applyBorder="1" applyAlignment="1">
      <alignment horizontal="left"/>
    </xf>
    <xf numFmtId="2" fontId="14" fillId="24" borderId="0" xfId="0" applyNumberFormat="1" applyFont="1" applyFill="1" applyBorder="1" applyAlignment="1">
      <alignment horizontal="left"/>
    </xf>
    <xf numFmtId="2" fontId="14" fillId="24" borderId="0" xfId="0" applyNumberFormat="1" applyFont="1" applyFill="1" applyBorder="1" applyAlignment="1">
      <alignment horizontal="right" textRotation="90"/>
    </xf>
    <xf numFmtId="2" fontId="14" fillId="24" borderId="23" xfId="0" applyNumberFormat="1" applyFont="1" applyFill="1" applyBorder="1" applyAlignment="1">
      <alignment horizontal="right" textRotation="90"/>
    </xf>
    <xf numFmtId="0" fontId="3" fillId="24" borderId="28" xfId="0" applyFont="1" applyFill="1" applyBorder="1" applyAlignment="1">
      <alignment horizontal="center" textRotation="90"/>
    </xf>
    <xf numFmtId="0" fontId="3" fillId="24" borderId="0" xfId="0" applyFont="1" applyFill="1" applyBorder="1" applyAlignment="1">
      <alignment horizontal="center" textRotation="90"/>
    </xf>
    <xf numFmtId="2" fontId="3" fillId="24" borderId="0" xfId="0" applyNumberFormat="1" applyFont="1" applyFill="1" applyBorder="1" applyAlignment="1">
      <alignment horizontal="left"/>
    </xf>
    <xf numFmtId="0" fontId="3" fillId="24" borderId="26" xfId="0" applyFont="1" applyFill="1" applyBorder="1" applyAlignment="1">
      <alignment textRotation="90"/>
    </xf>
    <xf numFmtId="165" fontId="33" fillId="26" borderId="54" xfId="0" applyNumberFormat="1" applyFont="1" applyFill="1" applyBorder="1" applyAlignment="1">
      <alignment horizontal="center" vertical="center"/>
    </xf>
    <xf numFmtId="165" fontId="33" fillId="26" borderId="55" xfId="0" applyNumberFormat="1" applyFont="1" applyFill="1" applyBorder="1" applyAlignment="1">
      <alignment horizontal="center" vertical="center"/>
    </xf>
    <xf numFmtId="0" fontId="33" fillId="0" borderId="54" xfId="0" applyFont="1" applyBorder="1" applyAlignment="1">
      <alignment horizontal="center"/>
    </xf>
    <xf numFmtId="0" fontId="33" fillId="0" borderId="55" xfId="0" applyFont="1" applyBorder="1" applyAlignment="1">
      <alignment horizontal="center"/>
    </xf>
    <xf numFmtId="0" fontId="11" fillId="24" borderId="32" xfId="0" applyFont="1" applyFill="1" applyBorder="1" applyAlignment="1">
      <alignment horizontal="center"/>
    </xf>
    <xf numFmtId="0" fontId="3" fillId="24" borderId="23" xfId="0" applyFont="1" applyFill="1" applyBorder="1" applyAlignment="1">
      <alignment horizontal="center" textRotation="90"/>
    </xf>
    <xf numFmtId="2" fontId="33" fillId="26" borderId="51" xfId="0" applyNumberFormat="1" applyFont="1" applyFill="1" applyBorder="1" applyAlignment="1">
      <alignment horizontal="right" vertical="center" textRotation="90"/>
    </xf>
    <xf numFmtId="2" fontId="33" fillId="26" borderId="52" xfId="0" applyNumberFormat="1" applyFont="1" applyFill="1" applyBorder="1" applyAlignment="1">
      <alignment horizontal="right" vertical="center" textRotation="90"/>
    </xf>
    <xf numFmtId="2" fontId="33" fillId="26" borderId="53" xfId="0" applyNumberFormat="1" applyFont="1" applyFill="1" applyBorder="1" applyAlignment="1">
      <alignment horizontal="right" vertical="center" textRotation="90"/>
    </xf>
    <xf numFmtId="0" fontId="11" fillId="24" borderId="0" xfId="0" applyFont="1" applyFill="1" applyBorder="1" applyAlignment="1">
      <alignment horizontal="center" textRotation="90"/>
    </xf>
    <xf numFmtId="1" fontId="33" fillId="26" borderId="54" xfId="0" applyNumberFormat="1" applyFont="1" applyFill="1" applyBorder="1" applyAlignment="1">
      <alignment horizontal="center" vertical="center"/>
    </xf>
    <xf numFmtId="1" fontId="33" fillId="26" borderId="55" xfId="0" applyNumberFormat="1" applyFont="1" applyFill="1" applyBorder="1" applyAlignment="1">
      <alignment horizontal="center" vertical="center"/>
    </xf>
    <xf numFmtId="1" fontId="8" fillId="24" borderId="27" xfId="0" applyNumberFormat="1" applyFont="1" applyFill="1" applyBorder="1" applyAlignment="1" applyProtection="1">
      <alignment horizontal="center" vertical="center"/>
      <protection hidden="1"/>
    </xf>
    <xf numFmtId="1" fontId="8" fillId="24" borderId="28" xfId="0" applyNumberFormat="1" applyFont="1" applyFill="1" applyBorder="1" applyAlignment="1" applyProtection="1">
      <alignment horizontal="center" vertical="center"/>
      <protection hidden="1"/>
    </xf>
    <xf numFmtId="1" fontId="8" fillId="24" borderId="29" xfId="0" applyNumberFormat="1" applyFont="1" applyFill="1" applyBorder="1" applyAlignment="1" applyProtection="1">
      <alignment horizontal="center" vertical="center"/>
      <protection hidden="1"/>
    </xf>
    <xf numFmtId="1" fontId="8" fillId="24" borderId="24" xfId="0" applyNumberFormat="1" applyFont="1" applyFill="1" applyBorder="1" applyAlignment="1" applyProtection="1">
      <alignment horizontal="center" vertical="center"/>
      <protection hidden="1"/>
    </xf>
    <xf numFmtId="1" fontId="8" fillId="24" borderId="23" xfId="0" applyNumberFormat="1" applyFont="1" applyFill="1" applyBorder="1" applyAlignment="1" applyProtection="1">
      <alignment horizontal="center" vertical="center"/>
      <protection hidden="1"/>
    </xf>
    <xf numFmtId="1" fontId="8" fillId="24" borderId="30" xfId="0" applyNumberFormat="1" applyFont="1" applyFill="1" applyBorder="1" applyAlignment="1" applyProtection="1">
      <alignment horizontal="center" vertical="center"/>
      <protection hidden="1"/>
    </xf>
    <xf numFmtId="0" fontId="3" fillId="24" borderId="27" xfId="0" applyFont="1" applyFill="1" applyBorder="1" applyAlignment="1" applyProtection="1">
      <alignment horizontal="center" vertical="center"/>
      <protection hidden="1"/>
    </xf>
    <xf numFmtId="0" fontId="3" fillId="24" borderId="28" xfId="0" applyFont="1" applyFill="1" applyBorder="1" applyAlignment="1" applyProtection="1">
      <alignment horizontal="center" vertical="center"/>
      <protection hidden="1"/>
    </xf>
    <xf numFmtId="0" fontId="3" fillId="24" borderId="29" xfId="0" applyFont="1" applyFill="1" applyBorder="1" applyAlignment="1" applyProtection="1">
      <alignment horizontal="center" vertical="center"/>
      <protection hidden="1"/>
    </xf>
    <xf numFmtId="0" fontId="3" fillId="24" borderId="24" xfId="0" applyFont="1" applyFill="1" applyBorder="1" applyAlignment="1" applyProtection="1">
      <alignment horizontal="center" vertical="center"/>
      <protection hidden="1"/>
    </xf>
    <xf numFmtId="0" fontId="3" fillId="24" borderId="23" xfId="0" applyFont="1" applyFill="1" applyBorder="1" applyAlignment="1" applyProtection="1">
      <alignment horizontal="center" vertical="center"/>
      <protection hidden="1"/>
    </xf>
    <xf numFmtId="0" fontId="3" fillId="24" borderId="30" xfId="0" applyFont="1" applyFill="1" applyBorder="1" applyAlignment="1" applyProtection="1">
      <alignment horizontal="center" vertical="center"/>
      <protection hidden="1"/>
    </xf>
    <xf numFmtId="165" fontId="0" fillId="24" borderId="56" xfId="0" applyNumberFormat="1" applyFill="1" applyBorder="1" applyAlignment="1">
      <alignment horizontal="center"/>
    </xf>
    <xf numFmtId="0" fontId="58" fillId="29" borderId="27" xfId="0" applyNumberFormat="1" applyFont="1" applyFill="1" applyBorder="1" applyAlignment="1" applyProtection="1">
      <alignment horizontal="center" vertical="center" wrapText="1"/>
      <protection locked="0"/>
    </xf>
    <xf numFmtId="0" fontId="58" fillId="29" borderId="28" xfId="0" applyNumberFormat="1" applyFont="1" applyFill="1" applyBorder="1" applyAlignment="1" applyProtection="1">
      <alignment horizontal="center" vertical="center"/>
      <protection locked="0"/>
    </xf>
    <xf numFmtId="0" fontId="58" fillId="29" borderId="29" xfId="0" applyNumberFormat="1" applyFont="1" applyFill="1" applyBorder="1" applyAlignment="1" applyProtection="1">
      <alignment horizontal="center" vertical="center"/>
      <protection locked="0"/>
    </xf>
    <xf numFmtId="0" fontId="58" fillId="29" borderId="25" xfId="0" applyNumberFormat="1" applyFont="1" applyFill="1" applyBorder="1" applyAlignment="1" applyProtection="1">
      <alignment horizontal="center" vertical="center"/>
      <protection locked="0"/>
    </xf>
    <xf numFmtId="0" fontId="58" fillId="29" borderId="0" xfId="0" applyNumberFormat="1" applyFont="1" applyFill="1" applyBorder="1" applyAlignment="1" applyProtection="1">
      <alignment horizontal="center" vertical="center"/>
      <protection locked="0"/>
    </xf>
    <xf numFmtId="0" fontId="58" fillId="29" borderId="26" xfId="0" applyNumberFormat="1" applyFont="1" applyFill="1" applyBorder="1" applyAlignment="1" applyProtection="1">
      <alignment horizontal="center" vertical="center"/>
      <protection locked="0"/>
    </xf>
    <xf numFmtId="0" fontId="58" fillId="29" borderId="24" xfId="0" applyNumberFormat="1" applyFont="1" applyFill="1" applyBorder="1" applyAlignment="1" applyProtection="1">
      <alignment horizontal="center" vertical="center"/>
      <protection locked="0"/>
    </xf>
    <xf numFmtId="0" fontId="58" fillId="29" borderId="23" xfId="0" applyNumberFormat="1" applyFont="1" applyFill="1" applyBorder="1" applyAlignment="1" applyProtection="1">
      <alignment horizontal="center" vertical="center"/>
      <protection locked="0"/>
    </xf>
    <xf numFmtId="0" fontId="58" fillId="29" borderId="30" xfId="0" applyNumberFormat="1" applyFont="1" applyFill="1" applyBorder="1" applyAlignment="1" applyProtection="1">
      <alignment horizontal="center" vertical="center"/>
      <protection locked="0"/>
    </xf>
    <xf numFmtId="1" fontId="3" fillId="24" borderId="31" xfId="0" applyNumberFormat="1" applyFont="1" applyFill="1" applyBorder="1" applyAlignment="1" applyProtection="1">
      <alignment horizontal="center" vertical="center"/>
      <protection hidden="1"/>
    </xf>
    <xf numFmtId="1" fontId="3" fillId="24" borderId="50" xfId="0" applyNumberFormat="1" applyFont="1" applyFill="1" applyBorder="1" applyAlignment="1" applyProtection="1">
      <alignment horizontal="center" vertical="center"/>
      <protection hidden="1"/>
    </xf>
    <xf numFmtId="1" fontId="3" fillId="24" borderId="34" xfId="0" applyNumberFormat="1" applyFont="1" applyFill="1" applyBorder="1" applyAlignment="1" applyProtection="1">
      <alignment horizontal="center" vertical="center"/>
      <protection hidden="1"/>
    </xf>
    <xf numFmtId="0" fontId="11" fillId="24" borderId="27" xfId="0" applyFont="1" applyFill="1" applyBorder="1" applyAlignment="1">
      <alignment horizontal="center"/>
    </xf>
    <xf numFmtId="0" fontId="11" fillId="24" borderId="28" xfId="0" applyFont="1" applyFill="1" applyBorder="1" applyAlignment="1">
      <alignment horizontal="center"/>
    </xf>
    <xf numFmtId="0" fontId="11" fillId="24" borderId="29" xfId="0" applyFont="1" applyFill="1" applyBorder="1" applyAlignment="1">
      <alignment horizontal="center"/>
    </xf>
    <xf numFmtId="2" fontId="0" fillId="24" borderId="0" xfId="0" applyNumberFormat="1" applyFill="1" applyBorder="1" applyAlignment="1">
      <alignment horizontal="center"/>
    </xf>
    <xf numFmtId="0" fontId="0" fillId="24" borderId="31" xfId="0" applyFill="1" applyBorder="1" applyAlignment="1">
      <alignment horizontal="center" vertical="center"/>
    </xf>
    <xf numFmtId="0" fontId="0" fillId="24" borderId="50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3" fillId="24" borderId="28" xfId="0" applyFont="1" applyFill="1" applyBorder="1" applyAlignment="1">
      <alignment horizontal="right" vertical="center" textRotation="90"/>
    </xf>
    <xf numFmtId="0" fontId="0" fillId="24" borderId="0" xfId="0" applyFill="1" applyAlignment="1">
      <alignment horizontal="right"/>
    </xf>
    <xf numFmtId="0" fontId="11" fillId="24" borderId="22" xfId="0" applyFont="1" applyFill="1" applyBorder="1" applyAlignment="1" applyProtection="1">
      <alignment horizontal="left" vertical="center"/>
      <protection hidden="1"/>
    </xf>
    <xf numFmtId="0" fontId="3" fillId="24" borderId="22" xfId="0" applyFont="1" applyFill="1" applyBorder="1" applyAlignment="1" applyProtection="1">
      <alignment horizontal="left" vertical="center"/>
      <protection hidden="1"/>
    </xf>
    <xf numFmtId="0" fontId="11" fillId="24" borderId="31" xfId="0" applyFont="1" applyFill="1" applyBorder="1" applyAlignment="1">
      <alignment horizontal="center"/>
    </xf>
    <xf numFmtId="0" fontId="11" fillId="24" borderId="57" xfId="0" applyFont="1" applyFill="1" applyBorder="1" applyAlignment="1">
      <alignment horizontal="center"/>
    </xf>
    <xf numFmtId="0" fontId="11" fillId="24" borderId="31" xfId="0" applyFont="1" applyFill="1" applyBorder="1" applyAlignment="1">
      <alignment horizontal="center" vertical="center"/>
    </xf>
    <xf numFmtId="0" fontId="11" fillId="24" borderId="50" xfId="0" applyFont="1" applyFill="1" applyBorder="1" applyAlignment="1">
      <alignment horizontal="center" vertical="center"/>
    </xf>
    <xf numFmtId="0" fontId="11" fillId="24" borderId="34" xfId="0" applyFont="1" applyFill="1" applyBorder="1" applyAlignment="1">
      <alignment horizontal="center" vertical="center"/>
    </xf>
    <xf numFmtId="2" fontId="33" fillId="26" borderId="54" xfId="0" applyNumberFormat="1" applyFont="1" applyFill="1" applyBorder="1" applyAlignment="1">
      <alignment horizontal="center" vertical="center"/>
    </xf>
    <xf numFmtId="2" fontId="33" fillId="26" borderId="55" xfId="0" applyNumberFormat="1" applyFont="1" applyFill="1" applyBorder="1" applyAlignment="1">
      <alignment horizontal="center" vertical="center"/>
    </xf>
    <xf numFmtId="165" fontId="0" fillId="24" borderId="58" xfId="0" applyNumberFormat="1" applyFill="1" applyBorder="1" applyAlignment="1">
      <alignment horizontal="center" vertical="center"/>
    </xf>
    <xf numFmtId="2" fontId="3" fillId="24" borderId="25" xfId="0" applyNumberFormat="1" applyFont="1" applyFill="1" applyBorder="1" applyAlignment="1">
      <alignment horizontal="center" textRotation="90"/>
    </xf>
    <xf numFmtId="0" fontId="26" fillId="24" borderId="0" xfId="0" applyFont="1" applyFill="1" applyBorder="1" applyAlignment="1">
      <alignment horizontal="right"/>
    </xf>
    <xf numFmtId="0" fontId="14" fillId="24" borderId="0" xfId="0" applyFont="1" applyFill="1" applyBorder="1" applyAlignment="1">
      <alignment horizontal="right"/>
    </xf>
    <xf numFmtId="0" fontId="11" fillId="24" borderId="22" xfId="0" applyFont="1" applyFill="1" applyBorder="1" applyAlignment="1">
      <alignment horizontal="center" vertical="center"/>
    </xf>
    <xf numFmtId="2" fontId="33" fillId="26" borderId="59" xfId="0" applyNumberFormat="1" applyFont="1" applyFill="1" applyBorder="1" applyAlignment="1">
      <alignment horizontal="center" vertical="center"/>
    </xf>
    <xf numFmtId="2" fontId="33" fillId="26" borderId="60" xfId="0" applyNumberFormat="1" applyFont="1" applyFill="1" applyBorder="1" applyAlignment="1">
      <alignment horizontal="center" vertical="center"/>
    </xf>
    <xf numFmtId="2" fontId="33" fillId="26" borderId="61" xfId="0" applyNumberFormat="1" applyFont="1" applyFill="1" applyBorder="1" applyAlignment="1">
      <alignment horizontal="center" vertical="center"/>
    </xf>
    <xf numFmtId="0" fontId="11" fillId="24" borderId="27" xfId="0" applyFont="1" applyFill="1" applyBorder="1" applyAlignment="1">
      <alignment horizontal="center" vertical="center"/>
    </xf>
    <xf numFmtId="0" fontId="11" fillId="24" borderId="29" xfId="0" applyFont="1" applyFill="1" applyBorder="1" applyAlignment="1">
      <alignment horizontal="center" vertical="center"/>
    </xf>
    <xf numFmtId="0" fontId="11" fillId="24" borderId="22" xfId="0" applyFont="1" applyFill="1" applyBorder="1" applyAlignment="1" applyProtection="1">
      <alignment horizontal="center" vertical="center"/>
      <protection hidden="1"/>
    </xf>
    <xf numFmtId="0" fontId="11" fillId="24" borderId="22" xfId="0" applyFont="1" applyFill="1" applyBorder="1" applyAlignment="1">
      <alignment horizontal="center"/>
    </xf>
    <xf numFmtId="0" fontId="11" fillId="24" borderId="25" xfId="0" applyFont="1" applyFill="1" applyBorder="1" applyAlignment="1">
      <alignment horizontal="center" vertical="center"/>
    </xf>
    <xf numFmtId="0" fontId="11" fillId="24" borderId="26" xfId="0" applyFont="1" applyFill="1" applyBorder="1" applyAlignment="1">
      <alignment horizontal="center" vertical="center"/>
    </xf>
    <xf numFmtId="2" fontId="3" fillId="0" borderId="62" xfId="0" applyNumberFormat="1" applyFont="1" applyFill="1" applyBorder="1" applyAlignment="1">
      <alignment horizontal="center" vertical="center"/>
    </xf>
    <xf numFmtId="2" fontId="3" fillId="0" borderId="21" xfId="0" applyNumberFormat="1" applyFont="1" applyFill="1" applyBorder="1" applyAlignment="1">
      <alignment horizontal="center" vertical="center"/>
    </xf>
    <xf numFmtId="0" fontId="29" fillId="28" borderId="63" xfId="0" applyFont="1" applyFill="1" applyBorder="1" applyAlignment="1">
      <alignment horizontal="center"/>
    </xf>
    <xf numFmtId="0" fontId="29" fillId="28" borderId="19" xfId="0" applyFont="1" applyFill="1" applyBorder="1" applyAlignment="1">
      <alignment horizontal="center"/>
    </xf>
    <xf numFmtId="2" fontId="3" fillId="0" borderId="64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0" fontId="30" fillId="28" borderId="63" xfId="0" applyFont="1" applyFill="1" applyBorder="1" applyAlignment="1">
      <alignment horizontal="center"/>
    </xf>
    <xf numFmtId="0" fontId="30" fillId="28" borderId="11" xfId="0" applyFont="1" applyFill="1" applyBorder="1" applyAlignment="1">
      <alignment horizontal="center"/>
    </xf>
    <xf numFmtId="0" fontId="30" fillId="28" borderId="1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2" fontId="3" fillId="0" borderId="10" xfId="0" applyNumberFormat="1" applyFont="1" applyFill="1" applyBorder="1" applyAlignment="1">
      <alignment horizontal="center" vertical="center"/>
    </xf>
    <xf numFmtId="2" fontId="3" fillId="0" borderId="65" xfId="0" applyNumberFormat="1" applyFont="1" applyFill="1" applyBorder="1" applyAlignment="1">
      <alignment horizontal="center" vertical="center"/>
    </xf>
    <xf numFmtId="0" fontId="3" fillId="0" borderId="6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29" fillId="28" borderId="10" xfId="0" applyFont="1" applyFill="1" applyBorder="1" applyAlignment="1">
      <alignment horizontal="center"/>
    </xf>
    <xf numFmtId="0" fontId="32" fillId="28" borderId="10" xfId="0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2" fontId="3" fillId="0" borderId="15" xfId="0" applyNumberFormat="1" applyFont="1" applyFill="1" applyBorder="1" applyAlignment="1">
      <alignment horizontal="center" vertical="center"/>
    </xf>
  </cellXfs>
  <cellStyles count="42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Incorreto" xfId="30" builtinId="27" customBuiltin="1"/>
    <cellStyle name="Neutra" xfId="31" builtinId="28" customBuiltin="1"/>
    <cellStyle name="Normal" xfId="0" builtinId="0"/>
    <cellStyle name="Nota" xfId="32" builtinId="10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</cellStyles>
  <dxfs count="47">
    <dxf>
      <font>
        <b/>
        <i val="0"/>
        <condense val="0"/>
        <extend val="0"/>
        <color indexed="1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strike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/>
        <condense val="0"/>
        <extend val="0"/>
        <color auto="1"/>
      </font>
    </dxf>
    <dxf>
      <font>
        <b val="0"/>
        <i val="0"/>
        <strike/>
        <condense val="0"/>
        <extend val="0"/>
        <color auto="1"/>
      </font>
    </dxf>
    <dxf>
      <font>
        <b val="0"/>
        <i val="0"/>
        <strike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strike/>
        <condense val="0"/>
        <extend val="0"/>
        <u val="none"/>
        <color auto="1"/>
      </font>
      <fill>
        <patternFill>
          <bgColor indexed="9"/>
        </patternFill>
      </fill>
    </dxf>
    <dxf>
      <font>
        <strike/>
        <condense val="0"/>
        <extend val="0"/>
        <u val="none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border>
        <left style="dashDot">
          <color indexed="64"/>
        </left>
        <top style="dashDot">
          <color indexed="64"/>
        </top>
      </border>
    </dxf>
    <dxf>
      <border>
        <left style="dashDot">
          <color indexed="64"/>
        </left>
      </border>
    </dxf>
    <dxf>
      <border>
        <top style="dashDot">
          <color indexed="64"/>
        </top>
      </border>
    </dxf>
    <dxf>
      <font>
        <b/>
        <i val="0"/>
        <condense val="0"/>
        <extend val="0"/>
        <color indexed="10"/>
      </font>
    </dxf>
    <dxf>
      <border>
        <left style="dashDot">
          <color indexed="64"/>
        </left>
      </border>
    </dxf>
    <dxf>
      <border>
        <left style="dashDot">
          <color indexed="64"/>
        </left>
      </border>
    </dxf>
    <dxf>
      <border>
        <top style="dashDot">
          <color indexed="64"/>
        </top>
      </border>
    </dxf>
    <dxf>
      <border>
        <top style="dashDot">
          <color indexed="64"/>
        </top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9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croll" dx="15" fmlaLink="$R$12" horiz="1" max="50" min="7" page="10" val="12"/>
</file>

<file path=xl/ctrlProps/ctrlProp10.xml><?xml version="1.0" encoding="utf-8"?>
<formControlPr xmlns="http://schemas.microsoft.com/office/spreadsheetml/2009/9/main" objectType="Radio" checked="Checked" lockText="1"/>
</file>

<file path=xl/ctrlProps/ctrlProp11.xml><?xml version="1.0" encoding="utf-8"?>
<formControlPr xmlns="http://schemas.microsoft.com/office/spreadsheetml/2009/9/main" objectType="Radio" checked="Checked" firstButton="1" fmlaLink="$AA$11" lockText="1"/>
</file>

<file path=xl/ctrlProps/ctrlProp12.xml><?xml version="1.0" encoding="utf-8"?>
<formControlPr xmlns="http://schemas.microsoft.com/office/spreadsheetml/2009/9/main" objectType="Radio" lockText="1"/>
</file>

<file path=xl/ctrlProps/ctrlProp13.xml><?xml version="1.0" encoding="utf-8"?>
<formControlPr xmlns="http://schemas.microsoft.com/office/spreadsheetml/2009/9/main" objectType="Radio" lockText="1"/>
</file>

<file path=xl/ctrlProps/ctrlProp14.xml><?xml version="1.0" encoding="utf-8"?>
<formControlPr xmlns="http://schemas.microsoft.com/office/spreadsheetml/2009/9/main" objectType="Radio" lockText="1"/>
</file>

<file path=xl/ctrlProps/ctrlProp15.xml><?xml version="1.0" encoding="utf-8"?>
<formControlPr xmlns="http://schemas.microsoft.com/office/spreadsheetml/2009/9/main" objectType="Radio" lockText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/>
</file>

<file path=xl/ctrlProps/ctrlProp18.xml><?xml version="1.0" encoding="utf-8"?>
<formControlPr xmlns="http://schemas.microsoft.com/office/spreadsheetml/2009/9/main" objectType="Radio" checked="Checked" firstButton="1" fmlaLink="$AA$10" lockText="1"/>
</file>

<file path=xl/ctrlProps/ctrlProp19.xml><?xml version="1.0" encoding="utf-8"?>
<formControlPr xmlns="http://schemas.microsoft.com/office/spreadsheetml/2009/9/main" objectType="Radio" lockText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Radio" checked="Checked" firstButton="1" fmlaLink="$AA$17" lockText="1"/>
</file>

<file path=xl/ctrlProps/ctrlProp23.xml><?xml version="1.0" encoding="utf-8"?>
<formControlPr xmlns="http://schemas.microsoft.com/office/spreadsheetml/2009/9/main" objectType="Radio" lockText="1"/>
</file>

<file path=xl/ctrlProps/ctrlProp3.xml><?xml version="1.0" encoding="utf-8"?>
<formControlPr xmlns="http://schemas.microsoft.com/office/spreadsheetml/2009/9/main" objectType="Radio" checked="Checked" firstButton="1" fmlaLink="$AB$17" lockText="1"/>
</file>

<file path=xl/ctrlProps/ctrlProp4.xml><?xml version="1.0" encoding="utf-8"?>
<formControlPr xmlns="http://schemas.microsoft.com/office/spreadsheetml/2009/9/main" objectType="Radio" lockText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checked="Checked" firstButton="1" fmlaLink="$AC$17" lockText="1"/>
</file>

<file path=xl/ctrlProps/ctrlProp7.xml><?xml version="1.0" encoding="utf-8"?>
<formControlPr xmlns="http://schemas.microsoft.com/office/spreadsheetml/2009/9/main" objectType="Radio" lockText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Radio" firstButton="1" fmlaLink="$AD$17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28575</xdr:colOff>
          <xdr:row>14</xdr:row>
          <xdr:rowOff>152400</xdr:rowOff>
        </xdr:from>
        <xdr:to>
          <xdr:col>12</xdr:col>
          <xdr:colOff>123825</xdr:colOff>
          <xdr:row>17</xdr:row>
          <xdr:rowOff>76200</xdr:rowOff>
        </xdr:to>
        <xdr:grpSp>
          <xdr:nvGrpSpPr>
            <xdr:cNvPr id="46753" name="Group 436"/>
            <xdr:cNvGrpSpPr>
              <a:grpSpLocks/>
            </xdr:cNvGrpSpPr>
          </xdr:nvGrpSpPr>
          <xdr:grpSpPr bwMode="auto">
            <a:xfrm>
              <a:off x="5734050" y="2495550"/>
              <a:ext cx="314325" cy="438150"/>
              <a:chOff x="1021" y="270"/>
              <a:chExt cx="36" cy="46"/>
            </a:xfrm>
          </xdr:grpSpPr>
          <xdr:sp macro="" textlink="">
            <xdr:nvSpPr>
              <xdr:cNvPr id="2471" name="Group Box 423" hidden="1">
                <a:extLst>
                  <a:ext uri="{63B3BB69-23CF-44E3-9099-C40C66FF867C}">
                    <a14:compatExt spid="_x0000_s2471"/>
                  </a:ext>
                </a:extLst>
              </xdr:cNvPr>
              <xdr:cNvSpPr/>
            </xdr:nvSpPr>
            <xdr:spPr bwMode="auto">
              <a:xfrm>
                <a:off x="1021" y="270"/>
                <a:ext cx="36" cy="46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</xdr:sp>
          <xdr:sp macro="" textlink="">
            <xdr:nvSpPr>
              <xdr:cNvPr id="2472" name="Option Button 424" hidden="1">
                <a:extLst>
                  <a:ext uri="{63B3BB69-23CF-44E3-9099-C40C66FF867C}">
                    <a14:compatExt spid="_x0000_s2472"/>
                  </a:ext>
                </a:extLst>
              </xdr:cNvPr>
              <xdr:cNvSpPr/>
            </xdr:nvSpPr>
            <xdr:spPr bwMode="auto">
              <a:xfrm>
                <a:off x="1024" y="270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</a:t>
                </a:r>
              </a:p>
            </xdr:txBody>
          </xdr:sp>
          <xdr:sp macro="" textlink="">
            <xdr:nvSpPr>
              <xdr:cNvPr id="2473" name="Option Button 425" hidden="1">
                <a:extLst>
                  <a:ext uri="{63B3BB69-23CF-44E3-9099-C40C66FF867C}">
                    <a14:compatExt spid="_x0000_s2473"/>
                  </a:ext>
                </a:extLst>
              </xdr:cNvPr>
              <xdr:cNvSpPr/>
            </xdr:nvSpPr>
            <xdr:spPr bwMode="auto">
              <a:xfrm>
                <a:off x="1024" y="291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e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114300</xdr:colOff>
          <xdr:row>15</xdr:row>
          <xdr:rowOff>0</xdr:rowOff>
        </xdr:from>
        <xdr:to>
          <xdr:col>21</xdr:col>
          <xdr:colOff>200025</xdr:colOff>
          <xdr:row>17</xdr:row>
          <xdr:rowOff>133350</xdr:rowOff>
        </xdr:to>
        <xdr:grpSp>
          <xdr:nvGrpSpPr>
            <xdr:cNvPr id="46754" name="Group 501"/>
            <xdr:cNvGrpSpPr>
              <a:grpSpLocks/>
            </xdr:cNvGrpSpPr>
          </xdr:nvGrpSpPr>
          <xdr:grpSpPr bwMode="auto">
            <a:xfrm>
              <a:off x="7791450" y="2514600"/>
              <a:ext cx="304800" cy="476250"/>
              <a:chOff x="783" y="268"/>
              <a:chExt cx="32" cy="47"/>
            </a:xfrm>
          </xdr:grpSpPr>
          <xdr:sp macro="" textlink="">
            <xdr:nvSpPr>
              <xdr:cNvPr id="2474" name="Group Box 426" hidden="1">
                <a:extLst>
                  <a:ext uri="{63B3BB69-23CF-44E3-9099-C40C66FF867C}">
                    <a14:compatExt spid="_x0000_s2474"/>
                  </a:ext>
                </a:extLst>
              </xdr:cNvPr>
              <xdr:cNvSpPr/>
            </xdr:nvSpPr>
            <xdr:spPr bwMode="auto">
              <a:xfrm>
                <a:off x="783" y="268"/>
                <a:ext cx="31" cy="47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</xdr:sp>
          <xdr:sp macro="" textlink="">
            <xdr:nvSpPr>
              <xdr:cNvPr id="2475" name="Option Button 427" hidden="1">
                <a:extLst>
                  <a:ext uri="{63B3BB69-23CF-44E3-9099-C40C66FF867C}">
                    <a14:compatExt spid="_x0000_s2475"/>
                  </a:ext>
                </a:extLst>
              </xdr:cNvPr>
              <xdr:cNvSpPr/>
            </xdr:nvSpPr>
            <xdr:spPr bwMode="auto">
              <a:xfrm>
                <a:off x="784" y="270"/>
                <a:ext cx="31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</a:t>
                </a:r>
              </a:p>
            </xdr:txBody>
          </xdr:sp>
          <xdr:sp macro="" textlink="">
            <xdr:nvSpPr>
              <xdr:cNvPr id="2476" name="Option Button 428" hidden="1">
                <a:extLst>
                  <a:ext uri="{63B3BB69-23CF-44E3-9099-C40C66FF867C}">
                    <a14:compatExt spid="_x0000_s2476"/>
                  </a:ext>
                </a:extLst>
              </xdr:cNvPr>
              <xdr:cNvSpPr/>
            </xdr:nvSpPr>
            <xdr:spPr bwMode="auto">
              <a:xfrm>
                <a:off x="784" y="290"/>
                <a:ext cx="31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e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95250</xdr:colOff>
          <xdr:row>22</xdr:row>
          <xdr:rowOff>38100</xdr:rowOff>
        </xdr:from>
        <xdr:to>
          <xdr:col>18</xdr:col>
          <xdr:colOff>9525</xdr:colOff>
          <xdr:row>23</xdr:row>
          <xdr:rowOff>133350</xdr:rowOff>
        </xdr:to>
        <xdr:grpSp>
          <xdr:nvGrpSpPr>
            <xdr:cNvPr id="46755" name="Group 437"/>
            <xdr:cNvGrpSpPr>
              <a:grpSpLocks/>
            </xdr:cNvGrpSpPr>
          </xdr:nvGrpSpPr>
          <xdr:grpSpPr bwMode="auto">
            <a:xfrm>
              <a:off x="6677025" y="3752850"/>
              <a:ext cx="571500" cy="266700"/>
              <a:chOff x="1197" y="425"/>
              <a:chExt cx="56" cy="29"/>
            </a:xfrm>
          </xdr:grpSpPr>
          <xdr:sp macro="" textlink="">
            <xdr:nvSpPr>
              <xdr:cNvPr id="2477" name="Group Box 429" hidden="1">
                <a:extLst>
                  <a:ext uri="{63B3BB69-23CF-44E3-9099-C40C66FF867C}">
                    <a14:compatExt spid="_x0000_s2477"/>
                  </a:ext>
                </a:extLst>
              </xdr:cNvPr>
              <xdr:cNvSpPr/>
            </xdr:nvSpPr>
            <xdr:spPr bwMode="auto">
              <a:xfrm>
                <a:off x="1197" y="425"/>
                <a:ext cx="56" cy="29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</xdr:sp>
          <xdr:sp macro="" textlink="">
            <xdr:nvSpPr>
              <xdr:cNvPr id="2478" name="Option Button 430" hidden="1">
                <a:extLst>
                  <a:ext uri="{63B3BB69-23CF-44E3-9099-C40C66FF867C}">
                    <a14:compatExt spid="_x0000_s2478"/>
                  </a:ext>
                </a:extLst>
              </xdr:cNvPr>
              <xdr:cNvSpPr/>
            </xdr:nvSpPr>
            <xdr:spPr bwMode="auto">
              <a:xfrm>
                <a:off x="1197" y="427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</a:t>
                </a:r>
              </a:p>
            </xdr:txBody>
          </xdr:sp>
          <xdr:sp macro="" textlink="">
            <xdr:nvSpPr>
              <xdr:cNvPr id="2479" name="Option Button 431" hidden="1">
                <a:extLst>
                  <a:ext uri="{63B3BB69-23CF-44E3-9099-C40C66FF867C}">
                    <a14:compatExt spid="_x0000_s2479"/>
                  </a:ext>
                </a:extLst>
              </xdr:cNvPr>
              <xdr:cNvSpPr/>
            </xdr:nvSpPr>
            <xdr:spPr bwMode="auto">
              <a:xfrm>
                <a:off x="1221" y="426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e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123825</xdr:colOff>
          <xdr:row>9</xdr:row>
          <xdr:rowOff>19050</xdr:rowOff>
        </xdr:from>
        <xdr:to>
          <xdr:col>18</xdr:col>
          <xdr:colOff>28575</xdr:colOff>
          <xdr:row>10</xdr:row>
          <xdr:rowOff>95250</xdr:rowOff>
        </xdr:to>
        <xdr:grpSp>
          <xdr:nvGrpSpPr>
            <xdr:cNvPr id="46756" name="Group 435"/>
            <xdr:cNvGrpSpPr>
              <a:grpSpLocks/>
            </xdr:cNvGrpSpPr>
          </xdr:nvGrpSpPr>
          <xdr:grpSpPr bwMode="auto">
            <a:xfrm>
              <a:off x="6705600" y="1504950"/>
              <a:ext cx="561975" cy="247650"/>
              <a:chOff x="1166" y="125"/>
              <a:chExt cx="59" cy="27"/>
            </a:xfrm>
          </xdr:grpSpPr>
          <xdr:sp macro="" textlink="">
            <xdr:nvSpPr>
              <xdr:cNvPr id="2480" name="Group Box 432" hidden="1">
                <a:extLst>
                  <a:ext uri="{63B3BB69-23CF-44E3-9099-C40C66FF867C}">
                    <a14:compatExt spid="_x0000_s2480"/>
                  </a:ext>
                </a:extLst>
              </xdr:cNvPr>
              <xdr:cNvSpPr/>
            </xdr:nvSpPr>
            <xdr:spPr bwMode="auto">
              <a:xfrm>
                <a:off x="1166" y="125"/>
                <a:ext cx="59" cy="27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</xdr:sp>
          <xdr:sp macro="" textlink="">
            <xdr:nvSpPr>
              <xdr:cNvPr id="2481" name="Option Button 433" hidden="1">
                <a:extLst>
                  <a:ext uri="{63B3BB69-23CF-44E3-9099-C40C66FF867C}">
                    <a14:compatExt spid="_x0000_s2481"/>
                  </a:ext>
                </a:extLst>
              </xdr:cNvPr>
              <xdr:cNvSpPr/>
            </xdr:nvSpPr>
            <xdr:spPr bwMode="auto">
              <a:xfrm>
                <a:off x="1167" y="127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</a:t>
                </a:r>
              </a:p>
            </xdr:txBody>
          </xdr:sp>
          <xdr:sp macro="" textlink="">
            <xdr:nvSpPr>
              <xdr:cNvPr id="2482" name="Option Button 434" hidden="1">
                <a:extLst>
                  <a:ext uri="{63B3BB69-23CF-44E3-9099-C40C66FF867C}">
                    <a14:compatExt spid="_x0000_s2482"/>
                  </a:ext>
                </a:extLst>
              </xdr:cNvPr>
              <xdr:cNvSpPr/>
            </xdr:nvSpPr>
            <xdr:spPr bwMode="auto">
              <a:xfrm>
                <a:off x="1192" y="127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e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11</xdr:col>
      <xdr:colOff>9525</xdr:colOff>
      <xdr:row>22</xdr:row>
      <xdr:rowOff>19050</xdr:rowOff>
    </xdr:from>
    <xdr:to>
      <xdr:col>21</xdr:col>
      <xdr:colOff>200025</xdr:colOff>
      <xdr:row>22</xdr:row>
      <xdr:rowOff>19050</xdr:rowOff>
    </xdr:to>
    <xdr:sp macro="" textlink="">
      <xdr:nvSpPr>
        <xdr:cNvPr id="46757" name="Line 439"/>
        <xdr:cNvSpPr>
          <a:spLocks noChangeShapeType="1"/>
        </xdr:cNvSpPr>
      </xdr:nvSpPr>
      <xdr:spPr bwMode="auto">
        <a:xfrm>
          <a:off x="5715000" y="3733800"/>
          <a:ext cx="2381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9</xdr:row>
      <xdr:rowOff>0</xdr:rowOff>
    </xdr:from>
    <xdr:to>
      <xdr:col>14</xdr:col>
      <xdr:colOff>57150</xdr:colOff>
      <xdr:row>23</xdr:row>
      <xdr:rowOff>152400</xdr:rowOff>
    </xdr:to>
    <xdr:sp macro="" textlink="">
      <xdr:nvSpPr>
        <xdr:cNvPr id="46758" name="Line 440"/>
        <xdr:cNvSpPr>
          <a:spLocks noChangeShapeType="1"/>
        </xdr:cNvSpPr>
      </xdr:nvSpPr>
      <xdr:spPr bwMode="auto">
        <a:xfrm rot="5400000" flipH="1">
          <a:off x="5143500" y="2762250"/>
          <a:ext cx="2552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35</xdr:row>
      <xdr:rowOff>0</xdr:rowOff>
    </xdr:from>
    <xdr:to>
      <xdr:col>22</xdr:col>
      <xdr:colOff>0</xdr:colOff>
      <xdr:row>35</xdr:row>
      <xdr:rowOff>0</xdr:rowOff>
    </xdr:to>
    <xdr:sp macro="" textlink="">
      <xdr:nvSpPr>
        <xdr:cNvPr id="46759" name="Line 452"/>
        <xdr:cNvSpPr>
          <a:spLocks noChangeShapeType="1"/>
        </xdr:cNvSpPr>
      </xdr:nvSpPr>
      <xdr:spPr bwMode="auto">
        <a:xfrm>
          <a:off x="5715000" y="5943600"/>
          <a:ext cx="2400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lg" len="lg"/>
          <a:tailEnd type="non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180975</xdr:colOff>
      <xdr:row>27</xdr:row>
      <xdr:rowOff>0</xdr:rowOff>
    </xdr:from>
    <xdr:to>
      <xdr:col>16</xdr:col>
      <xdr:colOff>180975</xdr:colOff>
      <xdr:row>41</xdr:row>
      <xdr:rowOff>152400</xdr:rowOff>
    </xdr:to>
    <xdr:sp macro="" textlink="">
      <xdr:nvSpPr>
        <xdr:cNvPr id="46760" name="Line 453"/>
        <xdr:cNvSpPr>
          <a:spLocks noChangeShapeType="1"/>
        </xdr:cNvSpPr>
      </xdr:nvSpPr>
      <xdr:spPr bwMode="auto">
        <a:xfrm rot="-5400000">
          <a:off x="5705475" y="5848350"/>
          <a:ext cx="2552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lg" len="lg"/>
          <a:tailEnd type="non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12</xdr:row>
          <xdr:rowOff>19050</xdr:rowOff>
        </xdr:from>
        <xdr:to>
          <xdr:col>19</xdr:col>
          <xdr:colOff>19050</xdr:colOff>
          <xdr:row>13</xdr:row>
          <xdr:rowOff>0</xdr:rowOff>
        </xdr:to>
        <xdr:sp macro="" textlink="">
          <xdr:nvSpPr>
            <xdr:cNvPr id="2520" name="Scroll Bar 472" hidden="1">
              <a:extLst>
                <a:ext uri="{63B3BB69-23CF-44E3-9099-C40C66FF867C}">
                  <a14:compatExt spid="_x0000_s2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19</xdr:row>
          <xdr:rowOff>28575</xdr:rowOff>
        </xdr:from>
        <xdr:to>
          <xdr:col>6</xdr:col>
          <xdr:colOff>542925</xdr:colOff>
          <xdr:row>23</xdr:row>
          <xdr:rowOff>19050</xdr:rowOff>
        </xdr:to>
        <xdr:grpSp>
          <xdr:nvGrpSpPr>
            <xdr:cNvPr id="46761" name="Group 511"/>
            <xdr:cNvGrpSpPr>
              <a:grpSpLocks/>
            </xdr:cNvGrpSpPr>
          </xdr:nvGrpSpPr>
          <xdr:grpSpPr bwMode="auto">
            <a:xfrm>
              <a:off x="2524125" y="3228975"/>
              <a:ext cx="1238250" cy="676275"/>
              <a:chOff x="161" y="336"/>
              <a:chExt cx="136" cy="66"/>
            </a:xfrm>
          </xdr:grpSpPr>
          <xdr:sp macro="" textlink="">
            <xdr:nvSpPr>
              <xdr:cNvPr id="2540" name="Option Button 492" hidden="1">
                <a:extLst>
                  <a:ext uri="{63B3BB69-23CF-44E3-9099-C40C66FF867C}">
                    <a14:compatExt spid="_x0000_s2540"/>
                  </a:ext>
                </a:extLst>
              </xdr:cNvPr>
              <xdr:cNvSpPr/>
            </xdr:nvSpPr>
            <xdr:spPr bwMode="auto">
              <a:xfrm>
                <a:off x="166" y="342"/>
                <a:ext cx="67" cy="2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MUSSO</a:t>
                </a:r>
              </a:p>
            </xdr:txBody>
          </xdr:sp>
          <xdr:sp macro="" textlink="">
            <xdr:nvSpPr>
              <xdr:cNvPr id="2541" name="Option Button 493" hidden="1">
                <a:extLst>
                  <a:ext uri="{63B3BB69-23CF-44E3-9099-C40C66FF867C}">
                    <a14:compatExt spid="_x0000_s2541"/>
                  </a:ext>
                </a:extLst>
              </xdr:cNvPr>
              <xdr:cNvSpPr/>
            </xdr:nvSpPr>
            <xdr:spPr bwMode="auto">
              <a:xfrm>
                <a:off x="166" y="359"/>
                <a:ext cx="69" cy="2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CZERNY</a:t>
                </a:r>
              </a:p>
            </xdr:txBody>
          </xdr:sp>
          <xdr:sp macro="" textlink="">
            <xdr:nvSpPr>
              <xdr:cNvPr id="2542" name="Option Button 494" hidden="1">
                <a:extLst>
                  <a:ext uri="{63B3BB69-23CF-44E3-9099-C40C66FF867C}">
                    <a14:compatExt spid="_x0000_s2542"/>
                  </a:ext>
                </a:extLst>
              </xdr:cNvPr>
              <xdr:cNvSpPr/>
            </xdr:nvSpPr>
            <xdr:spPr bwMode="auto">
              <a:xfrm>
                <a:off x="235" y="342"/>
                <a:ext cx="62" cy="2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BURKE</a:t>
                </a:r>
              </a:p>
            </xdr:txBody>
          </xdr:sp>
          <xdr:sp macro="" textlink="">
            <xdr:nvSpPr>
              <xdr:cNvPr id="2543" name="Option Button 495" hidden="1">
                <a:extLst>
                  <a:ext uri="{63B3BB69-23CF-44E3-9099-C40C66FF867C}">
                    <a14:compatExt spid="_x0000_s2543"/>
                  </a:ext>
                </a:extLst>
              </xdr:cNvPr>
              <xdr:cNvSpPr/>
            </xdr:nvSpPr>
            <xdr:spPr bwMode="auto">
              <a:xfrm>
                <a:off x="235" y="358"/>
                <a:ext cx="58" cy="2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BARES</a:t>
                </a:r>
              </a:p>
            </xdr:txBody>
          </xdr:sp>
          <xdr:sp macro="" textlink="">
            <xdr:nvSpPr>
              <xdr:cNvPr id="2544" name="Option Button 496" hidden="1">
                <a:extLst>
                  <a:ext uri="{63B3BB69-23CF-44E3-9099-C40C66FF867C}">
                    <a14:compatExt spid="_x0000_s2544"/>
                  </a:ext>
                </a:extLst>
              </xdr:cNvPr>
              <xdr:cNvSpPr/>
            </xdr:nvSpPr>
            <xdr:spPr bwMode="auto">
              <a:xfrm>
                <a:off x="166" y="376"/>
                <a:ext cx="72" cy="2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MARCUS</a:t>
                </a:r>
              </a:p>
            </xdr:txBody>
          </xdr:sp>
          <xdr:sp macro="" textlink="">
            <xdr:nvSpPr>
              <xdr:cNvPr id="2545" name="Group Box 497" hidden="1">
                <a:extLst>
                  <a:ext uri="{63B3BB69-23CF-44E3-9099-C40C66FF867C}">
                    <a14:compatExt spid="_x0000_s2545"/>
                  </a:ext>
                </a:extLst>
              </xdr:cNvPr>
              <xdr:cNvSpPr/>
            </xdr:nvSpPr>
            <xdr:spPr bwMode="auto">
              <a:xfrm>
                <a:off x="161" y="336"/>
                <a:ext cx="136" cy="66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Esforços e Flechas</a:t>
                </a:r>
              </a:p>
            </xdr:txBody>
          </xdr:sp>
        </xdr:grpSp>
        <xdr:clientData/>
      </xdr:twoCellAnchor>
    </mc:Choice>
    <mc:Fallback/>
  </mc:AlternateContent>
  <xdr:twoCellAnchor editAs="oneCell">
    <xdr:from>
      <xdr:col>31</xdr:col>
      <xdr:colOff>209550</xdr:colOff>
      <xdr:row>15</xdr:row>
      <xdr:rowOff>47625</xdr:rowOff>
    </xdr:from>
    <xdr:to>
      <xdr:col>34</xdr:col>
      <xdr:colOff>466725</xdr:colOff>
      <xdr:row>32</xdr:row>
      <xdr:rowOff>104775</xdr:rowOff>
    </xdr:to>
    <xdr:grpSp>
      <xdr:nvGrpSpPr>
        <xdr:cNvPr id="46762" name="Group 773"/>
        <xdr:cNvGrpSpPr>
          <a:grpSpLocks/>
        </xdr:cNvGrpSpPr>
      </xdr:nvGrpSpPr>
      <xdr:grpSpPr bwMode="auto">
        <a:xfrm>
          <a:off x="12439650" y="2562225"/>
          <a:ext cx="2400300" cy="2971800"/>
          <a:chOff x="1176" y="260"/>
          <a:chExt cx="252" cy="312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2465" name="Group Box 417" hidden="1">
                <a:extLst>
                  <a:ext uri="{63B3BB69-23CF-44E3-9099-C40C66FF867C}">
                    <a14:compatExt spid="_x0000_s2465"/>
                  </a:ext>
                </a:extLst>
              </xdr:cNvPr>
              <xdr:cNvSpPr/>
            </xdr:nvSpPr>
            <xdr:spPr bwMode="auto">
              <a:xfrm>
                <a:off x="1176" y="260"/>
                <a:ext cx="252" cy="312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Condições de contorno da laje</a:t>
                </a:r>
              </a:p>
            </xdr:txBody>
          </xdr:sp>
        </mc:Choice>
        <mc:Fallback/>
      </mc:AlternateContent>
      <xdr:grpSp>
        <xdr:nvGrpSpPr>
          <xdr:cNvPr id="46764" name="Group 521"/>
          <xdr:cNvGrpSpPr>
            <a:grpSpLocks/>
          </xdr:cNvGrpSpPr>
        </xdr:nvGrpSpPr>
        <xdr:grpSpPr bwMode="auto">
          <a:xfrm>
            <a:off x="1180" y="282"/>
            <a:ext cx="75" cy="82"/>
            <a:chOff x="44" y="82"/>
            <a:chExt cx="75" cy="90"/>
          </a:xfrm>
        </xdr:grpSpPr>
        <xdr:sp macro="" textlink="">
          <xdr:nvSpPr>
            <xdr:cNvPr id="47007" name="Rectangle 522"/>
            <xdr:cNvSpPr>
              <a:spLocks noChangeArrowheads="1"/>
            </xdr:cNvSpPr>
          </xdr:nvSpPr>
          <xdr:spPr bwMode="auto">
            <a:xfrm>
              <a:off x="61" y="82"/>
              <a:ext cx="51" cy="6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2571" name="Text Box 523"/>
            <xdr:cNvSpPr txBox="1">
              <a:spLocks noChangeArrowheads="1"/>
            </xdr:cNvSpPr>
          </xdr:nvSpPr>
          <xdr:spPr bwMode="auto">
            <a:xfrm>
              <a:off x="67" y="150"/>
              <a:ext cx="52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2572" name="Text Box 524"/>
            <xdr:cNvSpPr txBox="1">
              <a:spLocks noChangeArrowheads="1"/>
            </xdr:cNvSpPr>
          </xdr:nvSpPr>
          <xdr:spPr bwMode="auto">
            <a:xfrm>
              <a:off x="44" y="104"/>
              <a:ext cx="3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47010" name="Group 525"/>
            <xdr:cNvGrpSpPr>
              <a:grpSpLocks/>
            </xdr:cNvGrpSpPr>
          </xdr:nvGrpSpPr>
          <xdr:grpSpPr bwMode="auto">
            <a:xfrm>
              <a:off x="70" y="88"/>
              <a:ext cx="45" cy="47"/>
              <a:chOff x="70" y="88"/>
              <a:chExt cx="45" cy="47"/>
            </a:xfrm>
          </xdr:grpSpPr>
          <xdr:sp macro="" textlink="">
            <xdr:nvSpPr>
              <xdr:cNvPr id="2574" name="Text Box 526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1</a:t>
                </a:r>
                <a:endParaRPr lang="pt-BR"/>
              </a:p>
            </xdr:txBody>
          </xdr:sp>
          <xdr:sp macro="" textlink="">
            <xdr:nvSpPr>
              <xdr:cNvPr id="47012" name="Line 527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13" name="Line 528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7" name="Text Box 529"/>
              <xdr:cNvSpPr txBox="1">
                <a:spLocks noChangeArrowheads="1"/>
              </xdr:cNvSpPr>
            </xdr:nvSpPr>
            <xdr:spPr bwMode="auto">
              <a:xfrm>
                <a:off x="72" y="82"/>
                <a:ext cx="20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2578" name="Text Box 530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46765" name="Group 531"/>
          <xdr:cNvGrpSpPr>
            <a:grpSpLocks/>
          </xdr:cNvGrpSpPr>
        </xdr:nvGrpSpPr>
        <xdr:grpSpPr bwMode="auto">
          <a:xfrm>
            <a:off x="1263" y="281"/>
            <a:ext cx="80" cy="84"/>
            <a:chOff x="43" y="204"/>
            <a:chExt cx="80" cy="92"/>
          </a:xfrm>
        </xdr:grpSpPr>
        <xdr:sp macro="" textlink="">
          <xdr:nvSpPr>
            <xdr:cNvPr id="46991" name="Rectangle 532"/>
            <xdr:cNvSpPr>
              <a:spLocks noChangeArrowheads="1"/>
            </xdr:cNvSpPr>
          </xdr:nvSpPr>
          <xdr:spPr bwMode="auto">
            <a:xfrm>
              <a:off x="61" y="204"/>
              <a:ext cx="52" cy="7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46992" name="Group 533"/>
            <xdr:cNvGrpSpPr>
              <a:grpSpLocks/>
            </xdr:cNvGrpSpPr>
          </xdr:nvGrpSpPr>
          <xdr:grpSpPr bwMode="auto">
            <a:xfrm>
              <a:off x="63" y="269"/>
              <a:ext cx="47" cy="5"/>
              <a:chOff x="204" y="283"/>
              <a:chExt cx="46" cy="7"/>
            </a:xfrm>
          </xdr:grpSpPr>
          <xdr:sp macro="" textlink="">
            <xdr:nvSpPr>
              <xdr:cNvPr id="47001" name="Line 534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02" name="Line 535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03" name="Line 536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04" name="Line 537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05" name="Line 538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06" name="Line 539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88" name="Text Box 540"/>
            <xdr:cNvSpPr txBox="1">
              <a:spLocks noChangeArrowheads="1"/>
            </xdr:cNvSpPr>
          </xdr:nvSpPr>
          <xdr:spPr bwMode="auto">
            <a:xfrm>
              <a:off x="43" y="231"/>
              <a:ext cx="3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sp macro="" textlink="">
          <xdr:nvSpPr>
            <xdr:cNvPr id="2589" name="Text Box 541"/>
            <xdr:cNvSpPr txBox="1">
              <a:spLocks noChangeArrowheads="1"/>
            </xdr:cNvSpPr>
          </xdr:nvSpPr>
          <xdr:spPr bwMode="auto">
            <a:xfrm>
              <a:off x="68" y="274"/>
              <a:ext cx="5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grpSp>
          <xdr:nvGrpSpPr>
            <xdr:cNvPr id="46995" name="Group 542"/>
            <xdr:cNvGrpSpPr>
              <a:grpSpLocks/>
            </xdr:cNvGrpSpPr>
          </xdr:nvGrpSpPr>
          <xdr:grpSpPr bwMode="auto">
            <a:xfrm>
              <a:off x="71" y="213"/>
              <a:ext cx="45" cy="47"/>
              <a:chOff x="70" y="88"/>
              <a:chExt cx="45" cy="47"/>
            </a:xfrm>
          </xdr:grpSpPr>
          <xdr:sp macro="" textlink="">
            <xdr:nvSpPr>
              <xdr:cNvPr id="2591" name="Text Box 543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endParaRPr lang="pt-BR"/>
              </a:p>
            </xdr:txBody>
          </xdr:sp>
          <xdr:sp macro="" textlink="">
            <xdr:nvSpPr>
              <xdr:cNvPr id="46997" name="Line 544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98" name="Line 545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94" name="Text Box 546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2595" name="Text Box 547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46766" name="Group 548"/>
          <xdr:cNvGrpSpPr>
            <a:grpSpLocks/>
          </xdr:cNvGrpSpPr>
        </xdr:nvGrpSpPr>
        <xdr:grpSpPr bwMode="auto">
          <a:xfrm>
            <a:off x="1347" y="280"/>
            <a:ext cx="78" cy="87"/>
            <a:chOff x="44" y="337"/>
            <a:chExt cx="78" cy="94"/>
          </a:xfrm>
        </xdr:grpSpPr>
        <xdr:sp macro="" textlink="">
          <xdr:nvSpPr>
            <xdr:cNvPr id="46968" name="Rectangle 549"/>
            <xdr:cNvSpPr>
              <a:spLocks noChangeArrowheads="1"/>
            </xdr:cNvSpPr>
          </xdr:nvSpPr>
          <xdr:spPr bwMode="auto">
            <a:xfrm>
              <a:off x="60" y="337"/>
              <a:ext cx="51" cy="7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46969" name="Group 550"/>
            <xdr:cNvGrpSpPr>
              <a:grpSpLocks/>
            </xdr:cNvGrpSpPr>
          </xdr:nvGrpSpPr>
          <xdr:grpSpPr bwMode="auto">
            <a:xfrm>
              <a:off x="63" y="401"/>
              <a:ext cx="46" cy="7"/>
              <a:chOff x="204" y="283"/>
              <a:chExt cx="46" cy="7"/>
            </a:xfrm>
          </xdr:grpSpPr>
          <xdr:sp macro="" textlink="">
            <xdr:nvSpPr>
              <xdr:cNvPr id="46985" name="Line 551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86" name="Line 552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87" name="Line 553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88" name="Line 554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89" name="Line 555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90" name="Line 556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0" name="Group 557"/>
            <xdr:cNvGrpSpPr>
              <a:grpSpLocks/>
            </xdr:cNvGrpSpPr>
          </xdr:nvGrpSpPr>
          <xdr:grpSpPr bwMode="auto">
            <a:xfrm>
              <a:off x="63" y="337"/>
              <a:ext cx="46" cy="5"/>
              <a:chOff x="204" y="283"/>
              <a:chExt cx="46" cy="7"/>
            </a:xfrm>
          </xdr:grpSpPr>
          <xdr:sp macro="" textlink="">
            <xdr:nvSpPr>
              <xdr:cNvPr id="46979" name="Line 558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80" name="Line 559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81" name="Line 560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82" name="Line 561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83" name="Line 562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84" name="Line 563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12" name="Text Box 564"/>
            <xdr:cNvSpPr txBox="1">
              <a:spLocks noChangeArrowheads="1"/>
            </xdr:cNvSpPr>
          </xdr:nvSpPr>
          <xdr:spPr bwMode="auto">
            <a:xfrm>
              <a:off x="68" y="409"/>
              <a:ext cx="5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2613" name="Text Box 565"/>
            <xdr:cNvSpPr txBox="1">
              <a:spLocks noChangeArrowheads="1"/>
            </xdr:cNvSpPr>
          </xdr:nvSpPr>
          <xdr:spPr bwMode="auto">
            <a:xfrm>
              <a:off x="44" y="363"/>
              <a:ext cx="3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46973" name="Group 566"/>
            <xdr:cNvGrpSpPr>
              <a:grpSpLocks/>
            </xdr:cNvGrpSpPr>
          </xdr:nvGrpSpPr>
          <xdr:grpSpPr bwMode="auto">
            <a:xfrm>
              <a:off x="70" y="346"/>
              <a:ext cx="45" cy="47"/>
              <a:chOff x="70" y="88"/>
              <a:chExt cx="45" cy="47"/>
            </a:xfrm>
          </xdr:grpSpPr>
          <xdr:sp macro="" textlink="">
            <xdr:nvSpPr>
              <xdr:cNvPr id="2615" name="Text Box 567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endParaRPr lang="pt-BR"/>
              </a:p>
            </xdr:txBody>
          </xdr:sp>
          <xdr:sp macro="" textlink="">
            <xdr:nvSpPr>
              <xdr:cNvPr id="46975" name="Line 568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76" name="Line 569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18" name="Text Box 570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2619" name="Text Box 571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46767" name="Group 572"/>
          <xdr:cNvGrpSpPr>
            <a:grpSpLocks/>
          </xdr:cNvGrpSpPr>
        </xdr:nvGrpSpPr>
        <xdr:grpSpPr bwMode="auto">
          <a:xfrm>
            <a:off x="1179" y="383"/>
            <a:ext cx="75" cy="82"/>
            <a:chOff x="45" y="469"/>
            <a:chExt cx="75" cy="89"/>
          </a:xfrm>
        </xdr:grpSpPr>
        <xdr:sp macro="" textlink="">
          <xdr:nvSpPr>
            <xdr:cNvPr id="46948" name="Rectangle 573"/>
            <xdr:cNvSpPr>
              <a:spLocks noChangeArrowheads="1"/>
            </xdr:cNvSpPr>
          </xdr:nvSpPr>
          <xdr:spPr bwMode="auto">
            <a:xfrm>
              <a:off x="61" y="469"/>
              <a:ext cx="51" cy="6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46949" name="Group 574"/>
            <xdr:cNvGrpSpPr>
              <a:grpSpLocks/>
            </xdr:cNvGrpSpPr>
          </xdr:nvGrpSpPr>
          <xdr:grpSpPr bwMode="auto">
            <a:xfrm>
              <a:off x="61" y="471"/>
              <a:ext cx="7" cy="63"/>
              <a:chOff x="328" y="213"/>
              <a:chExt cx="7" cy="75"/>
            </a:xfrm>
          </xdr:grpSpPr>
          <xdr:sp macro="" textlink="">
            <xdr:nvSpPr>
              <xdr:cNvPr id="46958" name="Line 575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59" name="Line 576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60" name="Line 577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61" name="Line 578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62" name="Line 579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63" name="Line 580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64" name="Line 581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65" name="Line 582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66" name="Line 583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67" name="Line 584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33" name="Text Box 585"/>
            <xdr:cNvSpPr txBox="1">
              <a:spLocks noChangeArrowheads="1"/>
            </xdr:cNvSpPr>
          </xdr:nvSpPr>
          <xdr:spPr bwMode="auto">
            <a:xfrm>
              <a:off x="68" y="538"/>
              <a:ext cx="52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2634" name="Text Box 586"/>
            <xdr:cNvSpPr txBox="1">
              <a:spLocks noChangeArrowheads="1"/>
            </xdr:cNvSpPr>
          </xdr:nvSpPr>
          <xdr:spPr bwMode="auto">
            <a:xfrm>
              <a:off x="45" y="492"/>
              <a:ext cx="3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46952" name="Group 587"/>
            <xdr:cNvGrpSpPr>
              <a:grpSpLocks/>
            </xdr:cNvGrpSpPr>
          </xdr:nvGrpSpPr>
          <xdr:grpSpPr bwMode="auto">
            <a:xfrm>
              <a:off x="71" y="476"/>
              <a:ext cx="45" cy="47"/>
              <a:chOff x="70" y="88"/>
              <a:chExt cx="45" cy="47"/>
            </a:xfrm>
          </xdr:grpSpPr>
          <xdr:sp macro="" textlink="">
            <xdr:nvSpPr>
              <xdr:cNvPr id="2636" name="Text Box 588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4</a:t>
                </a:r>
                <a:endParaRPr lang="pt-BR"/>
              </a:p>
            </xdr:txBody>
          </xdr:sp>
          <xdr:sp macro="" textlink="">
            <xdr:nvSpPr>
              <xdr:cNvPr id="46954" name="Line 589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55" name="Line 590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Text Box 591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2640" name="Text Box 592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46768" name="Group 593"/>
          <xdr:cNvGrpSpPr>
            <a:grpSpLocks/>
          </xdr:cNvGrpSpPr>
        </xdr:nvGrpSpPr>
        <xdr:grpSpPr bwMode="auto">
          <a:xfrm>
            <a:off x="1264" y="384"/>
            <a:ext cx="76" cy="83"/>
            <a:chOff x="46" y="624"/>
            <a:chExt cx="76" cy="90"/>
          </a:xfrm>
        </xdr:grpSpPr>
        <xdr:sp macro="" textlink="">
          <xdr:nvSpPr>
            <xdr:cNvPr id="46921" name="Rectangle 594"/>
            <xdr:cNvSpPr>
              <a:spLocks noChangeArrowheads="1"/>
            </xdr:cNvSpPr>
          </xdr:nvSpPr>
          <xdr:spPr bwMode="auto">
            <a:xfrm>
              <a:off x="62" y="624"/>
              <a:ext cx="50" cy="6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46922" name="Group 595"/>
            <xdr:cNvGrpSpPr>
              <a:grpSpLocks/>
            </xdr:cNvGrpSpPr>
          </xdr:nvGrpSpPr>
          <xdr:grpSpPr bwMode="auto">
            <a:xfrm>
              <a:off x="66" y="686"/>
              <a:ext cx="44" cy="5"/>
              <a:chOff x="204" y="283"/>
              <a:chExt cx="46" cy="7"/>
            </a:xfrm>
          </xdr:grpSpPr>
          <xdr:sp macro="" textlink="">
            <xdr:nvSpPr>
              <xdr:cNvPr id="46942" name="Line 596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43" name="Line 597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44" name="Line 598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45" name="Line 599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46" name="Line 600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47" name="Line 601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23" name="Group 602"/>
            <xdr:cNvGrpSpPr>
              <a:grpSpLocks/>
            </xdr:cNvGrpSpPr>
          </xdr:nvGrpSpPr>
          <xdr:grpSpPr bwMode="auto">
            <a:xfrm>
              <a:off x="62" y="625"/>
              <a:ext cx="7" cy="64"/>
              <a:chOff x="328" y="213"/>
              <a:chExt cx="7" cy="75"/>
            </a:xfrm>
          </xdr:grpSpPr>
          <xdr:sp macro="" textlink="">
            <xdr:nvSpPr>
              <xdr:cNvPr id="46932" name="Line 603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33" name="Line 604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34" name="Line 605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35" name="Line 606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36" name="Line 607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37" name="Line 608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38" name="Line 609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39" name="Line 610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40" name="Line 611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41" name="Line 612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61" name="Text Box 613"/>
            <xdr:cNvSpPr txBox="1">
              <a:spLocks noChangeArrowheads="1"/>
            </xdr:cNvSpPr>
          </xdr:nvSpPr>
          <xdr:spPr bwMode="auto">
            <a:xfrm>
              <a:off x="69" y="693"/>
              <a:ext cx="53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2662" name="Text Box 614"/>
            <xdr:cNvSpPr txBox="1">
              <a:spLocks noChangeArrowheads="1"/>
            </xdr:cNvSpPr>
          </xdr:nvSpPr>
          <xdr:spPr bwMode="auto">
            <a:xfrm>
              <a:off x="46" y="647"/>
              <a:ext cx="34" cy="2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46926" name="Group 615"/>
            <xdr:cNvGrpSpPr>
              <a:grpSpLocks/>
            </xdr:cNvGrpSpPr>
          </xdr:nvGrpSpPr>
          <xdr:grpSpPr bwMode="auto">
            <a:xfrm>
              <a:off x="71" y="631"/>
              <a:ext cx="45" cy="47"/>
              <a:chOff x="70" y="88"/>
              <a:chExt cx="45" cy="47"/>
            </a:xfrm>
          </xdr:grpSpPr>
          <xdr:sp macro="" textlink="">
            <xdr:nvSpPr>
              <xdr:cNvPr id="2664" name="Text Box 616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5</a:t>
                </a:r>
                <a:endParaRPr lang="pt-BR"/>
              </a:p>
            </xdr:txBody>
          </xdr:sp>
          <xdr:sp macro="" textlink="">
            <xdr:nvSpPr>
              <xdr:cNvPr id="46928" name="Line 617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29" name="Line 618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67" name="Text Box 619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2668" name="Text Box 620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46769" name="Group 621"/>
          <xdr:cNvGrpSpPr>
            <a:grpSpLocks/>
          </xdr:cNvGrpSpPr>
        </xdr:nvGrpSpPr>
        <xdr:grpSpPr bwMode="auto">
          <a:xfrm>
            <a:off x="1345" y="384"/>
            <a:ext cx="74" cy="83"/>
            <a:chOff x="44" y="800"/>
            <a:chExt cx="74" cy="90"/>
          </a:xfrm>
        </xdr:grpSpPr>
        <xdr:sp macro="" textlink="">
          <xdr:nvSpPr>
            <xdr:cNvPr id="46887" name="Rectangle 622"/>
            <xdr:cNvSpPr>
              <a:spLocks noChangeArrowheads="1"/>
            </xdr:cNvSpPr>
          </xdr:nvSpPr>
          <xdr:spPr bwMode="auto">
            <a:xfrm>
              <a:off x="61" y="800"/>
              <a:ext cx="50" cy="6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46888" name="Group 623"/>
            <xdr:cNvGrpSpPr>
              <a:grpSpLocks/>
            </xdr:cNvGrpSpPr>
          </xdr:nvGrpSpPr>
          <xdr:grpSpPr bwMode="auto">
            <a:xfrm>
              <a:off x="67" y="863"/>
              <a:ext cx="43" cy="5"/>
              <a:chOff x="204" y="283"/>
              <a:chExt cx="46" cy="7"/>
            </a:xfrm>
          </xdr:grpSpPr>
          <xdr:sp macro="" textlink="">
            <xdr:nvSpPr>
              <xdr:cNvPr id="46915" name="Line 624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16" name="Line 625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17" name="Line 626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18" name="Line 627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19" name="Line 628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20" name="Line 629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89" name="Group 630"/>
            <xdr:cNvGrpSpPr>
              <a:grpSpLocks/>
            </xdr:cNvGrpSpPr>
          </xdr:nvGrpSpPr>
          <xdr:grpSpPr bwMode="auto">
            <a:xfrm>
              <a:off x="61" y="802"/>
              <a:ext cx="7" cy="64"/>
              <a:chOff x="328" y="213"/>
              <a:chExt cx="7" cy="75"/>
            </a:xfrm>
          </xdr:grpSpPr>
          <xdr:sp macro="" textlink="">
            <xdr:nvSpPr>
              <xdr:cNvPr id="46905" name="Line 631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06" name="Line 632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07" name="Line 633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08" name="Line 634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09" name="Line 635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10" name="Line 636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11" name="Line 637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12" name="Line 638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13" name="Line 639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14" name="Line 640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90" name="Group 641"/>
            <xdr:cNvGrpSpPr>
              <a:grpSpLocks/>
            </xdr:cNvGrpSpPr>
          </xdr:nvGrpSpPr>
          <xdr:grpSpPr bwMode="auto">
            <a:xfrm>
              <a:off x="66" y="800"/>
              <a:ext cx="43" cy="5"/>
              <a:chOff x="204" y="283"/>
              <a:chExt cx="46" cy="7"/>
            </a:xfrm>
          </xdr:grpSpPr>
          <xdr:sp macro="" textlink="">
            <xdr:nvSpPr>
              <xdr:cNvPr id="46899" name="Line 642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00" name="Line 643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01" name="Line 644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02" name="Line 645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03" name="Line 646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04" name="Line 647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96" name="Text Box 648"/>
            <xdr:cNvSpPr txBox="1">
              <a:spLocks noChangeArrowheads="1"/>
            </xdr:cNvSpPr>
          </xdr:nvSpPr>
          <xdr:spPr bwMode="auto">
            <a:xfrm>
              <a:off x="67" y="868"/>
              <a:ext cx="51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2697" name="Text Box 649"/>
            <xdr:cNvSpPr txBox="1">
              <a:spLocks noChangeArrowheads="1"/>
            </xdr:cNvSpPr>
          </xdr:nvSpPr>
          <xdr:spPr bwMode="auto">
            <a:xfrm>
              <a:off x="44" y="826"/>
              <a:ext cx="33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46893" name="Group 650"/>
            <xdr:cNvGrpSpPr>
              <a:grpSpLocks/>
            </xdr:cNvGrpSpPr>
          </xdr:nvGrpSpPr>
          <xdr:grpSpPr bwMode="auto">
            <a:xfrm>
              <a:off x="70" y="808"/>
              <a:ext cx="45" cy="47"/>
              <a:chOff x="70" y="88"/>
              <a:chExt cx="45" cy="47"/>
            </a:xfrm>
          </xdr:grpSpPr>
          <xdr:sp macro="" textlink="">
            <xdr:nvSpPr>
              <xdr:cNvPr id="2699" name="Text Box 651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6</a:t>
                </a:r>
                <a:endParaRPr lang="pt-BR"/>
              </a:p>
            </xdr:txBody>
          </xdr:sp>
          <xdr:sp macro="" textlink="">
            <xdr:nvSpPr>
              <xdr:cNvPr id="46895" name="Line 652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96" name="Line 653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Text Box 654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2703" name="Text Box 655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46770" name="Group 656"/>
          <xdr:cNvGrpSpPr>
            <a:grpSpLocks/>
          </xdr:cNvGrpSpPr>
        </xdr:nvGrpSpPr>
        <xdr:grpSpPr bwMode="auto">
          <a:xfrm>
            <a:off x="1178" y="482"/>
            <a:ext cx="79" cy="87"/>
            <a:chOff x="40" y="938"/>
            <a:chExt cx="79" cy="95"/>
          </a:xfrm>
        </xdr:grpSpPr>
        <xdr:sp macro="" textlink="">
          <xdr:nvSpPr>
            <xdr:cNvPr id="46856" name="Rectangle 657"/>
            <xdr:cNvSpPr>
              <a:spLocks noChangeArrowheads="1"/>
            </xdr:cNvSpPr>
          </xdr:nvSpPr>
          <xdr:spPr bwMode="auto">
            <a:xfrm>
              <a:off x="58" y="938"/>
              <a:ext cx="53" cy="7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46857" name="Group 658"/>
            <xdr:cNvGrpSpPr>
              <a:grpSpLocks/>
            </xdr:cNvGrpSpPr>
          </xdr:nvGrpSpPr>
          <xdr:grpSpPr bwMode="auto">
            <a:xfrm>
              <a:off x="104" y="941"/>
              <a:ext cx="7" cy="67"/>
              <a:chOff x="328" y="213"/>
              <a:chExt cx="7" cy="75"/>
            </a:xfrm>
          </xdr:grpSpPr>
          <xdr:sp macro="" textlink="">
            <xdr:nvSpPr>
              <xdr:cNvPr id="46877" name="Line 659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78" name="Line 660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79" name="Line 661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80" name="Line 662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81" name="Line 663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82" name="Line 664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83" name="Line 665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84" name="Line 666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85" name="Line 667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86" name="Line 668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58" name="Group 669"/>
            <xdr:cNvGrpSpPr>
              <a:grpSpLocks/>
            </xdr:cNvGrpSpPr>
          </xdr:nvGrpSpPr>
          <xdr:grpSpPr bwMode="auto">
            <a:xfrm>
              <a:off x="58" y="940"/>
              <a:ext cx="7" cy="67"/>
              <a:chOff x="328" y="213"/>
              <a:chExt cx="7" cy="75"/>
            </a:xfrm>
          </xdr:grpSpPr>
          <xdr:sp macro="" textlink="">
            <xdr:nvSpPr>
              <xdr:cNvPr id="46867" name="Line 670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68" name="Line 671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69" name="Line 672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70" name="Line 673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71" name="Line 674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72" name="Line 675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73" name="Line 676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74" name="Line 677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75" name="Line 678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76" name="Line 679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28" name="Text Box 680"/>
            <xdr:cNvSpPr txBox="1">
              <a:spLocks noChangeArrowheads="1"/>
            </xdr:cNvSpPr>
          </xdr:nvSpPr>
          <xdr:spPr bwMode="auto">
            <a:xfrm>
              <a:off x="65" y="1011"/>
              <a:ext cx="5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2729" name="Text Box 681"/>
            <xdr:cNvSpPr txBox="1">
              <a:spLocks noChangeArrowheads="1"/>
            </xdr:cNvSpPr>
          </xdr:nvSpPr>
          <xdr:spPr bwMode="auto">
            <a:xfrm>
              <a:off x="40" y="963"/>
              <a:ext cx="3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46861" name="Group 682"/>
            <xdr:cNvGrpSpPr>
              <a:grpSpLocks/>
            </xdr:cNvGrpSpPr>
          </xdr:nvGrpSpPr>
          <xdr:grpSpPr bwMode="auto">
            <a:xfrm>
              <a:off x="69" y="948"/>
              <a:ext cx="45" cy="47"/>
              <a:chOff x="70" y="88"/>
              <a:chExt cx="45" cy="47"/>
            </a:xfrm>
          </xdr:grpSpPr>
          <xdr:sp macro="" textlink="">
            <xdr:nvSpPr>
              <xdr:cNvPr id="2731" name="Text Box 683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7</a:t>
                </a:r>
                <a:endParaRPr lang="pt-BR"/>
              </a:p>
            </xdr:txBody>
          </xdr:sp>
          <xdr:sp macro="" textlink="">
            <xdr:nvSpPr>
              <xdr:cNvPr id="46863" name="Line 684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64" name="Line 685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34" name="Text Box 686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2735" name="Text Box 687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46771" name="Group 688"/>
          <xdr:cNvGrpSpPr>
            <a:grpSpLocks/>
          </xdr:cNvGrpSpPr>
        </xdr:nvGrpSpPr>
        <xdr:grpSpPr bwMode="auto">
          <a:xfrm>
            <a:off x="1267" y="483"/>
            <a:ext cx="73" cy="83"/>
            <a:chOff x="44" y="1078"/>
            <a:chExt cx="73" cy="90"/>
          </a:xfrm>
        </xdr:grpSpPr>
        <xdr:sp macro="" textlink="">
          <xdr:nvSpPr>
            <xdr:cNvPr id="46818" name="Rectangle 689"/>
            <xdr:cNvSpPr>
              <a:spLocks noChangeArrowheads="1"/>
            </xdr:cNvSpPr>
          </xdr:nvSpPr>
          <xdr:spPr bwMode="auto">
            <a:xfrm>
              <a:off x="59" y="1078"/>
              <a:ext cx="51" cy="6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46819" name="Group 690"/>
            <xdr:cNvGrpSpPr>
              <a:grpSpLocks/>
            </xdr:cNvGrpSpPr>
          </xdr:nvGrpSpPr>
          <xdr:grpSpPr bwMode="auto">
            <a:xfrm>
              <a:off x="66" y="1140"/>
              <a:ext cx="42" cy="6"/>
              <a:chOff x="204" y="283"/>
              <a:chExt cx="46" cy="7"/>
            </a:xfrm>
          </xdr:grpSpPr>
          <xdr:sp macro="" textlink="">
            <xdr:nvSpPr>
              <xdr:cNvPr id="46850" name="Line 691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51" name="Line 692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52" name="Line 693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53" name="Line 694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54" name="Line 695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55" name="Line 696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20" name="Group 697"/>
            <xdr:cNvGrpSpPr>
              <a:grpSpLocks/>
            </xdr:cNvGrpSpPr>
          </xdr:nvGrpSpPr>
          <xdr:grpSpPr bwMode="auto">
            <a:xfrm>
              <a:off x="102" y="1081"/>
              <a:ext cx="8" cy="63"/>
              <a:chOff x="328" y="213"/>
              <a:chExt cx="7" cy="75"/>
            </a:xfrm>
          </xdr:grpSpPr>
          <xdr:sp macro="" textlink="">
            <xdr:nvSpPr>
              <xdr:cNvPr id="46840" name="Line 698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41" name="Line 699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42" name="Line 700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43" name="Line 701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44" name="Line 702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45" name="Line 703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46" name="Line 704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47" name="Line 705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48" name="Line 706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49" name="Line 707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21" name="Group 708"/>
            <xdr:cNvGrpSpPr>
              <a:grpSpLocks/>
            </xdr:cNvGrpSpPr>
          </xdr:nvGrpSpPr>
          <xdr:grpSpPr bwMode="auto">
            <a:xfrm>
              <a:off x="59" y="1080"/>
              <a:ext cx="7" cy="63"/>
              <a:chOff x="328" y="213"/>
              <a:chExt cx="7" cy="75"/>
            </a:xfrm>
          </xdr:grpSpPr>
          <xdr:sp macro="" textlink="">
            <xdr:nvSpPr>
              <xdr:cNvPr id="46830" name="Line 709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31" name="Line 710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32" name="Line 711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33" name="Line 712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34" name="Line 713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35" name="Line 714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36" name="Line 715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37" name="Line 716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38" name="Line 717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39" name="Line 718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67" name="Text Box 719"/>
            <xdr:cNvSpPr txBox="1">
              <a:spLocks noChangeArrowheads="1"/>
            </xdr:cNvSpPr>
          </xdr:nvSpPr>
          <xdr:spPr bwMode="auto">
            <a:xfrm>
              <a:off x="66" y="1147"/>
              <a:ext cx="51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2768" name="Text Box 720"/>
            <xdr:cNvSpPr txBox="1">
              <a:spLocks noChangeArrowheads="1"/>
            </xdr:cNvSpPr>
          </xdr:nvSpPr>
          <xdr:spPr bwMode="auto">
            <a:xfrm>
              <a:off x="44" y="1105"/>
              <a:ext cx="33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46824" name="Group 721"/>
            <xdr:cNvGrpSpPr>
              <a:grpSpLocks/>
            </xdr:cNvGrpSpPr>
          </xdr:nvGrpSpPr>
          <xdr:grpSpPr bwMode="auto">
            <a:xfrm>
              <a:off x="67" y="1086"/>
              <a:ext cx="45" cy="47"/>
              <a:chOff x="70" y="88"/>
              <a:chExt cx="45" cy="47"/>
            </a:xfrm>
          </xdr:grpSpPr>
          <xdr:sp macro="" textlink="">
            <xdr:nvSpPr>
              <xdr:cNvPr id="2770" name="Text Box 722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8</a:t>
                </a:r>
                <a:endParaRPr lang="pt-BR"/>
              </a:p>
            </xdr:txBody>
          </xdr:sp>
          <xdr:sp macro="" textlink="">
            <xdr:nvSpPr>
              <xdr:cNvPr id="46826" name="Line 723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27" name="Line 724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3" name="Text Box 725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2774" name="Text Box 726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46772" name="Group 727"/>
          <xdr:cNvGrpSpPr>
            <a:grpSpLocks/>
          </xdr:cNvGrpSpPr>
        </xdr:nvGrpSpPr>
        <xdr:grpSpPr bwMode="auto">
          <a:xfrm>
            <a:off x="1347" y="483"/>
            <a:ext cx="74" cy="81"/>
            <a:chOff x="43" y="1227"/>
            <a:chExt cx="74" cy="89"/>
          </a:xfrm>
        </xdr:grpSpPr>
        <xdr:sp macro="" textlink="">
          <xdr:nvSpPr>
            <xdr:cNvPr id="46773" name="Rectangle 728"/>
            <xdr:cNvSpPr>
              <a:spLocks noChangeArrowheads="1"/>
            </xdr:cNvSpPr>
          </xdr:nvSpPr>
          <xdr:spPr bwMode="auto">
            <a:xfrm>
              <a:off x="60" y="1227"/>
              <a:ext cx="50" cy="6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46774" name="Group 729"/>
            <xdr:cNvGrpSpPr>
              <a:grpSpLocks/>
            </xdr:cNvGrpSpPr>
          </xdr:nvGrpSpPr>
          <xdr:grpSpPr bwMode="auto">
            <a:xfrm>
              <a:off x="66" y="1288"/>
              <a:ext cx="42" cy="7"/>
              <a:chOff x="204" y="283"/>
              <a:chExt cx="46" cy="7"/>
            </a:xfrm>
          </xdr:grpSpPr>
          <xdr:sp macro="" textlink="">
            <xdr:nvSpPr>
              <xdr:cNvPr id="46812" name="Line 730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13" name="Line 731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14" name="Line 732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15" name="Line 733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16" name="Line 734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17" name="Line 735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775" name="Group 736"/>
            <xdr:cNvGrpSpPr>
              <a:grpSpLocks/>
            </xdr:cNvGrpSpPr>
          </xdr:nvGrpSpPr>
          <xdr:grpSpPr bwMode="auto">
            <a:xfrm>
              <a:off x="103" y="1230"/>
              <a:ext cx="7" cy="63"/>
              <a:chOff x="328" y="213"/>
              <a:chExt cx="7" cy="75"/>
            </a:xfrm>
          </xdr:grpSpPr>
          <xdr:sp macro="" textlink="">
            <xdr:nvSpPr>
              <xdr:cNvPr id="46802" name="Line 737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03" name="Line 738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04" name="Line 739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05" name="Line 740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06" name="Line 741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07" name="Line 742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08" name="Line 743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09" name="Line 744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10" name="Line 745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11" name="Line 746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776" name="Group 747"/>
            <xdr:cNvGrpSpPr>
              <a:grpSpLocks/>
            </xdr:cNvGrpSpPr>
          </xdr:nvGrpSpPr>
          <xdr:grpSpPr bwMode="auto">
            <a:xfrm>
              <a:off x="61" y="1229"/>
              <a:ext cx="7" cy="62"/>
              <a:chOff x="328" y="213"/>
              <a:chExt cx="7" cy="75"/>
            </a:xfrm>
          </xdr:grpSpPr>
          <xdr:sp macro="" textlink="">
            <xdr:nvSpPr>
              <xdr:cNvPr id="46792" name="Line 748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793" name="Line 749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794" name="Line 750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795" name="Line 751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796" name="Line 752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797" name="Line 753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798" name="Line 754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799" name="Line 755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00" name="Line 756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801" name="Line 757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777" name="Group 758"/>
            <xdr:cNvGrpSpPr>
              <a:grpSpLocks/>
            </xdr:cNvGrpSpPr>
          </xdr:nvGrpSpPr>
          <xdr:grpSpPr bwMode="auto">
            <a:xfrm>
              <a:off x="63" y="1227"/>
              <a:ext cx="42" cy="6"/>
              <a:chOff x="204" y="283"/>
              <a:chExt cx="46" cy="7"/>
            </a:xfrm>
          </xdr:grpSpPr>
          <xdr:sp macro="" textlink="">
            <xdr:nvSpPr>
              <xdr:cNvPr id="46786" name="Line 759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787" name="Line 760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788" name="Line 761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789" name="Line 762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790" name="Line 763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791" name="Line 764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3" name="Text Box 765"/>
            <xdr:cNvSpPr txBox="1">
              <a:spLocks noChangeArrowheads="1"/>
            </xdr:cNvSpPr>
          </xdr:nvSpPr>
          <xdr:spPr bwMode="auto">
            <a:xfrm>
              <a:off x="66" y="1295"/>
              <a:ext cx="51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2814" name="Text Box 766"/>
            <xdr:cNvSpPr txBox="1">
              <a:spLocks noChangeArrowheads="1"/>
            </xdr:cNvSpPr>
          </xdr:nvSpPr>
          <xdr:spPr bwMode="auto">
            <a:xfrm>
              <a:off x="43" y="1252"/>
              <a:ext cx="33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46780" name="Group 767"/>
            <xdr:cNvGrpSpPr>
              <a:grpSpLocks/>
            </xdr:cNvGrpSpPr>
          </xdr:nvGrpSpPr>
          <xdr:grpSpPr bwMode="auto">
            <a:xfrm>
              <a:off x="69" y="1234"/>
              <a:ext cx="45" cy="47"/>
              <a:chOff x="70" y="88"/>
              <a:chExt cx="45" cy="47"/>
            </a:xfrm>
          </xdr:grpSpPr>
          <xdr:sp macro="" textlink="">
            <xdr:nvSpPr>
              <xdr:cNvPr id="2816" name="Text Box 768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9</a:t>
                </a:r>
                <a:endParaRPr lang="pt-BR"/>
              </a:p>
            </xdr:txBody>
          </xdr:sp>
          <xdr:sp macro="" textlink="">
            <xdr:nvSpPr>
              <xdr:cNvPr id="46782" name="Line 769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783" name="Line 770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9" name="Text Box 771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2820" name="Text Box 772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8</xdr:row>
          <xdr:rowOff>9525</xdr:rowOff>
        </xdr:from>
        <xdr:to>
          <xdr:col>9</xdr:col>
          <xdr:colOff>9525</xdr:colOff>
          <xdr:row>9</xdr:row>
          <xdr:rowOff>104775</xdr:rowOff>
        </xdr:to>
        <xdr:grpSp>
          <xdr:nvGrpSpPr>
            <xdr:cNvPr id="46763" name="Group 1031"/>
            <xdr:cNvGrpSpPr>
              <a:grpSpLocks/>
            </xdr:cNvGrpSpPr>
          </xdr:nvGrpSpPr>
          <xdr:grpSpPr bwMode="auto">
            <a:xfrm>
              <a:off x="2524125" y="1323975"/>
              <a:ext cx="2847975" cy="266700"/>
              <a:chOff x="338" y="110"/>
              <a:chExt cx="160" cy="28"/>
            </a:xfrm>
          </xdr:grpSpPr>
          <xdr:sp macro="" textlink="">
            <xdr:nvSpPr>
              <xdr:cNvPr id="3023" name="Option Button 975" hidden="1">
                <a:extLst>
                  <a:ext uri="{63B3BB69-23CF-44E3-9099-C40C66FF867C}">
                    <a14:compatExt spid="_x0000_s3023"/>
                  </a:ext>
                </a:extLst>
              </xdr:cNvPr>
              <xdr:cNvSpPr/>
            </xdr:nvSpPr>
            <xdr:spPr bwMode="auto">
              <a:xfrm>
                <a:off x="344" y="115"/>
                <a:ext cx="65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MACIÇA</a:t>
                </a:r>
              </a:p>
            </xdr:txBody>
          </xdr:sp>
          <xdr:sp macro="" textlink="">
            <xdr:nvSpPr>
              <xdr:cNvPr id="3024" name="Option Button 976" hidden="1">
                <a:extLst>
                  <a:ext uri="{63B3BB69-23CF-44E3-9099-C40C66FF867C}">
                    <a14:compatExt spid="_x0000_s3024"/>
                  </a:ext>
                </a:extLst>
              </xdr:cNvPr>
              <xdr:cNvSpPr/>
            </xdr:nvSpPr>
            <xdr:spPr bwMode="auto">
              <a:xfrm>
                <a:off x="410" y="115"/>
                <a:ext cx="88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NERVURADA</a:t>
                </a:r>
              </a:p>
            </xdr:txBody>
          </xdr:sp>
          <xdr:sp macro="" textlink="">
            <xdr:nvSpPr>
              <xdr:cNvPr id="34821" name="Group Box 1029" hidden="1">
                <a:extLst>
                  <a:ext uri="{63B3BB69-23CF-44E3-9099-C40C66FF867C}">
                    <a14:compatExt spid="_x0000_s34821"/>
                  </a:ext>
                </a:extLst>
              </xdr:cNvPr>
              <xdr:cNvSpPr/>
            </xdr:nvSpPr>
            <xdr:spPr bwMode="auto">
              <a:xfrm>
                <a:off x="338" y="110"/>
                <a:ext cx="160" cy="2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Laje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295275</xdr:colOff>
      <xdr:row>20</xdr:row>
      <xdr:rowOff>85725</xdr:rowOff>
    </xdr:from>
    <xdr:to>
      <xdr:col>16</xdr:col>
      <xdr:colOff>371475</xdr:colOff>
      <xdr:row>130</xdr:row>
      <xdr:rowOff>66675</xdr:rowOff>
    </xdr:to>
    <xdr:grpSp>
      <xdr:nvGrpSpPr>
        <xdr:cNvPr id="53316" name="Group 2782"/>
        <xdr:cNvGrpSpPr>
          <a:grpSpLocks/>
        </xdr:cNvGrpSpPr>
      </xdr:nvGrpSpPr>
      <xdr:grpSpPr bwMode="auto">
        <a:xfrm>
          <a:off x="9886950" y="3419475"/>
          <a:ext cx="790575" cy="16744950"/>
          <a:chOff x="894" y="353"/>
          <a:chExt cx="83" cy="1758"/>
        </a:xfrm>
      </xdr:grpSpPr>
      <xdr:grpSp>
        <xdr:nvGrpSpPr>
          <xdr:cNvPr id="55341" name="Group 252"/>
          <xdr:cNvGrpSpPr>
            <a:grpSpLocks/>
          </xdr:cNvGrpSpPr>
        </xdr:nvGrpSpPr>
        <xdr:grpSpPr bwMode="auto">
          <a:xfrm>
            <a:off x="897" y="353"/>
            <a:ext cx="75" cy="88"/>
            <a:chOff x="44" y="82"/>
            <a:chExt cx="75" cy="90"/>
          </a:xfrm>
        </xdr:grpSpPr>
        <xdr:sp macro="" textlink="">
          <xdr:nvSpPr>
            <xdr:cNvPr id="55584" name="Rectangle 253"/>
            <xdr:cNvSpPr>
              <a:spLocks noChangeArrowheads="1"/>
            </xdr:cNvSpPr>
          </xdr:nvSpPr>
          <xdr:spPr bwMode="auto">
            <a:xfrm>
              <a:off x="61" y="82"/>
              <a:ext cx="51" cy="6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3326" name="Text Box 254"/>
            <xdr:cNvSpPr txBox="1">
              <a:spLocks noChangeArrowheads="1"/>
            </xdr:cNvSpPr>
          </xdr:nvSpPr>
          <xdr:spPr bwMode="auto">
            <a:xfrm>
              <a:off x="67" y="150"/>
              <a:ext cx="52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3327" name="Text Box 255"/>
            <xdr:cNvSpPr txBox="1">
              <a:spLocks noChangeArrowheads="1"/>
            </xdr:cNvSpPr>
          </xdr:nvSpPr>
          <xdr:spPr bwMode="auto">
            <a:xfrm>
              <a:off x="44" y="105"/>
              <a:ext cx="34" cy="1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5587" name="Group 256"/>
            <xdr:cNvGrpSpPr>
              <a:grpSpLocks/>
            </xdr:cNvGrpSpPr>
          </xdr:nvGrpSpPr>
          <xdr:grpSpPr bwMode="auto">
            <a:xfrm>
              <a:off x="70" y="88"/>
              <a:ext cx="45" cy="47"/>
              <a:chOff x="70" y="88"/>
              <a:chExt cx="45" cy="47"/>
            </a:xfrm>
          </xdr:grpSpPr>
          <xdr:sp macro="" textlink="">
            <xdr:nvSpPr>
              <xdr:cNvPr id="3329" name="Text Box 257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1</a:t>
                </a:r>
                <a:endParaRPr lang="pt-BR"/>
              </a:p>
            </xdr:txBody>
          </xdr:sp>
          <xdr:sp macro="" textlink="">
            <xdr:nvSpPr>
              <xdr:cNvPr id="55589" name="Line 258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90" name="Line 259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Text Box 260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3333" name="Text Box 261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5342" name="Group 262"/>
          <xdr:cNvGrpSpPr>
            <a:grpSpLocks/>
          </xdr:cNvGrpSpPr>
        </xdr:nvGrpSpPr>
        <xdr:grpSpPr bwMode="auto">
          <a:xfrm>
            <a:off x="899" y="558"/>
            <a:ext cx="76" cy="90"/>
            <a:chOff x="43" y="204"/>
            <a:chExt cx="80" cy="92"/>
          </a:xfrm>
        </xdr:grpSpPr>
        <xdr:sp macro="" textlink="">
          <xdr:nvSpPr>
            <xdr:cNvPr id="55568" name="Rectangle 263"/>
            <xdr:cNvSpPr>
              <a:spLocks noChangeArrowheads="1"/>
            </xdr:cNvSpPr>
          </xdr:nvSpPr>
          <xdr:spPr bwMode="auto">
            <a:xfrm>
              <a:off x="61" y="204"/>
              <a:ext cx="52" cy="7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5569" name="Group 264"/>
            <xdr:cNvGrpSpPr>
              <a:grpSpLocks/>
            </xdr:cNvGrpSpPr>
          </xdr:nvGrpSpPr>
          <xdr:grpSpPr bwMode="auto">
            <a:xfrm>
              <a:off x="63" y="269"/>
              <a:ext cx="47" cy="5"/>
              <a:chOff x="204" y="283"/>
              <a:chExt cx="46" cy="7"/>
            </a:xfrm>
          </xdr:grpSpPr>
          <xdr:sp macro="" textlink="">
            <xdr:nvSpPr>
              <xdr:cNvPr id="55578" name="Line 265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79" name="Line 266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80" name="Line 267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81" name="Line 268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82" name="Line 269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83" name="Line 270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43" name="Text Box 271"/>
            <xdr:cNvSpPr txBox="1">
              <a:spLocks noChangeArrowheads="1"/>
            </xdr:cNvSpPr>
          </xdr:nvSpPr>
          <xdr:spPr bwMode="auto">
            <a:xfrm>
              <a:off x="43" y="231"/>
              <a:ext cx="3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sp macro="" textlink="">
          <xdr:nvSpPr>
            <xdr:cNvPr id="3344" name="Text Box 272"/>
            <xdr:cNvSpPr txBox="1">
              <a:spLocks noChangeArrowheads="1"/>
            </xdr:cNvSpPr>
          </xdr:nvSpPr>
          <xdr:spPr bwMode="auto">
            <a:xfrm>
              <a:off x="68" y="274"/>
              <a:ext cx="5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grpSp>
          <xdr:nvGrpSpPr>
            <xdr:cNvPr id="55572" name="Group 273"/>
            <xdr:cNvGrpSpPr>
              <a:grpSpLocks/>
            </xdr:cNvGrpSpPr>
          </xdr:nvGrpSpPr>
          <xdr:grpSpPr bwMode="auto">
            <a:xfrm>
              <a:off x="71" y="213"/>
              <a:ext cx="45" cy="47"/>
              <a:chOff x="70" y="88"/>
              <a:chExt cx="45" cy="47"/>
            </a:xfrm>
          </xdr:grpSpPr>
          <xdr:sp macro="" textlink="">
            <xdr:nvSpPr>
              <xdr:cNvPr id="3346" name="Text Box 274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endParaRPr lang="pt-BR"/>
              </a:p>
            </xdr:txBody>
          </xdr:sp>
          <xdr:sp macro="" textlink="">
            <xdr:nvSpPr>
              <xdr:cNvPr id="55574" name="Line 275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75" name="Line 276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49" name="Text Box 277"/>
              <xdr:cNvSpPr txBox="1">
                <a:spLocks noChangeArrowheads="1"/>
              </xdr:cNvSpPr>
            </xdr:nvSpPr>
            <xdr:spPr bwMode="auto">
              <a:xfrm>
                <a:off x="78" y="88"/>
                <a:ext cx="15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3350" name="Text Box 278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5343" name="Group 279"/>
          <xdr:cNvGrpSpPr>
            <a:grpSpLocks/>
          </xdr:cNvGrpSpPr>
        </xdr:nvGrpSpPr>
        <xdr:grpSpPr bwMode="auto">
          <a:xfrm>
            <a:off x="899" y="771"/>
            <a:ext cx="78" cy="93"/>
            <a:chOff x="44" y="337"/>
            <a:chExt cx="78" cy="94"/>
          </a:xfrm>
        </xdr:grpSpPr>
        <xdr:sp macro="" textlink="">
          <xdr:nvSpPr>
            <xdr:cNvPr id="55545" name="Rectangle 280"/>
            <xdr:cNvSpPr>
              <a:spLocks noChangeArrowheads="1"/>
            </xdr:cNvSpPr>
          </xdr:nvSpPr>
          <xdr:spPr bwMode="auto">
            <a:xfrm>
              <a:off x="60" y="337"/>
              <a:ext cx="51" cy="7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5546" name="Group 281"/>
            <xdr:cNvGrpSpPr>
              <a:grpSpLocks/>
            </xdr:cNvGrpSpPr>
          </xdr:nvGrpSpPr>
          <xdr:grpSpPr bwMode="auto">
            <a:xfrm>
              <a:off x="63" y="401"/>
              <a:ext cx="46" cy="7"/>
              <a:chOff x="204" y="283"/>
              <a:chExt cx="46" cy="7"/>
            </a:xfrm>
          </xdr:grpSpPr>
          <xdr:sp macro="" textlink="">
            <xdr:nvSpPr>
              <xdr:cNvPr id="55562" name="Line 282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63" name="Line 283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64" name="Line 284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65" name="Line 285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66" name="Line 286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67" name="Line 287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547" name="Group 288"/>
            <xdr:cNvGrpSpPr>
              <a:grpSpLocks/>
            </xdr:cNvGrpSpPr>
          </xdr:nvGrpSpPr>
          <xdr:grpSpPr bwMode="auto">
            <a:xfrm>
              <a:off x="63" y="337"/>
              <a:ext cx="46" cy="5"/>
              <a:chOff x="204" y="283"/>
              <a:chExt cx="46" cy="7"/>
            </a:xfrm>
          </xdr:grpSpPr>
          <xdr:sp macro="" textlink="">
            <xdr:nvSpPr>
              <xdr:cNvPr id="55556" name="Line 289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57" name="Line 290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58" name="Line 291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59" name="Line 292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60" name="Line 293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61" name="Line 294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7" name="Text Box 295"/>
            <xdr:cNvSpPr txBox="1">
              <a:spLocks noChangeArrowheads="1"/>
            </xdr:cNvSpPr>
          </xdr:nvSpPr>
          <xdr:spPr bwMode="auto">
            <a:xfrm>
              <a:off x="68" y="409"/>
              <a:ext cx="5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3368" name="Text Box 296"/>
            <xdr:cNvSpPr txBox="1">
              <a:spLocks noChangeArrowheads="1"/>
            </xdr:cNvSpPr>
          </xdr:nvSpPr>
          <xdr:spPr bwMode="auto">
            <a:xfrm>
              <a:off x="44" y="363"/>
              <a:ext cx="35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5550" name="Group 297"/>
            <xdr:cNvGrpSpPr>
              <a:grpSpLocks/>
            </xdr:cNvGrpSpPr>
          </xdr:nvGrpSpPr>
          <xdr:grpSpPr bwMode="auto">
            <a:xfrm>
              <a:off x="70" y="346"/>
              <a:ext cx="45" cy="47"/>
              <a:chOff x="70" y="88"/>
              <a:chExt cx="45" cy="47"/>
            </a:xfrm>
          </xdr:grpSpPr>
          <xdr:sp macro="" textlink="">
            <xdr:nvSpPr>
              <xdr:cNvPr id="3370" name="Text Box 298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endParaRPr lang="pt-BR"/>
              </a:p>
            </xdr:txBody>
          </xdr:sp>
          <xdr:sp macro="" textlink="">
            <xdr:nvSpPr>
              <xdr:cNvPr id="55552" name="Line 299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53" name="Line 300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73" name="Text Box 301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3374" name="Text Box 302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5344" name="Group 303"/>
          <xdr:cNvGrpSpPr>
            <a:grpSpLocks/>
          </xdr:cNvGrpSpPr>
        </xdr:nvGrpSpPr>
        <xdr:grpSpPr bwMode="auto">
          <a:xfrm>
            <a:off x="897" y="979"/>
            <a:ext cx="75" cy="88"/>
            <a:chOff x="45" y="469"/>
            <a:chExt cx="75" cy="89"/>
          </a:xfrm>
        </xdr:grpSpPr>
        <xdr:sp macro="" textlink="">
          <xdr:nvSpPr>
            <xdr:cNvPr id="55525" name="Rectangle 304"/>
            <xdr:cNvSpPr>
              <a:spLocks noChangeArrowheads="1"/>
            </xdr:cNvSpPr>
          </xdr:nvSpPr>
          <xdr:spPr bwMode="auto">
            <a:xfrm>
              <a:off x="61" y="469"/>
              <a:ext cx="51" cy="6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5526" name="Group 305"/>
            <xdr:cNvGrpSpPr>
              <a:grpSpLocks/>
            </xdr:cNvGrpSpPr>
          </xdr:nvGrpSpPr>
          <xdr:grpSpPr bwMode="auto">
            <a:xfrm>
              <a:off x="61" y="471"/>
              <a:ext cx="7" cy="63"/>
              <a:chOff x="328" y="213"/>
              <a:chExt cx="7" cy="75"/>
            </a:xfrm>
          </xdr:grpSpPr>
          <xdr:sp macro="" textlink="">
            <xdr:nvSpPr>
              <xdr:cNvPr id="55535" name="Line 306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36" name="Line 307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37" name="Line 308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38" name="Line 309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39" name="Line 310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40" name="Line 311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41" name="Line 312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42" name="Line 313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43" name="Line 314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44" name="Line 315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8" name="Text Box 316"/>
            <xdr:cNvSpPr txBox="1">
              <a:spLocks noChangeArrowheads="1"/>
            </xdr:cNvSpPr>
          </xdr:nvSpPr>
          <xdr:spPr bwMode="auto">
            <a:xfrm>
              <a:off x="68" y="538"/>
              <a:ext cx="52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3389" name="Text Box 317"/>
            <xdr:cNvSpPr txBox="1">
              <a:spLocks noChangeArrowheads="1"/>
            </xdr:cNvSpPr>
          </xdr:nvSpPr>
          <xdr:spPr bwMode="auto">
            <a:xfrm>
              <a:off x="45" y="492"/>
              <a:ext cx="34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5529" name="Group 318"/>
            <xdr:cNvGrpSpPr>
              <a:grpSpLocks/>
            </xdr:cNvGrpSpPr>
          </xdr:nvGrpSpPr>
          <xdr:grpSpPr bwMode="auto">
            <a:xfrm>
              <a:off x="71" y="476"/>
              <a:ext cx="45" cy="47"/>
              <a:chOff x="70" y="88"/>
              <a:chExt cx="45" cy="47"/>
            </a:xfrm>
          </xdr:grpSpPr>
          <xdr:sp macro="" textlink="">
            <xdr:nvSpPr>
              <xdr:cNvPr id="3391" name="Text Box 319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4</a:t>
                </a:r>
                <a:endParaRPr lang="pt-BR"/>
              </a:p>
            </xdr:txBody>
          </xdr:sp>
          <xdr:sp macro="" textlink="">
            <xdr:nvSpPr>
              <xdr:cNvPr id="55531" name="Line 320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32" name="Line 321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4" name="Text Box 322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3395" name="Text Box 323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5345" name="Group 324"/>
          <xdr:cNvGrpSpPr>
            <a:grpSpLocks/>
          </xdr:cNvGrpSpPr>
        </xdr:nvGrpSpPr>
        <xdr:grpSpPr bwMode="auto">
          <a:xfrm>
            <a:off x="900" y="1184"/>
            <a:ext cx="76" cy="89"/>
            <a:chOff x="46" y="624"/>
            <a:chExt cx="76" cy="90"/>
          </a:xfrm>
        </xdr:grpSpPr>
        <xdr:sp macro="" textlink="">
          <xdr:nvSpPr>
            <xdr:cNvPr id="55498" name="Rectangle 325"/>
            <xdr:cNvSpPr>
              <a:spLocks noChangeArrowheads="1"/>
            </xdr:cNvSpPr>
          </xdr:nvSpPr>
          <xdr:spPr bwMode="auto">
            <a:xfrm>
              <a:off x="62" y="624"/>
              <a:ext cx="50" cy="6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5499" name="Group 326"/>
            <xdr:cNvGrpSpPr>
              <a:grpSpLocks/>
            </xdr:cNvGrpSpPr>
          </xdr:nvGrpSpPr>
          <xdr:grpSpPr bwMode="auto">
            <a:xfrm>
              <a:off x="66" y="686"/>
              <a:ext cx="44" cy="5"/>
              <a:chOff x="204" y="283"/>
              <a:chExt cx="46" cy="7"/>
            </a:xfrm>
          </xdr:grpSpPr>
          <xdr:sp macro="" textlink="">
            <xdr:nvSpPr>
              <xdr:cNvPr id="55519" name="Line 327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20" name="Line 328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21" name="Line 329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22" name="Line 330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23" name="Line 331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24" name="Line 332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500" name="Group 333"/>
            <xdr:cNvGrpSpPr>
              <a:grpSpLocks/>
            </xdr:cNvGrpSpPr>
          </xdr:nvGrpSpPr>
          <xdr:grpSpPr bwMode="auto">
            <a:xfrm>
              <a:off x="62" y="625"/>
              <a:ext cx="7" cy="64"/>
              <a:chOff x="328" y="213"/>
              <a:chExt cx="7" cy="75"/>
            </a:xfrm>
          </xdr:grpSpPr>
          <xdr:sp macro="" textlink="">
            <xdr:nvSpPr>
              <xdr:cNvPr id="55509" name="Line 334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10" name="Line 335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11" name="Line 336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12" name="Line 337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13" name="Line 338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14" name="Line 339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15" name="Line 340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16" name="Line 341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17" name="Line 342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18" name="Line 343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16" name="Text Box 344"/>
            <xdr:cNvSpPr txBox="1">
              <a:spLocks noChangeArrowheads="1"/>
            </xdr:cNvSpPr>
          </xdr:nvSpPr>
          <xdr:spPr bwMode="auto">
            <a:xfrm>
              <a:off x="69" y="693"/>
              <a:ext cx="53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3417" name="Text Box 345"/>
            <xdr:cNvSpPr txBox="1">
              <a:spLocks noChangeArrowheads="1"/>
            </xdr:cNvSpPr>
          </xdr:nvSpPr>
          <xdr:spPr bwMode="auto">
            <a:xfrm>
              <a:off x="46" y="647"/>
              <a:ext cx="3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5503" name="Group 346"/>
            <xdr:cNvGrpSpPr>
              <a:grpSpLocks/>
            </xdr:cNvGrpSpPr>
          </xdr:nvGrpSpPr>
          <xdr:grpSpPr bwMode="auto">
            <a:xfrm>
              <a:off x="71" y="631"/>
              <a:ext cx="45" cy="47"/>
              <a:chOff x="70" y="88"/>
              <a:chExt cx="45" cy="47"/>
            </a:xfrm>
          </xdr:grpSpPr>
          <xdr:sp macro="" textlink="">
            <xdr:nvSpPr>
              <xdr:cNvPr id="3419" name="Text Box 347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5</a:t>
                </a:r>
                <a:endParaRPr lang="pt-BR"/>
              </a:p>
            </xdr:txBody>
          </xdr:sp>
          <xdr:sp macro="" textlink="">
            <xdr:nvSpPr>
              <xdr:cNvPr id="55505" name="Line 348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506" name="Line 349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22" name="Text Box 350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3423" name="Text Box 351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5346" name="Group 352"/>
          <xdr:cNvGrpSpPr>
            <a:grpSpLocks/>
          </xdr:cNvGrpSpPr>
        </xdr:nvGrpSpPr>
        <xdr:grpSpPr bwMode="auto">
          <a:xfrm>
            <a:off x="898" y="1389"/>
            <a:ext cx="74" cy="89"/>
            <a:chOff x="44" y="800"/>
            <a:chExt cx="74" cy="90"/>
          </a:xfrm>
        </xdr:grpSpPr>
        <xdr:sp macro="" textlink="">
          <xdr:nvSpPr>
            <xdr:cNvPr id="55464" name="Rectangle 353"/>
            <xdr:cNvSpPr>
              <a:spLocks noChangeArrowheads="1"/>
            </xdr:cNvSpPr>
          </xdr:nvSpPr>
          <xdr:spPr bwMode="auto">
            <a:xfrm>
              <a:off x="61" y="800"/>
              <a:ext cx="50" cy="6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5465" name="Group 354"/>
            <xdr:cNvGrpSpPr>
              <a:grpSpLocks/>
            </xdr:cNvGrpSpPr>
          </xdr:nvGrpSpPr>
          <xdr:grpSpPr bwMode="auto">
            <a:xfrm>
              <a:off x="67" y="863"/>
              <a:ext cx="43" cy="5"/>
              <a:chOff x="204" y="283"/>
              <a:chExt cx="46" cy="7"/>
            </a:xfrm>
          </xdr:grpSpPr>
          <xdr:sp macro="" textlink="">
            <xdr:nvSpPr>
              <xdr:cNvPr id="55492" name="Line 355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93" name="Line 356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94" name="Line 357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95" name="Line 358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96" name="Line 359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97" name="Line 360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466" name="Group 361"/>
            <xdr:cNvGrpSpPr>
              <a:grpSpLocks/>
            </xdr:cNvGrpSpPr>
          </xdr:nvGrpSpPr>
          <xdr:grpSpPr bwMode="auto">
            <a:xfrm>
              <a:off x="61" y="802"/>
              <a:ext cx="7" cy="64"/>
              <a:chOff x="328" y="213"/>
              <a:chExt cx="7" cy="75"/>
            </a:xfrm>
          </xdr:grpSpPr>
          <xdr:sp macro="" textlink="">
            <xdr:nvSpPr>
              <xdr:cNvPr id="55482" name="Line 362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83" name="Line 363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84" name="Line 364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85" name="Line 365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86" name="Line 366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87" name="Line 367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88" name="Line 368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89" name="Line 369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90" name="Line 370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91" name="Line 371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467" name="Group 372"/>
            <xdr:cNvGrpSpPr>
              <a:grpSpLocks/>
            </xdr:cNvGrpSpPr>
          </xdr:nvGrpSpPr>
          <xdr:grpSpPr bwMode="auto">
            <a:xfrm>
              <a:off x="66" y="800"/>
              <a:ext cx="43" cy="5"/>
              <a:chOff x="204" y="283"/>
              <a:chExt cx="46" cy="7"/>
            </a:xfrm>
          </xdr:grpSpPr>
          <xdr:sp macro="" textlink="">
            <xdr:nvSpPr>
              <xdr:cNvPr id="55476" name="Line 373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77" name="Line 374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78" name="Line 375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79" name="Line 376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80" name="Line 377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81" name="Line 378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51" name="Text Box 379"/>
            <xdr:cNvSpPr txBox="1">
              <a:spLocks noChangeArrowheads="1"/>
            </xdr:cNvSpPr>
          </xdr:nvSpPr>
          <xdr:spPr bwMode="auto">
            <a:xfrm>
              <a:off x="67" y="868"/>
              <a:ext cx="51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3452" name="Text Box 380"/>
            <xdr:cNvSpPr txBox="1">
              <a:spLocks noChangeArrowheads="1"/>
            </xdr:cNvSpPr>
          </xdr:nvSpPr>
          <xdr:spPr bwMode="auto">
            <a:xfrm>
              <a:off x="44" y="826"/>
              <a:ext cx="33" cy="1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5470" name="Group 381"/>
            <xdr:cNvGrpSpPr>
              <a:grpSpLocks/>
            </xdr:cNvGrpSpPr>
          </xdr:nvGrpSpPr>
          <xdr:grpSpPr bwMode="auto">
            <a:xfrm>
              <a:off x="70" y="808"/>
              <a:ext cx="45" cy="47"/>
              <a:chOff x="70" y="88"/>
              <a:chExt cx="45" cy="47"/>
            </a:xfrm>
          </xdr:grpSpPr>
          <xdr:sp macro="" textlink="">
            <xdr:nvSpPr>
              <xdr:cNvPr id="3454" name="Text Box 382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6</a:t>
                </a:r>
                <a:endParaRPr lang="pt-BR"/>
              </a:p>
            </xdr:txBody>
          </xdr:sp>
          <xdr:sp macro="" textlink="">
            <xdr:nvSpPr>
              <xdr:cNvPr id="55472" name="Line 383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73" name="Line 384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7" name="Text Box 385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3458" name="Text Box 386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5347" name="Group 387"/>
          <xdr:cNvGrpSpPr>
            <a:grpSpLocks/>
          </xdr:cNvGrpSpPr>
        </xdr:nvGrpSpPr>
        <xdr:grpSpPr bwMode="auto">
          <a:xfrm>
            <a:off x="894" y="1596"/>
            <a:ext cx="79" cy="93"/>
            <a:chOff x="40" y="938"/>
            <a:chExt cx="79" cy="95"/>
          </a:xfrm>
        </xdr:grpSpPr>
        <xdr:sp macro="" textlink="">
          <xdr:nvSpPr>
            <xdr:cNvPr id="55433" name="Rectangle 388"/>
            <xdr:cNvSpPr>
              <a:spLocks noChangeArrowheads="1"/>
            </xdr:cNvSpPr>
          </xdr:nvSpPr>
          <xdr:spPr bwMode="auto">
            <a:xfrm>
              <a:off x="58" y="938"/>
              <a:ext cx="53" cy="7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5434" name="Group 389"/>
            <xdr:cNvGrpSpPr>
              <a:grpSpLocks/>
            </xdr:cNvGrpSpPr>
          </xdr:nvGrpSpPr>
          <xdr:grpSpPr bwMode="auto">
            <a:xfrm>
              <a:off x="104" y="941"/>
              <a:ext cx="7" cy="67"/>
              <a:chOff x="328" y="213"/>
              <a:chExt cx="7" cy="75"/>
            </a:xfrm>
          </xdr:grpSpPr>
          <xdr:sp macro="" textlink="">
            <xdr:nvSpPr>
              <xdr:cNvPr id="55454" name="Line 390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55" name="Line 391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56" name="Line 392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57" name="Line 393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58" name="Line 394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59" name="Line 395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60" name="Line 396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61" name="Line 397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62" name="Line 398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63" name="Line 399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435" name="Group 400"/>
            <xdr:cNvGrpSpPr>
              <a:grpSpLocks/>
            </xdr:cNvGrpSpPr>
          </xdr:nvGrpSpPr>
          <xdr:grpSpPr bwMode="auto">
            <a:xfrm>
              <a:off x="58" y="940"/>
              <a:ext cx="7" cy="67"/>
              <a:chOff x="328" y="213"/>
              <a:chExt cx="7" cy="75"/>
            </a:xfrm>
          </xdr:grpSpPr>
          <xdr:sp macro="" textlink="">
            <xdr:nvSpPr>
              <xdr:cNvPr id="55444" name="Line 401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45" name="Line 402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46" name="Line 403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47" name="Line 404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48" name="Line 405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49" name="Line 406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50" name="Line 407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51" name="Line 408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52" name="Line 409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53" name="Line 410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83" name="Text Box 411"/>
            <xdr:cNvSpPr txBox="1">
              <a:spLocks noChangeArrowheads="1"/>
            </xdr:cNvSpPr>
          </xdr:nvSpPr>
          <xdr:spPr bwMode="auto">
            <a:xfrm>
              <a:off x="65" y="1011"/>
              <a:ext cx="5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3484" name="Text Box 412"/>
            <xdr:cNvSpPr txBox="1">
              <a:spLocks noChangeArrowheads="1"/>
            </xdr:cNvSpPr>
          </xdr:nvSpPr>
          <xdr:spPr bwMode="auto">
            <a:xfrm>
              <a:off x="40" y="963"/>
              <a:ext cx="3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5438" name="Group 413"/>
            <xdr:cNvGrpSpPr>
              <a:grpSpLocks/>
            </xdr:cNvGrpSpPr>
          </xdr:nvGrpSpPr>
          <xdr:grpSpPr bwMode="auto">
            <a:xfrm>
              <a:off x="69" y="948"/>
              <a:ext cx="45" cy="47"/>
              <a:chOff x="70" y="88"/>
              <a:chExt cx="45" cy="47"/>
            </a:xfrm>
          </xdr:grpSpPr>
          <xdr:sp macro="" textlink="">
            <xdr:nvSpPr>
              <xdr:cNvPr id="3486" name="Text Box 414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7</a:t>
                </a:r>
                <a:endParaRPr lang="pt-BR"/>
              </a:p>
            </xdr:txBody>
          </xdr:sp>
          <xdr:sp macro="" textlink="">
            <xdr:nvSpPr>
              <xdr:cNvPr id="55440" name="Line 415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41" name="Line 416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89" name="Text Box 417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3490" name="Text Box 418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5348" name="Group 419"/>
          <xdr:cNvGrpSpPr>
            <a:grpSpLocks/>
          </xdr:cNvGrpSpPr>
        </xdr:nvGrpSpPr>
        <xdr:grpSpPr bwMode="auto">
          <a:xfrm>
            <a:off x="901" y="1805"/>
            <a:ext cx="73" cy="89"/>
            <a:chOff x="44" y="1078"/>
            <a:chExt cx="73" cy="90"/>
          </a:xfrm>
        </xdr:grpSpPr>
        <xdr:sp macro="" textlink="">
          <xdr:nvSpPr>
            <xdr:cNvPr id="55395" name="Rectangle 420"/>
            <xdr:cNvSpPr>
              <a:spLocks noChangeArrowheads="1"/>
            </xdr:cNvSpPr>
          </xdr:nvSpPr>
          <xdr:spPr bwMode="auto">
            <a:xfrm>
              <a:off x="59" y="1078"/>
              <a:ext cx="51" cy="6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5396" name="Group 421"/>
            <xdr:cNvGrpSpPr>
              <a:grpSpLocks/>
            </xdr:cNvGrpSpPr>
          </xdr:nvGrpSpPr>
          <xdr:grpSpPr bwMode="auto">
            <a:xfrm>
              <a:off x="66" y="1140"/>
              <a:ext cx="42" cy="6"/>
              <a:chOff x="204" y="283"/>
              <a:chExt cx="46" cy="7"/>
            </a:xfrm>
          </xdr:grpSpPr>
          <xdr:sp macro="" textlink="">
            <xdr:nvSpPr>
              <xdr:cNvPr id="55427" name="Line 422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28" name="Line 423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29" name="Line 424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0" name="Line 425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1" name="Line 426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2" name="Line 427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397" name="Group 428"/>
            <xdr:cNvGrpSpPr>
              <a:grpSpLocks/>
            </xdr:cNvGrpSpPr>
          </xdr:nvGrpSpPr>
          <xdr:grpSpPr bwMode="auto">
            <a:xfrm>
              <a:off x="102" y="1081"/>
              <a:ext cx="8" cy="63"/>
              <a:chOff x="328" y="213"/>
              <a:chExt cx="7" cy="75"/>
            </a:xfrm>
          </xdr:grpSpPr>
          <xdr:sp macro="" textlink="">
            <xdr:nvSpPr>
              <xdr:cNvPr id="55417" name="Line 429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8" name="Line 430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9" name="Line 431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20" name="Line 432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21" name="Line 433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22" name="Line 434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23" name="Line 435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24" name="Line 436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25" name="Line 437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26" name="Line 438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398" name="Group 439"/>
            <xdr:cNvGrpSpPr>
              <a:grpSpLocks/>
            </xdr:cNvGrpSpPr>
          </xdr:nvGrpSpPr>
          <xdr:grpSpPr bwMode="auto">
            <a:xfrm>
              <a:off x="59" y="1080"/>
              <a:ext cx="7" cy="63"/>
              <a:chOff x="328" y="213"/>
              <a:chExt cx="7" cy="75"/>
            </a:xfrm>
          </xdr:grpSpPr>
          <xdr:sp macro="" textlink="">
            <xdr:nvSpPr>
              <xdr:cNvPr id="55407" name="Line 440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08" name="Line 441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09" name="Line 442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0" name="Line 443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1" name="Line 444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2" name="Line 445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3" name="Line 446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4" name="Line 447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5" name="Line 448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6" name="Line 449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22" name="Text Box 450"/>
            <xdr:cNvSpPr txBox="1">
              <a:spLocks noChangeArrowheads="1"/>
            </xdr:cNvSpPr>
          </xdr:nvSpPr>
          <xdr:spPr bwMode="auto">
            <a:xfrm>
              <a:off x="66" y="1147"/>
              <a:ext cx="51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3523" name="Text Box 451"/>
            <xdr:cNvSpPr txBox="1">
              <a:spLocks noChangeArrowheads="1"/>
            </xdr:cNvSpPr>
          </xdr:nvSpPr>
          <xdr:spPr bwMode="auto">
            <a:xfrm>
              <a:off x="44" y="1105"/>
              <a:ext cx="33" cy="1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5401" name="Group 452"/>
            <xdr:cNvGrpSpPr>
              <a:grpSpLocks/>
            </xdr:cNvGrpSpPr>
          </xdr:nvGrpSpPr>
          <xdr:grpSpPr bwMode="auto">
            <a:xfrm>
              <a:off x="67" y="1086"/>
              <a:ext cx="45" cy="47"/>
              <a:chOff x="70" y="88"/>
              <a:chExt cx="45" cy="47"/>
            </a:xfrm>
          </xdr:grpSpPr>
          <xdr:sp macro="" textlink="">
            <xdr:nvSpPr>
              <xdr:cNvPr id="3525" name="Text Box 453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8</a:t>
                </a:r>
                <a:endParaRPr lang="pt-BR"/>
              </a:p>
            </xdr:txBody>
          </xdr:sp>
          <xdr:sp macro="" textlink="">
            <xdr:nvSpPr>
              <xdr:cNvPr id="55403" name="Line 454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04" name="Line 455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8" name="Text Box 456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3529" name="Text Box 457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5349" name="Group 458"/>
          <xdr:cNvGrpSpPr>
            <a:grpSpLocks/>
          </xdr:cNvGrpSpPr>
        </xdr:nvGrpSpPr>
        <xdr:grpSpPr bwMode="auto">
          <a:xfrm>
            <a:off x="900" y="2024"/>
            <a:ext cx="74" cy="87"/>
            <a:chOff x="43" y="1227"/>
            <a:chExt cx="74" cy="89"/>
          </a:xfrm>
        </xdr:grpSpPr>
        <xdr:sp macro="" textlink="">
          <xdr:nvSpPr>
            <xdr:cNvPr id="55350" name="Rectangle 459"/>
            <xdr:cNvSpPr>
              <a:spLocks noChangeArrowheads="1"/>
            </xdr:cNvSpPr>
          </xdr:nvSpPr>
          <xdr:spPr bwMode="auto">
            <a:xfrm>
              <a:off x="60" y="1227"/>
              <a:ext cx="50" cy="6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5351" name="Group 460"/>
            <xdr:cNvGrpSpPr>
              <a:grpSpLocks/>
            </xdr:cNvGrpSpPr>
          </xdr:nvGrpSpPr>
          <xdr:grpSpPr bwMode="auto">
            <a:xfrm>
              <a:off x="66" y="1288"/>
              <a:ext cx="42" cy="7"/>
              <a:chOff x="204" y="283"/>
              <a:chExt cx="46" cy="7"/>
            </a:xfrm>
          </xdr:grpSpPr>
          <xdr:sp macro="" textlink="">
            <xdr:nvSpPr>
              <xdr:cNvPr id="55389" name="Line 461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0" name="Line 462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1" name="Line 463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2" name="Line 464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3" name="Line 465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4" name="Line 466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352" name="Group 467"/>
            <xdr:cNvGrpSpPr>
              <a:grpSpLocks/>
            </xdr:cNvGrpSpPr>
          </xdr:nvGrpSpPr>
          <xdr:grpSpPr bwMode="auto">
            <a:xfrm>
              <a:off x="103" y="1230"/>
              <a:ext cx="7" cy="63"/>
              <a:chOff x="328" y="213"/>
              <a:chExt cx="7" cy="75"/>
            </a:xfrm>
          </xdr:grpSpPr>
          <xdr:sp macro="" textlink="">
            <xdr:nvSpPr>
              <xdr:cNvPr id="55379" name="Line 468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80" name="Line 469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81" name="Line 470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82" name="Line 471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83" name="Line 472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84" name="Line 473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85" name="Line 474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86" name="Line 475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87" name="Line 476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88" name="Line 477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353" name="Group 478"/>
            <xdr:cNvGrpSpPr>
              <a:grpSpLocks/>
            </xdr:cNvGrpSpPr>
          </xdr:nvGrpSpPr>
          <xdr:grpSpPr bwMode="auto">
            <a:xfrm>
              <a:off x="61" y="1229"/>
              <a:ext cx="7" cy="62"/>
              <a:chOff x="328" y="213"/>
              <a:chExt cx="7" cy="75"/>
            </a:xfrm>
          </xdr:grpSpPr>
          <xdr:sp macro="" textlink="">
            <xdr:nvSpPr>
              <xdr:cNvPr id="55369" name="Line 479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0" name="Line 480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1" name="Line 481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2" name="Line 482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3" name="Line 483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4" name="Line 484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5" name="Line 485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6" name="Line 486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7" name="Line 487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8" name="Line 488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354" name="Group 489"/>
            <xdr:cNvGrpSpPr>
              <a:grpSpLocks/>
            </xdr:cNvGrpSpPr>
          </xdr:nvGrpSpPr>
          <xdr:grpSpPr bwMode="auto">
            <a:xfrm>
              <a:off x="63" y="1227"/>
              <a:ext cx="42" cy="6"/>
              <a:chOff x="204" y="283"/>
              <a:chExt cx="46" cy="7"/>
            </a:xfrm>
          </xdr:grpSpPr>
          <xdr:sp macro="" textlink="">
            <xdr:nvSpPr>
              <xdr:cNvPr id="55363" name="Line 490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64" name="Line 491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65" name="Line 492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66" name="Line 493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67" name="Line 494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68" name="Line 495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68" name="Text Box 496"/>
            <xdr:cNvSpPr txBox="1">
              <a:spLocks noChangeArrowheads="1"/>
            </xdr:cNvSpPr>
          </xdr:nvSpPr>
          <xdr:spPr bwMode="auto">
            <a:xfrm>
              <a:off x="66" y="1295"/>
              <a:ext cx="51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3569" name="Text Box 497"/>
            <xdr:cNvSpPr txBox="1">
              <a:spLocks noChangeArrowheads="1"/>
            </xdr:cNvSpPr>
          </xdr:nvSpPr>
          <xdr:spPr bwMode="auto">
            <a:xfrm>
              <a:off x="43" y="1252"/>
              <a:ext cx="33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5357" name="Group 498"/>
            <xdr:cNvGrpSpPr>
              <a:grpSpLocks/>
            </xdr:cNvGrpSpPr>
          </xdr:nvGrpSpPr>
          <xdr:grpSpPr bwMode="auto">
            <a:xfrm>
              <a:off x="69" y="1234"/>
              <a:ext cx="45" cy="47"/>
              <a:chOff x="70" y="88"/>
              <a:chExt cx="45" cy="47"/>
            </a:xfrm>
          </xdr:grpSpPr>
          <xdr:sp macro="" textlink="">
            <xdr:nvSpPr>
              <xdr:cNvPr id="3571" name="Text Box 499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9</a:t>
                </a:r>
                <a:endParaRPr lang="pt-BR"/>
              </a:p>
            </xdr:txBody>
          </xdr:sp>
          <xdr:sp macro="" textlink="">
            <xdr:nvSpPr>
              <xdr:cNvPr id="55359" name="Line 500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60" name="Line 501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Text Box 502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3575" name="Text Box 503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</xdr:grpSp>
    <xdr:clientData/>
  </xdr:twoCellAnchor>
  <xdr:twoCellAnchor editAs="oneCell">
    <xdr:from>
      <xdr:col>28</xdr:col>
      <xdr:colOff>295275</xdr:colOff>
      <xdr:row>20</xdr:row>
      <xdr:rowOff>66675</xdr:rowOff>
    </xdr:from>
    <xdr:to>
      <xdr:col>29</xdr:col>
      <xdr:colOff>390525</xdr:colOff>
      <xdr:row>130</xdr:row>
      <xdr:rowOff>47625</xdr:rowOff>
    </xdr:to>
    <xdr:grpSp>
      <xdr:nvGrpSpPr>
        <xdr:cNvPr id="53317" name="Group 1512"/>
        <xdr:cNvGrpSpPr>
          <a:grpSpLocks/>
        </xdr:cNvGrpSpPr>
      </xdr:nvGrpSpPr>
      <xdr:grpSpPr bwMode="auto">
        <a:xfrm>
          <a:off x="19173825" y="3400425"/>
          <a:ext cx="809625" cy="16744950"/>
          <a:chOff x="1726" y="369"/>
          <a:chExt cx="85" cy="1886"/>
        </a:xfrm>
      </xdr:grpSpPr>
      <xdr:grpSp>
        <xdr:nvGrpSpPr>
          <xdr:cNvPr id="55089" name="Group 504"/>
          <xdr:cNvGrpSpPr>
            <a:grpSpLocks/>
          </xdr:cNvGrpSpPr>
        </xdr:nvGrpSpPr>
        <xdr:grpSpPr bwMode="auto">
          <a:xfrm>
            <a:off x="1729" y="369"/>
            <a:ext cx="75" cy="88"/>
            <a:chOff x="44" y="82"/>
            <a:chExt cx="75" cy="90"/>
          </a:xfrm>
        </xdr:grpSpPr>
        <xdr:sp macro="" textlink="">
          <xdr:nvSpPr>
            <xdr:cNvPr id="55332" name="Rectangle 505"/>
            <xdr:cNvSpPr>
              <a:spLocks noChangeArrowheads="1"/>
            </xdr:cNvSpPr>
          </xdr:nvSpPr>
          <xdr:spPr bwMode="auto">
            <a:xfrm>
              <a:off x="61" y="82"/>
              <a:ext cx="51" cy="6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3578" name="Text Box 506"/>
            <xdr:cNvSpPr txBox="1">
              <a:spLocks noChangeArrowheads="1"/>
            </xdr:cNvSpPr>
          </xdr:nvSpPr>
          <xdr:spPr bwMode="auto">
            <a:xfrm>
              <a:off x="67" y="150"/>
              <a:ext cx="52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3579" name="Text Box 507"/>
            <xdr:cNvSpPr txBox="1">
              <a:spLocks noChangeArrowheads="1"/>
            </xdr:cNvSpPr>
          </xdr:nvSpPr>
          <xdr:spPr bwMode="auto">
            <a:xfrm>
              <a:off x="44" y="104"/>
              <a:ext cx="3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5335" name="Group 508"/>
            <xdr:cNvGrpSpPr>
              <a:grpSpLocks/>
            </xdr:cNvGrpSpPr>
          </xdr:nvGrpSpPr>
          <xdr:grpSpPr bwMode="auto">
            <a:xfrm>
              <a:off x="70" y="88"/>
              <a:ext cx="45" cy="47"/>
              <a:chOff x="70" y="88"/>
              <a:chExt cx="45" cy="47"/>
            </a:xfrm>
          </xdr:grpSpPr>
          <xdr:sp macro="" textlink="">
            <xdr:nvSpPr>
              <xdr:cNvPr id="3581" name="Text Box 509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1</a:t>
                </a:r>
                <a:endParaRPr lang="pt-BR"/>
              </a:p>
            </xdr:txBody>
          </xdr:sp>
          <xdr:sp macro="" textlink="">
            <xdr:nvSpPr>
              <xdr:cNvPr id="55337" name="Line 510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8" name="Line 511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Text Box 512"/>
              <xdr:cNvSpPr txBox="1">
                <a:spLocks noChangeArrowheads="1"/>
              </xdr:cNvSpPr>
            </xdr:nvSpPr>
            <xdr:spPr bwMode="auto">
              <a:xfrm>
                <a:off x="72" y="82"/>
                <a:ext cx="20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3585" name="Text Box 513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5090" name="Group 514"/>
          <xdr:cNvGrpSpPr>
            <a:grpSpLocks/>
          </xdr:cNvGrpSpPr>
        </xdr:nvGrpSpPr>
        <xdr:grpSpPr bwMode="auto">
          <a:xfrm>
            <a:off x="1731" y="590"/>
            <a:ext cx="80" cy="90"/>
            <a:chOff x="43" y="204"/>
            <a:chExt cx="80" cy="92"/>
          </a:xfrm>
        </xdr:grpSpPr>
        <xdr:sp macro="" textlink="">
          <xdr:nvSpPr>
            <xdr:cNvPr id="55316" name="Rectangle 515"/>
            <xdr:cNvSpPr>
              <a:spLocks noChangeArrowheads="1"/>
            </xdr:cNvSpPr>
          </xdr:nvSpPr>
          <xdr:spPr bwMode="auto">
            <a:xfrm>
              <a:off x="61" y="204"/>
              <a:ext cx="52" cy="7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5317" name="Group 516"/>
            <xdr:cNvGrpSpPr>
              <a:grpSpLocks/>
            </xdr:cNvGrpSpPr>
          </xdr:nvGrpSpPr>
          <xdr:grpSpPr bwMode="auto">
            <a:xfrm>
              <a:off x="63" y="269"/>
              <a:ext cx="47" cy="5"/>
              <a:chOff x="204" y="283"/>
              <a:chExt cx="46" cy="7"/>
            </a:xfrm>
          </xdr:grpSpPr>
          <xdr:sp macro="" textlink="">
            <xdr:nvSpPr>
              <xdr:cNvPr id="55326" name="Line 517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27" name="Line 518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28" name="Line 519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29" name="Line 520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0" name="Line 521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1" name="Line 522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95" name="Text Box 523"/>
            <xdr:cNvSpPr txBox="1">
              <a:spLocks noChangeArrowheads="1"/>
            </xdr:cNvSpPr>
          </xdr:nvSpPr>
          <xdr:spPr bwMode="auto">
            <a:xfrm>
              <a:off x="43" y="231"/>
              <a:ext cx="3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sp macro="" textlink="">
          <xdr:nvSpPr>
            <xdr:cNvPr id="3596" name="Text Box 524"/>
            <xdr:cNvSpPr txBox="1">
              <a:spLocks noChangeArrowheads="1"/>
            </xdr:cNvSpPr>
          </xdr:nvSpPr>
          <xdr:spPr bwMode="auto">
            <a:xfrm>
              <a:off x="68" y="274"/>
              <a:ext cx="5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grpSp>
          <xdr:nvGrpSpPr>
            <xdr:cNvPr id="55320" name="Group 525"/>
            <xdr:cNvGrpSpPr>
              <a:grpSpLocks/>
            </xdr:cNvGrpSpPr>
          </xdr:nvGrpSpPr>
          <xdr:grpSpPr bwMode="auto">
            <a:xfrm>
              <a:off x="71" y="213"/>
              <a:ext cx="45" cy="47"/>
              <a:chOff x="70" y="88"/>
              <a:chExt cx="45" cy="47"/>
            </a:xfrm>
          </xdr:grpSpPr>
          <xdr:sp macro="" textlink="">
            <xdr:nvSpPr>
              <xdr:cNvPr id="3598" name="Text Box 526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endParaRPr lang="pt-BR"/>
              </a:p>
            </xdr:txBody>
          </xdr:sp>
          <xdr:sp macro="" textlink="">
            <xdr:nvSpPr>
              <xdr:cNvPr id="55322" name="Line 527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23" name="Line 528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01" name="Text Box 529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3602" name="Text Box 530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5091" name="Group 531"/>
          <xdr:cNvGrpSpPr>
            <a:grpSpLocks/>
          </xdr:cNvGrpSpPr>
        </xdr:nvGrpSpPr>
        <xdr:grpSpPr bwMode="auto">
          <a:xfrm>
            <a:off x="1731" y="819"/>
            <a:ext cx="78" cy="93"/>
            <a:chOff x="44" y="337"/>
            <a:chExt cx="78" cy="94"/>
          </a:xfrm>
        </xdr:grpSpPr>
        <xdr:sp macro="" textlink="">
          <xdr:nvSpPr>
            <xdr:cNvPr id="55293" name="Rectangle 532"/>
            <xdr:cNvSpPr>
              <a:spLocks noChangeArrowheads="1"/>
            </xdr:cNvSpPr>
          </xdr:nvSpPr>
          <xdr:spPr bwMode="auto">
            <a:xfrm>
              <a:off x="60" y="337"/>
              <a:ext cx="51" cy="7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5294" name="Group 533"/>
            <xdr:cNvGrpSpPr>
              <a:grpSpLocks/>
            </xdr:cNvGrpSpPr>
          </xdr:nvGrpSpPr>
          <xdr:grpSpPr bwMode="auto">
            <a:xfrm>
              <a:off x="63" y="401"/>
              <a:ext cx="46" cy="7"/>
              <a:chOff x="204" y="283"/>
              <a:chExt cx="46" cy="7"/>
            </a:xfrm>
          </xdr:grpSpPr>
          <xdr:sp macro="" textlink="">
            <xdr:nvSpPr>
              <xdr:cNvPr id="55310" name="Line 534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1" name="Line 535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2" name="Line 536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3" name="Line 537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4" name="Line 538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5" name="Line 539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95" name="Group 540"/>
            <xdr:cNvGrpSpPr>
              <a:grpSpLocks/>
            </xdr:cNvGrpSpPr>
          </xdr:nvGrpSpPr>
          <xdr:grpSpPr bwMode="auto">
            <a:xfrm>
              <a:off x="63" y="337"/>
              <a:ext cx="46" cy="5"/>
              <a:chOff x="204" y="283"/>
              <a:chExt cx="46" cy="7"/>
            </a:xfrm>
          </xdr:grpSpPr>
          <xdr:sp macro="" textlink="">
            <xdr:nvSpPr>
              <xdr:cNvPr id="55304" name="Line 541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05" name="Line 542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06" name="Line 543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07" name="Line 544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08" name="Line 545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09" name="Line 546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9" name="Text Box 547"/>
            <xdr:cNvSpPr txBox="1">
              <a:spLocks noChangeArrowheads="1"/>
            </xdr:cNvSpPr>
          </xdr:nvSpPr>
          <xdr:spPr bwMode="auto">
            <a:xfrm>
              <a:off x="68" y="409"/>
              <a:ext cx="5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3620" name="Text Box 548"/>
            <xdr:cNvSpPr txBox="1">
              <a:spLocks noChangeArrowheads="1"/>
            </xdr:cNvSpPr>
          </xdr:nvSpPr>
          <xdr:spPr bwMode="auto">
            <a:xfrm>
              <a:off x="44" y="363"/>
              <a:ext cx="3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5298" name="Group 549"/>
            <xdr:cNvGrpSpPr>
              <a:grpSpLocks/>
            </xdr:cNvGrpSpPr>
          </xdr:nvGrpSpPr>
          <xdr:grpSpPr bwMode="auto">
            <a:xfrm>
              <a:off x="70" y="346"/>
              <a:ext cx="45" cy="47"/>
              <a:chOff x="70" y="88"/>
              <a:chExt cx="45" cy="47"/>
            </a:xfrm>
          </xdr:grpSpPr>
          <xdr:sp macro="" textlink="">
            <xdr:nvSpPr>
              <xdr:cNvPr id="3622" name="Text Box 550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endParaRPr lang="pt-BR"/>
              </a:p>
            </xdr:txBody>
          </xdr:sp>
          <xdr:sp macro="" textlink="">
            <xdr:nvSpPr>
              <xdr:cNvPr id="55300" name="Line 551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01" name="Line 552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25" name="Text Box 553"/>
              <xdr:cNvSpPr txBox="1">
                <a:spLocks noChangeArrowheads="1"/>
              </xdr:cNvSpPr>
            </xdr:nvSpPr>
            <xdr:spPr bwMode="auto">
              <a:xfrm>
                <a:off x="72" y="82"/>
                <a:ext cx="20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3626" name="Text Box 554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5092" name="Group 555"/>
          <xdr:cNvGrpSpPr>
            <a:grpSpLocks/>
          </xdr:cNvGrpSpPr>
        </xdr:nvGrpSpPr>
        <xdr:grpSpPr bwMode="auto">
          <a:xfrm>
            <a:off x="1729" y="1043"/>
            <a:ext cx="75" cy="88"/>
            <a:chOff x="45" y="469"/>
            <a:chExt cx="75" cy="89"/>
          </a:xfrm>
        </xdr:grpSpPr>
        <xdr:sp macro="" textlink="">
          <xdr:nvSpPr>
            <xdr:cNvPr id="55273" name="Rectangle 556"/>
            <xdr:cNvSpPr>
              <a:spLocks noChangeArrowheads="1"/>
            </xdr:cNvSpPr>
          </xdr:nvSpPr>
          <xdr:spPr bwMode="auto">
            <a:xfrm>
              <a:off x="61" y="469"/>
              <a:ext cx="51" cy="6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5274" name="Group 557"/>
            <xdr:cNvGrpSpPr>
              <a:grpSpLocks/>
            </xdr:cNvGrpSpPr>
          </xdr:nvGrpSpPr>
          <xdr:grpSpPr bwMode="auto">
            <a:xfrm>
              <a:off x="61" y="471"/>
              <a:ext cx="7" cy="63"/>
              <a:chOff x="328" y="213"/>
              <a:chExt cx="7" cy="75"/>
            </a:xfrm>
          </xdr:grpSpPr>
          <xdr:sp macro="" textlink="">
            <xdr:nvSpPr>
              <xdr:cNvPr id="55283" name="Line 558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84" name="Line 559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85" name="Line 560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86" name="Line 561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87" name="Line 562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88" name="Line 563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89" name="Line 564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0" name="Line 565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1" name="Line 566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2" name="Line 567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40" name="Text Box 568"/>
            <xdr:cNvSpPr txBox="1">
              <a:spLocks noChangeArrowheads="1"/>
            </xdr:cNvSpPr>
          </xdr:nvSpPr>
          <xdr:spPr bwMode="auto">
            <a:xfrm>
              <a:off x="68" y="538"/>
              <a:ext cx="52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3641" name="Text Box 569"/>
            <xdr:cNvSpPr txBox="1">
              <a:spLocks noChangeArrowheads="1"/>
            </xdr:cNvSpPr>
          </xdr:nvSpPr>
          <xdr:spPr bwMode="auto">
            <a:xfrm>
              <a:off x="45" y="492"/>
              <a:ext cx="3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5277" name="Group 570"/>
            <xdr:cNvGrpSpPr>
              <a:grpSpLocks/>
            </xdr:cNvGrpSpPr>
          </xdr:nvGrpSpPr>
          <xdr:grpSpPr bwMode="auto">
            <a:xfrm>
              <a:off x="71" y="476"/>
              <a:ext cx="45" cy="47"/>
              <a:chOff x="70" y="88"/>
              <a:chExt cx="45" cy="47"/>
            </a:xfrm>
          </xdr:grpSpPr>
          <xdr:sp macro="" textlink="">
            <xdr:nvSpPr>
              <xdr:cNvPr id="3643" name="Text Box 571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4</a:t>
                </a:r>
                <a:endParaRPr lang="pt-BR"/>
              </a:p>
            </xdr:txBody>
          </xdr:sp>
          <xdr:sp macro="" textlink="">
            <xdr:nvSpPr>
              <xdr:cNvPr id="55279" name="Line 572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80" name="Line 573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6" name="Text Box 574"/>
              <xdr:cNvSpPr txBox="1">
                <a:spLocks noChangeArrowheads="1"/>
              </xdr:cNvSpPr>
            </xdr:nvSpPr>
            <xdr:spPr bwMode="auto">
              <a:xfrm>
                <a:off x="72" y="82"/>
                <a:ext cx="20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3647" name="Text Box 575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5093" name="Group 576"/>
          <xdr:cNvGrpSpPr>
            <a:grpSpLocks/>
          </xdr:cNvGrpSpPr>
        </xdr:nvGrpSpPr>
        <xdr:grpSpPr bwMode="auto">
          <a:xfrm>
            <a:off x="1732" y="1264"/>
            <a:ext cx="76" cy="89"/>
            <a:chOff x="46" y="624"/>
            <a:chExt cx="76" cy="90"/>
          </a:xfrm>
        </xdr:grpSpPr>
        <xdr:sp macro="" textlink="">
          <xdr:nvSpPr>
            <xdr:cNvPr id="55246" name="Rectangle 577"/>
            <xdr:cNvSpPr>
              <a:spLocks noChangeArrowheads="1"/>
            </xdr:cNvSpPr>
          </xdr:nvSpPr>
          <xdr:spPr bwMode="auto">
            <a:xfrm>
              <a:off x="62" y="624"/>
              <a:ext cx="50" cy="6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5247" name="Group 578"/>
            <xdr:cNvGrpSpPr>
              <a:grpSpLocks/>
            </xdr:cNvGrpSpPr>
          </xdr:nvGrpSpPr>
          <xdr:grpSpPr bwMode="auto">
            <a:xfrm>
              <a:off x="66" y="686"/>
              <a:ext cx="44" cy="5"/>
              <a:chOff x="204" y="283"/>
              <a:chExt cx="46" cy="7"/>
            </a:xfrm>
          </xdr:grpSpPr>
          <xdr:sp macro="" textlink="">
            <xdr:nvSpPr>
              <xdr:cNvPr id="55267" name="Line 579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68" name="Line 580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69" name="Line 581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0" name="Line 582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1" name="Line 583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2" name="Line 584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48" name="Group 585"/>
            <xdr:cNvGrpSpPr>
              <a:grpSpLocks/>
            </xdr:cNvGrpSpPr>
          </xdr:nvGrpSpPr>
          <xdr:grpSpPr bwMode="auto">
            <a:xfrm>
              <a:off x="62" y="625"/>
              <a:ext cx="7" cy="64"/>
              <a:chOff x="328" y="213"/>
              <a:chExt cx="7" cy="75"/>
            </a:xfrm>
          </xdr:grpSpPr>
          <xdr:sp macro="" textlink="">
            <xdr:nvSpPr>
              <xdr:cNvPr id="55257" name="Line 586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8" name="Line 587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9" name="Line 588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60" name="Line 589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61" name="Line 590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62" name="Line 591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63" name="Line 592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64" name="Line 593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65" name="Line 594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66" name="Line 595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68" name="Text Box 596"/>
            <xdr:cNvSpPr txBox="1">
              <a:spLocks noChangeArrowheads="1"/>
            </xdr:cNvSpPr>
          </xdr:nvSpPr>
          <xdr:spPr bwMode="auto">
            <a:xfrm>
              <a:off x="69" y="693"/>
              <a:ext cx="53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3669" name="Text Box 597"/>
            <xdr:cNvSpPr txBox="1">
              <a:spLocks noChangeArrowheads="1"/>
            </xdr:cNvSpPr>
          </xdr:nvSpPr>
          <xdr:spPr bwMode="auto">
            <a:xfrm>
              <a:off x="46" y="647"/>
              <a:ext cx="34" cy="2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5251" name="Group 598"/>
            <xdr:cNvGrpSpPr>
              <a:grpSpLocks/>
            </xdr:cNvGrpSpPr>
          </xdr:nvGrpSpPr>
          <xdr:grpSpPr bwMode="auto">
            <a:xfrm>
              <a:off x="71" y="631"/>
              <a:ext cx="45" cy="47"/>
              <a:chOff x="70" y="88"/>
              <a:chExt cx="45" cy="47"/>
            </a:xfrm>
          </xdr:grpSpPr>
          <xdr:sp macro="" textlink="">
            <xdr:nvSpPr>
              <xdr:cNvPr id="3671" name="Text Box 599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5</a:t>
                </a:r>
                <a:endParaRPr lang="pt-BR"/>
              </a:p>
            </xdr:txBody>
          </xdr:sp>
          <xdr:sp macro="" textlink="">
            <xdr:nvSpPr>
              <xdr:cNvPr id="55253" name="Line 600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4" name="Line 601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4" name="Text Box 602"/>
              <xdr:cNvSpPr txBox="1">
                <a:spLocks noChangeArrowheads="1"/>
              </xdr:cNvSpPr>
            </xdr:nvSpPr>
            <xdr:spPr bwMode="auto">
              <a:xfrm>
                <a:off x="72" y="82"/>
                <a:ext cx="20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3675" name="Text Box 603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5094" name="Group 604"/>
          <xdr:cNvGrpSpPr>
            <a:grpSpLocks/>
          </xdr:cNvGrpSpPr>
        </xdr:nvGrpSpPr>
        <xdr:grpSpPr bwMode="auto">
          <a:xfrm>
            <a:off x="1730" y="1485"/>
            <a:ext cx="74" cy="89"/>
            <a:chOff x="44" y="800"/>
            <a:chExt cx="74" cy="90"/>
          </a:xfrm>
        </xdr:grpSpPr>
        <xdr:sp macro="" textlink="">
          <xdr:nvSpPr>
            <xdr:cNvPr id="55212" name="Rectangle 605"/>
            <xdr:cNvSpPr>
              <a:spLocks noChangeArrowheads="1"/>
            </xdr:cNvSpPr>
          </xdr:nvSpPr>
          <xdr:spPr bwMode="auto">
            <a:xfrm>
              <a:off x="61" y="800"/>
              <a:ext cx="50" cy="6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5213" name="Group 606"/>
            <xdr:cNvGrpSpPr>
              <a:grpSpLocks/>
            </xdr:cNvGrpSpPr>
          </xdr:nvGrpSpPr>
          <xdr:grpSpPr bwMode="auto">
            <a:xfrm>
              <a:off x="67" y="863"/>
              <a:ext cx="43" cy="5"/>
              <a:chOff x="204" y="283"/>
              <a:chExt cx="46" cy="7"/>
            </a:xfrm>
          </xdr:grpSpPr>
          <xdr:sp macro="" textlink="">
            <xdr:nvSpPr>
              <xdr:cNvPr id="55240" name="Line 607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41" name="Line 608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42" name="Line 609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43" name="Line 610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44" name="Line 611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45" name="Line 612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4" name="Group 613"/>
            <xdr:cNvGrpSpPr>
              <a:grpSpLocks/>
            </xdr:cNvGrpSpPr>
          </xdr:nvGrpSpPr>
          <xdr:grpSpPr bwMode="auto">
            <a:xfrm>
              <a:off x="61" y="802"/>
              <a:ext cx="7" cy="64"/>
              <a:chOff x="328" y="213"/>
              <a:chExt cx="7" cy="75"/>
            </a:xfrm>
          </xdr:grpSpPr>
          <xdr:sp macro="" textlink="">
            <xdr:nvSpPr>
              <xdr:cNvPr id="55230" name="Line 614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31" name="Line 615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32" name="Line 616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33" name="Line 617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34" name="Line 618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35" name="Line 619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36" name="Line 620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37" name="Line 621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38" name="Line 622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39" name="Line 623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5" name="Group 624"/>
            <xdr:cNvGrpSpPr>
              <a:grpSpLocks/>
            </xdr:cNvGrpSpPr>
          </xdr:nvGrpSpPr>
          <xdr:grpSpPr bwMode="auto">
            <a:xfrm>
              <a:off x="66" y="800"/>
              <a:ext cx="43" cy="5"/>
              <a:chOff x="204" y="283"/>
              <a:chExt cx="46" cy="7"/>
            </a:xfrm>
          </xdr:grpSpPr>
          <xdr:sp macro="" textlink="">
            <xdr:nvSpPr>
              <xdr:cNvPr id="55224" name="Line 625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25" name="Line 626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26" name="Line 627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27" name="Line 628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28" name="Line 629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29" name="Line 630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03" name="Text Box 631"/>
            <xdr:cNvSpPr txBox="1">
              <a:spLocks noChangeArrowheads="1"/>
            </xdr:cNvSpPr>
          </xdr:nvSpPr>
          <xdr:spPr bwMode="auto">
            <a:xfrm>
              <a:off x="67" y="868"/>
              <a:ext cx="51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3704" name="Text Box 632"/>
            <xdr:cNvSpPr txBox="1">
              <a:spLocks noChangeArrowheads="1"/>
            </xdr:cNvSpPr>
          </xdr:nvSpPr>
          <xdr:spPr bwMode="auto">
            <a:xfrm>
              <a:off x="44" y="826"/>
              <a:ext cx="33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5218" name="Group 633"/>
            <xdr:cNvGrpSpPr>
              <a:grpSpLocks/>
            </xdr:cNvGrpSpPr>
          </xdr:nvGrpSpPr>
          <xdr:grpSpPr bwMode="auto">
            <a:xfrm>
              <a:off x="70" y="808"/>
              <a:ext cx="45" cy="47"/>
              <a:chOff x="70" y="88"/>
              <a:chExt cx="45" cy="47"/>
            </a:xfrm>
          </xdr:grpSpPr>
          <xdr:sp macro="" textlink="">
            <xdr:nvSpPr>
              <xdr:cNvPr id="3706" name="Text Box 634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6</a:t>
                </a:r>
                <a:endParaRPr lang="pt-BR"/>
              </a:p>
            </xdr:txBody>
          </xdr:sp>
          <xdr:sp macro="" textlink="">
            <xdr:nvSpPr>
              <xdr:cNvPr id="55220" name="Line 635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21" name="Line 636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9" name="Text Box 637"/>
              <xdr:cNvSpPr txBox="1">
                <a:spLocks noChangeArrowheads="1"/>
              </xdr:cNvSpPr>
            </xdr:nvSpPr>
            <xdr:spPr bwMode="auto">
              <a:xfrm>
                <a:off x="72" y="82"/>
                <a:ext cx="20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3710" name="Text Box 638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5095" name="Group 639"/>
          <xdr:cNvGrpSpPr>
            <a:grpSpLocks/>
          </xdr:cNvGrpSpPr>
        </xdr:nvGrpSpPr>
        <xdr:grpSpPr bwMode="auto">
          <a:xfrm>
            <a:off x="1726" y="1708"/>
            <a:ext cx="79" cy="93"/>
            <a:chOff x="40" y="938"/>
            <a:chExt cx="79" cy="95"/>
          </a:xfrm>
        </xdr:grpSpPr>
        <xdr:sp macro="" textlink="">
          <xdr:nvSpPr>
            <xdr:cNvPr id="55181" name="Rectangle 640"/>
            <xdr:cNvSpPr>
              <a:spLocks noChangeArrowheads="1"/>
            </xdr:cNvSpPr>
          </xdr:nvSpPr>
          <xdr:spPr bwMode="auto">
            <a:xfrm>
              <a:off x="58" y="938"/>
              <a:ext cx="53" cy="7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5182" name="Group 641"/>
            <xdr:cNvGrpSpPr>
              <a:grpSpLocks/>
            </xdr:cNvGrpSpPr>
          </xdr:nvGrpSpPr>
          <xdr:grpSpPr bwMode="auto">
            <a:xfrm>
              <a:off x="104" y="941"/>
              <a:ext cx="7" cy="67"/>
              <a:chOff x="328" y="213"/>
              <a:chExt cx="7" cy="75"/>
            </a:xfrm>
          </xdr:grpSpPr>
          <xdr:sp macro="" textlink="">
            <xdr:nvSpPr>
              <xdr:cNvPr id="55202" name="Line 642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03" name="Line 643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04" name="Line 644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05" name="Line 645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06" name="Line 646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07" name="Line 647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08" name="Line 648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09" name="Line 649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10" name="Line 650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11" name="Line 651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3" name="Group 652"/>
            <xdr:cNvGrpSpPr>
              <a:grpSpLocks/>
            </xdr:cNvGrpSpPr>
          </xdr:nvGrpSpPr>
          <xdr:grpSpPr bwMode="auto">
            <a:xfrm>
              <a:off x="58" y="940"/>
              <a:ext cx="7" cy="67"/>
              <a:chOff x="328" y="213"/>
              <a:chExt cx="7" cy="75"/>
            </a:xfrm>
          </xdr:grpSpPr>
          <xdr:sp macro="" textlink="">
            <xdr:nvSpPr>
              <xdr:cNvPr id="55192" name="Line 653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93" name="Line 654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94" name="Line 655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95" name="Line 656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96" name="Line 657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97" name="Line 658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98" name="Line 659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99" name="Line 660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00" name="Line 661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01" name="Line 662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35" name="Text Box 663"/>
            <xdr:cNvSpPr txBox="1">
              <a:spLocks noChangeArrowheads="1"/>
            </xdr:cNvSpPr>
          </xdr:nvSpPr>
          <xdr:spPr bwMode="auto">
            <a:xfrm>
              <a:off x="65" y="1011"/>
              <a:ext cx="5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3736" name="Text Box 664"/>
            <xdr:cNvSpPr txBox="1">
              <a:spLocks noChangeArrowheads="1"/>
            </xdr:cNvSpPr>
          </xdr:nvSpPr>
          <xdr:spPr bwMode="auto">
            <a:xfrm>
              <a:off x="40" y="963"/>
              <a:ext cx="3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5186" name="Group 665"/>
            <xdr:cNvGrpSpPr>
              <a:grpSpLocks/>
            </xdr:cNvGrpSpPr>
          </xdr:nvGrpSpPr>
          <xdr:grpSpPr bwMode="auto">
            <a:xfrm>
              <a:off x="69" y="948"/>
              <a:ext cx="45" cy="47"/>
              <a:chOff x="70" y="88"/>
              <a:chExt cx="45" cy="47"/>
            </a:xfrm>
          </xdr:grpSpPr>
          <xdr:sp macro="" textlink="">
            <xdr:nvSpPr>
              <xdr:cNvPr id="3738" name="Text Box 666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7</a:t>
                </a:r>
                <a:endParaRPr lang="pt-BR"/>
              </a:p>
            </xdr:txBody>
          </xdr:sp>
          <xdr:sp macro="" textlink="">
            <xdr:nvSpPr>
              <xdr:cNvPr id="55188" name="Line 667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89" name="Line 668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41" name="Text Box 669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3742" name="Text Box 670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5096" name="Group 671"/>
          <xdr:cNvGrpSpPr>
            <a:grpSpLocks/>
          </xdr:cNvGrpSpPr>
        </xdr:nvGrpSpPr>
        <xdr:grpSpPr bwMode="auto">
          <a:xfrm>
            <a:off x="1733" y="1933"/>
            <a:ext cx="73" cy="89"/>
            <a:chOff x="44" y="1078"/>
            <a:chExt cx="73" cy="90"/>
          </a:xfrm>
        </xdr:grpSpPr>
        <xdr:sp macro="" textlink="">
          <xdr:nvSpPr>
            <xdr:cNvPr id="55143" name="Rectangle 672"/>
            <xdr:cNvSpPr>
              <a:spLocks noChangeArrowheads="1"/>
            </xdr:cNvSpPr>
          </xdr:nvSpPr>
          <xdr:spPr bwMode="auto">
            <a:xfrm>
              <a:off x="59" y="1078"/>
              <a:ext cx="51" cy="6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5144" name="Group 673"/>
            <xdr:cNvGrpSpPr>
              <a:grpSpLocks/>
            </xdr:cNvGrpSpPr>
          </xdr:nvGrpSpPr>
          <xdr:grpSpPr bwMode="auto">
            <a:xfrm>
              <a:off x="66" y="1140"/>
              <a:ext cx="42" cy="6"/>
              <a:chOff x="204" y="283"/>
              <a:chExt cx="46" cy="7"/>
            </a:xfrm>
          </xdr:grpSpPr>
          <xdr:sp macro="" textlink="">
            <xdr:nvSpPr>
              <xdr:cNvPr id="55175" name="Line 674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76" name="Line 675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77" name="Line 676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78" name="Line 677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79" name="Line 678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80" name="Line 679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45" name="Group 680"/>
            <xdr:cNvGrpSpPr>
              <a:grpSpLocks/>
            </xdr:cNvGrpSpPr>
          </xdr:nvGrpSpPr>
          <xdr:grpSpPr bwMode="auto">
            <a:xfrm>
              <a:off x="102" y="1081"/>
              <a:ext cx="8" cy="63"/>
              <a:chOff x="328" y="213"/>
              <a:chExt cx="7" cy="75"/>
            </a:xfrm>
          </xdr:grpSpPr>
          <xdr:sp macro="" textlink="">
            <xdr:nvSpPr>
              <xdr:cNvPr id="55165" name="Line 681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66" name="Line 682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67" name="Line 683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68" name="Line 684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69" name="Line 685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70" name="Line 686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71" name="Line 687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72" name="Line 688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73" name="Line 689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74" name="Line 690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46" name="Group 691"/>
            <xdr:cNvGrpSpPr>
              <a:grpSpLocks/>
            </xdr:cNvGrpSpPr>
          </xdr:nvGrpSpPr>
          <xdr:grpSpPr bwMode="auto">
            <a:xfrm>
              <a:off x="59" y="1080"/>
              <a:ext cx="7" cy="63"/>
              <a:chOff x="328" y="213"/>
              <a:chExt cx="7" cy="75"/>
            </a:xfrm>
          </xdr:grpSpPr>
          <xdr:sp macro="" textlink="">
            <xdr:nvSpPr>
              <xdr:cNvPr id="55155" name="Line 692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56" name="Line 693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57" name="Line 694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58" name="Line 695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59" name="Line 696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60" name="Line 697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61" name="Line 698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62" name="Line 699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63" name="Line 700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64" name="Line 701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74" name="Text Box 702"/>
            <xdr:cNvSpPr txBox="1">
              <a:spLocks noChangeArrowheads="1"/>
            </xdr:cNvSpPr>
          </xdr:nvSpPr>
          <xdr:spPr bwMode="auto">
            <a:xfrm>
              <a:off x="66" y="1149"/>
              <a:ext cx="51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3775" name="Text Box 703"/>
            <xdr:cNvSpPr txBox="1">
              <a:spLocks noChangeArrowheads="1"/>
            </xdr:cNvSpPr>
          </xdr:nvSpPr>
          <xdr:spPr bwMode="auto">
            <a:xfrm>
              <a:off x="44" y="1105"/>
              <a:ext cx="33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5149" name="Group 704"/>
            <xdr:cNvGrpSpPr>
              <a:grpSpLocks/>
            </xdr:cNvGrpSpPr>
          </xdr:nvGrpSpPr>
          <xdr:grpSpPr bwMode="auto">
            <a:xfrm>
              <a:off x="67" y="1086"/>
              <a:ext cx="45" cy="47"/>
              <a:chOff x="70" y="88"/>
              <a:chExt cx="45" cy="47"/>
            </a:xfrm>
          </xdr:grpSpPr>
          <xdr:sp macro="" textlink="">
            <xdr:nvSpPr>
              <xdr:cNvPr id="3777" name="Text Box 705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8</a:t>
                </a:r>
                <a:endParaRPr lang="pt-BR"/>
              </a:p>
            </xdr:txBody>
          </xdr:sp>
          <xdr:sp macro="" textlink="">
            <xdr:nvSpPr>
              <xdr:cNvPr id="55151" name="Line 706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52" name="Line 707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80" name="Text Box 708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3781" name="Text Box 709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5097" name="Group 710"/>
          <xdr:cNvGrpSpPr>
            <a:grpSpLocks/>
          </xdr:cNvGrpSpPr>
        </xdr:nvGrpSpPr>
        <xdr:grpSpPr bwMode="auto">
          <a:xfrm>
            <a:off x="1732" y="2168"/>
            <a:ext cx="74" cy="87"/>
            <a:chOff x="43" y="1227"/>
            <a:chExt cx="74" cy="89"/>
          </a:xfrm>
        </xdr:grpSpPr>
        <xdr:sp macro="" textlink="">
          <xdr:nvSpPr>
            <xdr:cNvPr id="55098" name="Rectangle 711"/>
            <xdr:cNvSpPr>
              <a:spLocks noChangeArrowheads="1"/>
            </xdr:cNvSpPr>
          </xdr:nvSpPr>
          <xdr:spPr bwMode="auto">
            <a:xfrm>
              <a:off x="60" y="1227"/>
              <a:ext cx="50" cy="6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5099" name="Group 712"/>
            <xdr:cNvGrpSpPr>
              <a:grpSpLocks/>
            </xdr:cNvGrpSpPr>
          </xdr:nvGrpSpPr>
          <xdr:grpSpPr bwMode="auto">
            <a:xfrm>
              <a:off x="66" y="1288"/>
              <a:ext cx="42" cy="7"/>
              <a:chOff x="204" y="283"/>
              <a:chExt cx="46" cy="7"/>
            </a:xfrm>
          </xdr:grpSpPr>
          <xdr:sp macro="" textlink="">
            <xdr:nvSpPr>
              <xdr:cNvPr id="55137" name="Line 713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38" name="Line 714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39" name="Line 715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40" name="Line 716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41" name="Line 717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42" name="Line 718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00" name="Group 719"/>
            <xdr:cNvGrpSpPr>
              <a:grpSpLocks/>
            </xdr:cNvGrpSpPr>
          </xdr:nvGrpSpPr>
          <xdr:grpSpPr bwMode="auto">
            <a:xfrm>
              <a:off x="103" y="1230"/>
              <a:ext cx="7" cy="63"/>
              <a:chOff x="328" y="213"/>
              <a:chExt cx="7" cy="75"/>
            </a:xfrm>
          </xdr:grpSpPr>
          <xdr:sp macro="" textlink="">
            <xdr:nvSpPr>
              <xdr:cNvPr id="55127" name="Line 720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28" name="Line 721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29" name="Line 722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30" name="Line 723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31" name="Line 724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32" name="Line 725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33" name="Line 726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34" name="Line 727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35" name="Line 728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36" name="Line 729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01" name="Group 730"/>
            <xdr:cNvGrpSpPr>
              <a:grpSpLocks/>
            </xdr:cNvGrpSpPr>
          </xdr:nvGrpSpPr>
          <xdr:grpSpPr bwMode="auto">
            <a:xfrm>
              <a:off x="61" y="1229"/>
              <a:ext cx="7" cy="62"/>
              <a:chOff x="328" y="213"/>
              <a:chExt cx="7" cy="75"/>
            </a:xfrm>
          </xdr:grpSpPr>
          <xdr:sp macro="" textlink="">
            <xdr:nvSpPr>
              <xdr:cNvPr id="55117" name="Line 731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18" name="Line 732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19" name="Line 733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20" name="Line 734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21" name="Line 735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22" name="Line 736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23" name="Line 737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24" name="Line 738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25" name="Line 739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26" name="Line 740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02" name="Group 741"/>
            <xdr:cNvGrpSpPr>
              <a:grpSpLocks/>
            </xdr:cNvGrpSpPr>
          </xdr:nvGrpSpPr>
          <xdr:grpSpPr bwMode="auto">
            <a:xfrm>
              <a:off x="63" y="1227"/>
              <a:ext cx="42" cy="6"/>
              <a:chOff x="204" y="283"/>
              <a:chExt cx="46" cy="7"/>
            </a:xfrm>
          </xdr:grpSpPr>
          <xdr:sp macro="" textlink="">
            <xdr:nvSpPr>
              <xdr:cNvPr id="55111" name="Line 742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12" name="Line 743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13" name="Line 744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14" name="Line 745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15" name="Line 746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16" name="Line 747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0" name="Text Box 748"/>
            <xdr:cNvSpPr txBox="1">
              <a:spLocks noChangeArrowheads="1"/>
            </xdr:cNvSpPr>
          </xdr:nvSpPr>
          <xdr:spPr bwMode="auto">
            <a:xfrm>
              <a:off x="66" y="1295"/>
              <a:ext cx="51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3821" name="Text Box 749"/>
            <xdr:cNvSpPr txBox="1">
              <a:spLocks noChangeArrowheads="1"/>
            </xdr:cNvSpPr>
          </xdr:nvSpPr>
          <xdr:spPr bwMode="auto">
            <a:xfrm>
              <a:off x="43" y="1252"/>
              <a:ext cx="33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5105" name="Group 750"/>
            <xdr:cNvGrpSpPr>
              <a:grpSpLocks/>
            </xdr:cNvGrpSpPr>
          </xdr:nvGrpSpPr>
          <xdr:grpSpPr bwMode="auto">
            <a:xfrm>
              <a:off x="69" y="1234"/>
              <a:ext cx="45" cy="47"/>
              <a:chOff x="70" y="88"/>
              <a:chExt cx="45" cy="47"/>
            </a:xfrm>
          </xdr:grpSpPr>
          <xdr:sp macro="" textlink="">
            <xdr:nvSpPr>
              <xdr:cNvPr id="3823" name="Text Box 751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9</a:t>
                </a:r>
                <a:endParaRPr lang="pt-BR"/>
              </a:p>
            </xdr:txBody>
          </xdr:sp>
          <xdr:sp macro="" textlink="">
            <xdr:nvSpPr>
              <xdr:cNvPr id="55107" name="Line 752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108" name="Line 753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Text Box 754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3827" name="Text Box 755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</xdr:grpSp>
    <xdr:clientData/>
  </xdr:twoCellAnchor>
  <xdr:twoCellAnchor editAs="oneCell">
    <xdr:from>
      <xdr:col>41</xdr:col>
      <xdr:colOff>276225</xdr:colOff>
      <xdr:row>20</xdr:row>
      <xdr:rowOff>104775</xdr:rowOff>
    </xdr:from>
    <xdr:to>
      <xdr:col>42</xdr:col>
      <xdr:colOff>371475</xdr:colOff>
      <xdr:row>130</xdr:row>
      <xdr:rowOff>85725</xdr:rowOff>
    </xdr:to>
    <xdr:grpSp>
      <xdr:nvGrpSpPr>
        <xdr:cNvPr id="53318" name="Group 2783"/>
        <xdr:cNvGrpSpPr>
          <a:grpSpLocks/>
        </xdr:cNvGrpSpPr>
      </xdr:nvGrpSpPr>
      <xdr:grpSpPr bwMode="auto">
        <a:xfrm>
          <a:off x="28441650" y="3438525"/>
          <a:ext cx="809625" cy="16744950"/>
          <a:chOff x="2491" y="353"/>
          <a:chExt cx="85" cy="1758"/>
        </a:xfrm>
      </xdr:grpSpPr>
      <xdr:grpSp>
        <xdr:nvGrpSpPr>
          <xdr:cNvPr id="54837" name="Group 756"/>
          <xdr:cNvGrpSpPr>
            <a:grpSpLocks/>
          </xdr:cNvGrpSpPr>
        </xdr:nvGrpSpPr>
        <xdr:grpSpPr bwMode="auto">
          <a:xfrm>
            <a:off x="2494" y="353"/>
            <a:ext cx="75" cy="88"/>
            <a:chOff x="44" y="82"/>
            <a:chExt cx="75" cy="90"/>
          </a:xfrm>
        </xdr:grpSpPr>
        <xdr:sp macro="" textlink="">
          <xdr:nvSpPr>
            <xdr:cNvPr id="55080" name="Rectangle 757"/>
            <xdr:cNvSpPr>
              <a:spLocks noChangeArrowheads="1"/>
            </xdr:cNvSpPr>
          </xdr:nvSpPr>
          <xdr:spPr bwMode="auto">
            <a:xfrm>
              <a:off x="61" y="82"/>
              <a:ext cx="51" cy="6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3830" name="Text Box 758"/>
            <xdr:cNvSpPr txBox="1">
              <a:spLocks noChangeArrowheads="1"/>
            </xdr:cNvSpPr>
          </xdr:nvSpPr>
          <xdr:spPr bwMode="auto">
            <a:xfrm>
              <a:off x="67" y="150"/>
              <a:ext cx="52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3831" name="Text Box 759"/>
            <xdr:cNvSpPr txBox="1">
              <a:spLocks noChangeArrowheads="1"/>
            </xdr:cNvSpPr>
          </xdr:nvSpPr>
          <xdr:spPr bwMode="auto">
            <a:xfrm>
              <a:off x="44" y="105"/>
              <a:ext cx="34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5083" name="Group 760"/>
            <xdr:cNvGrpSpPr>
              <a:grpSpLocks/>
            </xdr:cNvGrpSpPr>
          </xdr:nvGrpSpPr>
          <xdr:grpSpPr bwMode="auto">
            <a:xfrm>
              <a:off x="70" y="88"/>
              <a:ext cx="45" cy="47"/>
              <a:chOff x="70" y="88"/>
              <a:chExt cx="45" cy="47"/>
            </a:xfrm>
          </xdr:grpSpPr>
          <xdr:sp macro="" textlink="">
            <xdr:nvSpPr>
              <xdr:cNvPr id="3833" name="Text Box 761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1</a:t>
                </a:r>
                <a:endParaRPr lang="pt-BR"/>
              </a:p>
            </xdr:txBody>
          </xdr:sp>
          <xdr:sp macro="" textlink="">
            <xdr:nvSpPr>
              <xdr:cNvPr id="55085" name="Line 762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86" name="Line 763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Text Box 764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3837" name="Text Box 765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838" name="Group 766"/>
          <xdr:cNvGrpSpPr>
            <a:grpSpLocks/>
          </xdr:cNvGrpSpPr>
        </xdr:nvGrpSpPr>
        <xdr:grpSpPr bwMode="auto">
          <a:xfrm>
            <a:off x="2496" y="558"/>
            <a:ext cx="80" cy="90"/>
            <a:chOff x="43" y="204"/>
            <a:chExt cx="80" cy="92"/>
          </a:xfrm>
        </xdr:grpSpPr>
        <xdr:sp macro="" textlink="">
          <xdr:nvSpPr>
            <xdr:cNvPr id="55064" name="Rectangle 767"/>
            <xdr:cNvSpPr>
              <a:spLocks noChangeArrowheads="1"/>
            </xdr:cNvSpPr>
          </xdr:nvSpPr>
          <xdr:spPr bwMode="auto">
            <a:xfrm>
              <a:off x="61" y="204"/>
              <a:ext cx="52" cy="7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5065" name="Group 768"/>
            <xdr:cNvGrpSpPr>
              <a:grpSpLocks/>
            </xdr:cNvGrpSpPr>
          </xdr:nvGrpSpPr>
          <xdr:grpSpPr bwMode="auto">
            <a:xfrm>
              <a:off x="63" y="269"/>
              <a:ext cx="47" cy="5"/>
              <a:chOff x="204" y="283"/>
              <a:chExt cx="46" cy="7"/>
            </a:xfrm>
          </xdr:grpSpPr>
          <xdr:sp macro="" textlink="">
            <xdr:nvSpPr>
              <xdr:cNvPr id="55074" name="Line 769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75" name="Line 770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76" name="Line 771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77" name="Line 772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78" name="Line 773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79" name="Line 774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47" name="Text Box 775"/>
            <xdr:cNvSpPr txBox="1">
              <a:spLocks noChangeArrowheads="1"/>
            </xdr:cNvSpPr>
          </xdr:nvSpPr>
          <xdr:spPr bwMode="auto">
            <a:xfrm>
              <a:off x="43" y="231"/>
              <a:ext cx="3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sp macro="" textlink="">
          <xdr:nvSpPr>
            <xdr:cNvPr id="3848" name="Text Box 776"/>
            <xdr:cNvSpPr txBox="1">
              <a:spLocks noChangeArrowheads="1"/>
            </xdr:cNvSpPr>
          </xdr:nvSpPr>
          <xdr:spPr bwMode="auto">
            <a:xfrm>
              <a:off x="68" y="274"/>
              <a:ext cx="5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grpSp>
          <xdr:nvGrpSpPr>
            <xdr:cNvPr id="55068" name="Group 777"/>
            <xdr:cNvGrpSpPr>
              <a:grpSpLocks/>
            </xdr:cNvGrpSpPr>
          </xdr:nvGrpSpPr>
          <xdr:grpSpPr bwMode="auto">
            <a:xfrm>
              <a:off x="71" y="213"/>
              <a:ext cx="45" cy="47"/>
              <a:chOff x="70" y="88"/>
              <a:chExt cx="45" cy="47"/>
            </a:xfrm>
          </xdr:grpSpPr>
          <xdr:sp macro="" textlink="">
            <xdr:nvSpPr>
              <xdr:cNvPr id="3850" name="Text Box 778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endParaRPr lang="pt-BR"/>
              </a:p>
            </xdr:txBody>
          </xdr:sp>
          <xdr:sp macro="" textlink="">
            <xdr:nvSpPr>
              <xdr:cNvPr id="55070" name="Line 779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71" name="Line 780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53" name="Text Box 781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3854" name="Text Box 782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839" name="Group 783"/>
          <xdr:cNvGrpSpPr>
            <a:grpSpLocks/>
          </xdr:cNvGrpSpPr>
        </xdr:nvGrpSpPr>
        <xdr:grpSpPr bwMode="auto">
          <a:xfrm>
            <a:off x="2496" y="771"/>
            <a:ext cx="78" cy="93"/>
            <a:chOff x="44" y="337"/>
            <a:chExt cx="78" cy="94"/>
          </a:xfrm>
        </xdr:grpSpPr>
        <xdr:sp macro="" textlink="">
          <xdr:nvSpPr>
            <xdr:cNvPr id="55041" name="Rectangle 784"/>
            <xdr:cNvSpPr>
              <a:spLocks noChangeArrowheads="1"/>
            </xdr:cNvSpPr>
          </xdr:nvSpPr>
          <xdr:spPr bwMode="auto">
            <a:xfrm>
              <a:off x="60" y="337"/>
              <a:ext cx="51" cy="7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5042" name="Group 785"/>
            <xdr:cNvGrpSpPr>
              <a:grpSpLocks/>
            </xdr:cNvGrpSpPr>
          </xdr:nvGrpSpPr>
          <xdr:grpSpPr bwMode="auto">
            <a:xfrm>
              <a:off x="63" y="401"/>
              <a:ext cx="46" cy="7"/>
              <a:chOff x="204" y="283"/>
              <a:chExt cx="46" cy="7"/>
            </a:xfrm>
          </xdr:grpSpPr>
          <xdr:sp macro="" textlink="">
            <xdr:nvSpPr>
              <xdr:cNvPr id="55058" name="Line 786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59" name="Line 787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60" name="Line 788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61" name="Line 789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62" name="Line 790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63" name="Line 791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43" name="Group 792"/>
            <xdr:cNvGrpSpPr>
              <a:grpSpLocks/>
            </xdr:cNvGrpSpPr>
          </xdr:nvGrpSpPr>
          <xdr:grpSpPr bwMode="auto">
            <a:xfrm>
              <a:off x="63" y="337"/>
              <a:ext cx="46" cy="5"/>
              <a:chOff x="204" y="283"/>
              <a:chExt cx="46" cy="7"/>
            </a:xfrm>
          </xdr:grpSpPr>
          <xdr:sp macro="" textlink="">
            <xdr:nvSpPr>
              <xdr:cNvPr id="55052" name="Line 793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53" name="Line 794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54" name="Line 795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55" name="Line 796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56" name="Line 797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57" name="Line 798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71" name="Text Box 799"/>
            <xdr:cNvSpPr txBox="1">
              <a:spLocks noChangeArrowheads="1"/>
            </xdr:cNvSpPr>
          </xdr:nvSpPr>
          <xdr:spPr bwMode="auto">
            <a:xfrm>
              <a:off x="68" y="409"/>
              <a:ext cx="5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3872" name="Text Box 800"/>
            <xdr:cNvSpPr txBox="1">
              <a:spLocks noChangeArrowheads="1"/>
            </xdr:cNvSpPr>
          </xdr:nvSpPr>
          <xdr:spPr bwMode="auto">
            <a:xfrm>
              <a:off x="44" y="363"/>
              <a:ext cx="35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5046" name="Group 801"/>
            <xdr:cNvGrpSpPr>
              <a:grpSpLocks/>
            </xdr:cNvGrpSpPr>
          </xdr:nvGrpSpPr>
          <xdr:grpSpPr bwMode="auto">
            <a:xfrm>
              <a:off x="70" y="346"/>
              <a:ext cx="45" cy="47"/>
              <a:chOff x="70" y="88"/>
              <a:chExt cx="45" cy="47"/>
            </a:xfrm>
          </xdr:grpSpPr>
          <xdr:sp macro="" textlink="">
            <xdr:nvSpPr>
              <xdr:cNvPr id="3874" name="Text Box 802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endParaRPr lang="pt-BR"/>
              </a:p>
            </xdr:txBody>
          </xdr:sp>
          <xdr:sp macro="" textlink="">
            <xdr:nvSpPr>
              <xdr:cNvPr id="55048" name="Line 803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49" name="Line 804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77" name="Text Box 805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3878" name="Text Box 806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840" name="Group 807"/>
          <xdr:cNvGrpSpPr>
            <a:grpSpLocks/>
          </xdr:cNvGrpSpPr>
        </xdr:nvGrpSpPr>
        <xdr:grpSpPr bwMode="auto">
          <a:xfrm>
            <a:off x="2494" y="979"/>
            <a:ext cx="75" cy="88"/>
            <a:chOff x="45" y="469"/>
            <a:chExt cx="75" cy="89"/>
          </a:xfrm>
        </xdr:grpSpPr>
        <xdr:sp macro="" textlink="">
          <xdr:nvSpPr>
            <xdr:cNvPr id="55021" name="Rectangle 808"/>
            <xdr:cNvSpPr>
              <a:spLocks noChangeArrowheads="1"/>
            </xdr:cNvSpPr>
          </xdr:nvSpPr>
          <xdr:spPr bwMode="auto">
            <a:xfrm>
              <a:off x="61" y="469"/>
              <a:ext cx="51" cy="6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5022" name="Group 809"/>
            <xdr:cNvGrpSpPr>
              <a:grpSpLocks/>
            </xdr:cNvGrpSpPr>
          </xdr:nvGrpSpPr>
          <xdr:grpSpPr bwMode="auto">
            <a:xfrm>
              <a:off x="61" y="471"/>
              <a:ext cx="7" cy="63"/>
              <a:chOff x="328" y="213"/>
              <a:chExt cx="7" cy="75"/>
            </a:xfrm>
          </xdr:grpSpPr>
          <xdr:sp macro="" textlink="">
            <xdr:nvSpPr>
              <xdr:cNvPr id="55031" name="Line 810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32" name="Line 811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33" name="Line 812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34" name="Line 813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35" name="Line 814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36" name="Line 815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37" name="Line 816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38" name="Line 817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39" name="Line 818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40" name="Line 819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92" name="Text Box 820"/>
            <xdr:cNvSpPr txBox="1">
              <a:spLocks noChangeArrowheads="1"/>
            </xdr:cNvSpPr>
          </xdr:nvSpPr>
          <xdr:spPr bwMode="auto">
            <a:xfrm>
              <a:off x="68" y="538"/>
              <a:ext cx="52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3893" name="Text Box 821"/>
            <xdr:cNvSpPr txBox="1">
              <a:spLocks noChangeArrowheads="1"/>
            </xdr:cNvSpPr>
          </xdr:nvSpPr>
          <xdr:spPr bwMode="auto">
            <a:xfrm>
              <a:off x="45" y="492"/>
              <a:ext cx="34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5025" name="Group 822"/>
            <xdr:cNvGrpSpPr>
              <a:grpSpLocks/>
            </xdr:cNvGrpSpPr>
          </xdr:nvGrpSpPr>
          <xdr:grpSpPr bwMode="auto">
            <a:xfrm>
              <a:off x="71" y="476"/>
              <a:ext cx="45" cy="47"/>
              <a:chOff x="70" y="88"/>
              <a:chExt cx="45" cy="47"/>
            </a:xfrm>
          </xdr:grpSpPr>
          <xdr:sp macro="" textlink="">
            <xdr:nvSpPr>
              <xdr:cNvPr id="3895" name="Text Box 823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4</a:t>
                </a:r>
                <a:endParaRPr lang="pt-BR"/>
              </a:p>
            </xdr:txBody>
          </xdr:sp>
          <xdr:sp macro="" textlink="">
            <xdr:nvSpPr>
              <xdr:cNvPr id="55027" name="Line 824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28" name="Line 825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8" name="Text Box 826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3899" name="Text Box 827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841" name="Group 828"/>
          <xdr:cNvGrpSpPr>
            <a:grpSpLocks/>
          </xdr:cNvGrpSpPr>
        </xdr:nvGrpSpPr>
        <xdr:grpSpPr bwMode="auto">
          <a:xfrm>
            <a:off x="2497" y="1184"/>
            <a:ext cx="76" cy="89"/>
            <a:chOff x="46" y="624"/>
            <a:chExt cx="76" cy="90"/>
          </a:xfrm>
        </xdr:grpSpPr>
        <xdr:sp macro="" textlink="">
          <xdr:nvSpPr>
            <xdr:cNvPr id="54994" name="Rectangle 829"/>
            <xdr:cNvSpPr>
              <a:spLocks noChangeArrowheads="1"/>
            </xdr:cNvSpPr>
          </xdr:nvSpPr>
          <xdr:spPr bwMode="auto">
            <a:xfrm>
              <a:off x="62" y="624"/>
              <a:ext cx="50" cy="6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995" name="Group 830"/>
            <xdr:cNvGrpSpPr>
              <a:grpSpLocks/>
            </xdr:cNvGrpSpPr>
          </xdr:nvGrpSpPr>
          <xdr:grpSpPr bwMode="auto">
            <a:xfrm>
              <a:off x="66" y="686"/>
              <a:ext cx="44" cy="5"/>
              <a:chOff x="204" y="283"/>
              <a:chExt cx="46" cy="7"/>
            </a:xfrm>
          </xdr:grpSpPr>
          <xdr:sp macro="" textlink="">
            <xdr:nvSpPr>
              <xdr:cNvPr id="55015" name="Line 831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16" name="Line 832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17" name="Line 833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18" name="Line 834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19" name="Line 835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20" name="Line 836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996" name="Group 837"/>
            <xdr:cNvGrpSpPr>
              <a:grpSpLocks/>
            </xdr:cNvGrpSpPr>
          </xdr:nvGrpSpPr>
          <xdr:grpSpPr bwMode="auto">
            <a:xfrm>
              <a:off x="62" y="625"/>
              <a:ext cx="7" cy="64"/>
              <a:chOff x="328" y="213"/>
              <a:chExt cx="7" cy="75"/>
            </a:xfrm>
          </xdr:grpSpPr>
          <xdr:sp macro="" textlink="">
            <xdr:nvSpPr>
              <xdr:cNvPr id="55005" name="Line 838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06" name="Line 839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07" name="Line 840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08" name="Line 841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09" name="Line 842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10" name="Line 843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11" name="Line 844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12" name="Line 845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13" name="Line 846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14" name="Line 847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20" name="Text Box 848"/>
            <xdr:cNvSpPr txBox="1">
              <a:spLocks noChangeArrowheads="1"/>
            </xdr:cNvSpPr>
          </xdr:nvSpPr>
          <xdr:spPr bwMode="auto">
            <a:xfrm>
              <a:off x="69" y="693"/>
              <a:ext cx="53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3921" name="Text Box 849"/>
            <xdr:cNvSpPr txBox="1">
              <a:spLocks noChangeArrowheads="1"/>
            </xdr:cNvSpPr>
          </xdr:nvSpPr>
          <xdr:spPr bwMode="auto">
            <a:xfrm>
              <a:off x="46" y="647"/>
              <a:ext cx="3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999" name="Group 850"/>
            <xdr:cNvGrpSpPr>
              <a:grpSpLocks/>
            </xdr:cNvGrpSpPr>
          </xdr:nvGrpSpPr>
          <xdr:grpSpPr bwMode="auto">
            <a:xfrm>
              <a:off x="71" y="631"/>
              <a:ext cx="45" cy="47"/>
              <a:chOff x="70" y="88"/>
              <a:chExt cx="45" cy="47"/>
            </a:xfrm>
          </xdr:grpSpPr>
          <xdr:sp macro="" textlink="">
            <xdr:nvSpPr>
              <xdr:cNvPr id="3923" name="Text Box 851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5</a:t>
                </a:r>
                <a:endParaRPr lang="pt-BR"/>
              </a:p>
            </xdr:txBody>
          </xdr:sp>
          <xdr:sp macro="" textlink="">
            <xdr:nvSpPr>
              <xdr:cNvPr id="55001" name="Line 852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02" name="Line 853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26" name="Text Box 854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3927" name="Text Box 855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842" name="Group 856"/>
          <xdr:cNvGrpSpPr>
            <a:grpSpLocks/>
          </xdr:cNvGrpSpPr>
        </xdr:nvGrpSpPr>
        <xdr:grpSpPr bwMode="auto">
          <a:xfrm>
            <a:off x="2495" y="1389"/>
            <a:ext cx="74" cy="89"/>
            <a:chOff x="44" y="800"/>
            <a:chExt cx="74" cy="90"/>
          </a:xfrm>
        </xdr:grpSpPr>
        <xdr:sp macro="" textlink="">
          <xdr:nvSpPr>
            <xdr:cNvPr id="54960" name="Rectangle 857"/>
            <xdr:cNvSpPr>
              <a:spLocks noChangeArrowheads="1"/>
            </xdr:cNvSpPr>
          </xdr:nvSpPr>
          <xdr:spPr bwMode="auto">
            <a:xfrm>
              <a:off x="61" y="800"/>
              <a:ext cx="50" cy="6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961" name="Group 858"/>
            <xdr:cNvGrpSpPr>
              <a:grpSpLocks/>
            </xdr:cNvGrpSpPr>
          </xdr:nvGrpSpPr>
          <xdr:grpSpPr bwMode="auto">
            <a:xfrm>
              <a:off x="67" y="863"/>
              <a:ext cx="43" cy="5"/>
              <a:chOff x="204" y="283"/>
              <a:chExt cx="46" cy="7"/>
            </a:xfrm>
          </xdr:grpSpPr>
          <xdr:sp macro="" textlink="">
            <xdr:nvSpPr>
              <xdr:cNvPr id="54988" name="Line 859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89" name="Line 860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90" name="Line 861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91" name="Line 862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92" name="Line 863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93" name="Line 864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962" name="Group 865"/>
            <xdr:cNvGrpSpPr>
              <a:grpSpLocks/>
            </xdr:cNvGrpSpPr>
          </xdr:nvGrpSpPr>
          <xdr:grpSpPr bwMode="auto">
            <a:xfrm>
              <a:off x="61" y="802"/>
              <a:ext cx="7" cy="64"/>
              <a:chOff x="328" y="213"/>
              <a:chExt cx="7" cy="75"/>
            </a:xfrm>
          </xdr:grpSpPr>
          <xdr:sp macro="" textlink="">
            <xdr:nvSpPr>
              <xdr:cNvPr id="54978" name="Line 866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79" name="Line 867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80" name="Line 868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81" name="Line 869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82" name="Line 870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83" name="Line 871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84" name="Line 872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85" name="Line 873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86" name="Line 874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87" name="Line 875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963" name="Group 876"/>
            <xdr:cNvGrpSpPr>
              <a:grpSpLocks/>
            </xdr:cNvGrpSpPr>
          </xdr:nvGrpSpPr>
          <xdr:grpSpPr bwMode="auto">
            <a:xfrm>
              <a:off x="66" y="800"/>
              <a:ext cx="43" cy="5"/>
              <a:chOff x="204" y="283"/>
              <a:chExt cx="46" cy="7"/>
            </a:xfrm>
          </xdr:grpSpPr>
          <xdr:sp macro="" textlink="">
            <xdr:nvSpPr>
              <xdr:cNvPr id="54972" name="Line 877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73" name="Line 878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74" name="Line 879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75" name="Line 880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76" name="Line 881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77" name="Line 882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55" name="Text Box 883"/>
            <xdr:cNvSpPr txBox="1">
              <a:spLocks noChangeArrowheads="1"/>
            </xdr:cNvSpPr>
          </xdr:nvSpPr>
          <xdr:spPr bwMode="auto">
            <a:xfrm>
              <a:off x="67" y="868"/>
              <a:ext cx="51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3956" name="Text Box 884"/>
            <xdr:cNvSpPr txBox="1">
              <a:spLocks noChangeArrowheads="1"/>
            </xdr:cNvSpPr>
          </xdr:nvSpPr>
          <xdr:spPr bwMode="auto">
            <a:xfrm>
              <a:off x="44" y="826"/>
              <a:ext cx="33" cy="1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966" name="Group 885"/>
            <xdr:cNvGrpSpPr>
              <a:grpSpLocks/>
            </xdr:cNvGrpSpPr>
          </xdr:nvGrpSpPr>
          <xdr:grpSpPr bwMode="auto">
            <a:xfrm>
              <a:off x="70" y="808"/>
              <a:ext cx="45" cy="47"/>
              <a:chOff x="70" y="88"/>
              <a:chExt cx="45" cy="47"/>
            </a:xfrm>
          </xdr:grpSpPr>
          <xdr:sp macro="" textlink="">
            <xdr:nvSpPr>
              <xdr:cNvPr id="3958" name="Text Box 886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6</a:t>
                </a:r>
                <a:endParaRPr lang="pt-BR"/>
              </a:p>
            </xdr:txBody>
          </xdr:sp>
          <xdr:sp macro="" textlink="">
            <xdr:nvSpPr>
              <xdr:cNvPr id="54968" name="Line 887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69" name="Line 888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1" name="Text Box 889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3962" name="Text Box 890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843" name="Group 891"/>
          <xdr:cNvGrpSpPr>
            <a:grpSpLocks/>
          </xdr:cNvGrpSpPr>
        </xdr:nvGrpSpPr>
        <xdr:grpSpPr bwMode="auto">
          <a:xfrm>
            <a:off x="2491" y="1596"/>
            <a:ext cx="79" cy="93"/>
            <a:chOff x="40" y="938"/>
            <a:chExt cx="79" cy="95"/>
          </a:xfrm>
        </xdr:grpSpPr>
        <xdr:sp macro="" textlink="">
          <xdr:nvSpPr>
            <xdr:cNvPr id="54929" name="Rectangle 892"/>
            <xdr:cNvSpPr>
              <a:spLocks noChangeArrowheads="1"/>
            </xdr:cNvSpPr>
          </xdr:nvSpPr>
          <xdr:spPr bwMode="auto">
            <a:xfrm>
              <a:off x="58" y="938"/>
              <a:ext cx="53" cy="7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930" name="Group 893"/>
            <xdr:cNvGrpSpPr>
              <a:grpSpLocks/>
            </xdr:cNvGrpSpPr>
          </xdr:nvGrpSpPr>
          <xdr:grpSpPr bwMode="auto">
            <a:xfrm>
              <a:off x="104" y="941"/>
              <a:ext cx="7" cy="67"/>
              <a:chOff x="328" y="213"/>
              <a:chExt cx="7" cy="75"/>
            </a:xfrm>
          </xdr:grpSpPr>
          <xdr:sp macro="" textlink="">
            <xdr:nvSpPr>
              <xdr:cNvPr id="54950" name="Line 894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51" name="Line 895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52" name="Line 896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53" name="Line 897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54" name="Line 898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55" name="Line 899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56" name="Line 900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57" name="Line 901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58" name="Line 902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59" name="Line 903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931" name="Group 904"/>
            <xdr:cNvGrpSpPr>
              <a:grpSpLocks/>
            </xdr:cNvGrpSpPr>
          </xdr:nvGrpSpPr>
          <xdr:grpSpPr bwMode="auto">
            <a:xfrm>
              <a:off x="58" y="940"/>
              <a:ext cx="7" cy="67"/>
              <a:chOff x="328" y="213"/>
              <a:chExt cx="7" cy="75"/>
            </a:xfrm>
          </xdr:grpSpPr>
          <xdr:sp macro="" textlink="">
            <xdr:nvSpPr>
              <xdr:cNvPr id="54940" name="Line 905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41" name="Line 906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42" name="Line 907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43" name="Line 908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44" name="Line 909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45" name="Line 910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46" name="Line 911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47" name="Line 912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48" name="Line 913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49" name="Line 914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87" name="Text Box 915"/>
            <xdr:cNvSpPr txBox="1">
              <a:spLocks noChangeArrowheads="1"/>
            </xdr:cNvSpPr>
          </xdr:nvSpPr>
          <xdr:spPr bwMode="auto">
            <a:xfrm>
              <a:off x="65" y="1011"/>
              <a:ext cx="5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3988" name="Text Box 916"/>
            <xdr:cNvSpPr txBox="1">
              <a:spLocks noChangeArrowheads="1"/>
            </xdr:cNvSpPr>
          </xdr:nvSpPr>
          <xdr:spPr bwMode="auto">
            <a:xfrm>
              <a:off x="40" y="963"/>
              <a:ext cx="3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934" name="Group 917"/>
            <xdr:cNvGrpSpPr>
              <a:grpSpLocks/>
            </xdr:cNvGrpSpPr>
          </xdr:nvGrpSpPr>
          <xdr:grpSpPr bwMode="auto">
            <a:xfrm>
              <a:off x="69" y="948"/>
              <a:ext cx="45" cy="47"/>
              <a:chOff x="70" y="88"/>
              <a:chExt cx="45" cy="47"/>
            </a:xfrm>
          </xdr:grpSpPr>
          <xdr:sp macro="" textlink="">
            <xdr:nvSpPr>
              <xdr:cNvPr id="3990" name="Text Box 918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7</a:t>
                </a:r>
                <a:endParaRPr lang="pt-BR"/>
              </a:p>
            </xdr:txBody>
          </xdr:sp>
          <xdr:sp macro="" textlink="">
            <xdr:nvSpPr>
              <xdr:cNvPr id="54936" name="Line 919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37" name="Line 920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93" name="Text Box 921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3994" name="Text Box 922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844" name="Group 923"/>
          <xdr:cNvGrpSpPr>
            <a:grpSpLocks/>
          </xdr:cNvGrpSpPr>
        </xdr:nvGrpSpPr>
        <xdr:grpSpPr bwMode="auto">
          <a:xfrm>
            <a:off x="2498" y="1805"/>
            <a:ext cx="73" cy="89"/>
            <a:chOff x="44" y="1078"/>
            <a:chExt cx="73" cy="90"/>
          </a:xfrm>
        </xdr:grpSpPr>
        <xdr:sp macro="" textlink="">
          <xdr:nvSpPr>
            <xdr:cNvPr id="54891" name="Rectangle 924"/>
            <xdr:cNvSpPr>
              <a:spLocks noChangeArrowheads="1"/>
            </xdr:cNvSpPr>
          </xdr:nvSpPr>
          <xdr:spPr bwMode="auto">
            <a:xfrm>
              <a:off x="59" y="1078"/>
              <a:ext cx="51" cy="6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892" name="Group 925"/>
            <xdr:cNvGrpSpPr>
              <a:grpSpLocks/>
            </xdr:cNvGrpSpPr>
          </xdr:nvGrpSpPr>
          <xdr:grpSpPr bwMode="auto">
            <a:xfrm>
              <a:off x="66" y="1140"/>
              <a:ext cx="42" cy="6"/>
              <a:chOff x="204" y="283"/>
              <a:chExt cx="46" cy="7"/>
            </a:xfrm>
          </xdr:grpSpPr>
          <xdr:sp macro="" textlink="">
            <xdr:nvSpPr>
              <xdr:cNvPr id="54923" name="Line 926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24" name="Line 927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25" name="Line 928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26" name="Line 929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27" name="Line 930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28" name="Line 931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893" name="Group 932"/>
            <xdr:cNvGrpSpPr>
              <a:grpSpLocks/>
            </xdr:cNvGrpSpPr>
          </xdr:nvGrpSpPr>
          <xdr:grpSpPr bwMode="auto">
            <a:xfrm>
              <a:off x="102" y="1081"/>
              <a:ext cx="8" cy="63"/>
              <a:chOff x="328" y="213"/>
              <a:chExt cx="7" cy="75"/>
            </a:xfrm>
          </xdr:grpSpPr>
          <xdr:sp macro="" textlink="">
            <xdr:nvSpPr>
              <xdr:cNvPr id="54913" name="Line 933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14" name="Line 934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15" name="Line 935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16" name="Line 936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17" name="Line 937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18" name="Line 938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19" name="Line 939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20" name="Line 940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21" name="Line 941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22" name="Line 942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894" name="Group 943"/>
            <xdr:cNvGrpSpPr>
              <a:grpSpLocks/>
            </xdr:cNvGrpSpPr>
          </xdr:nvGrpSpPr>
          <xdr:grpSpPr bwMode="auto">
            <a:xfrm>
              <a:off x="59" y="1080"/>
              <a:ext cx="7" cy="63"/>
              <a:chOff x="328" y="213"/>
              <a:chExt cx="7" cy="75"/>
            </a:xfrm>
          </xdr:grpSpPr>
          <xdr:sp macro="" textlink="">
            <xdr:nvSpPr>
              <xdr:cNvPr id="54903" name="Line 944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04" name="Line 945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05" name="Line 946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06" name="Line 947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07" name="Line 948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08" name="Line 949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09" name="Line 950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10" name="Line 951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11" name="Line 952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12" name="Line 953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26" name="Text Box 954"/>
            <xdr:cNvSpPr txBox="1">
              <a:spLocks noChangeArrowheads="1"/>
            </xdr:cNvSpPr>
          </xdr:nvSpPr>
          <xdr:spPr bwMode="auto">
            <a:xfrm>
              <a:off x="66" y="1147"/>
              <a:ext cx="51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4027" name="Text Box 955"/>
            <xdr:cNvSpPr txBox="1">
              <a:spLocks noChangeArrowheads="1"/>
            </xdr:cNvSpPr>
          </xdr:nvSpPr>
          <xdr:spPr bwMode="auto">
            <a:xfrm>
              <a:off x="44" y="1105"/>
              <a:ext cx="33" cy="1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897" name="Group 956"/>
            <xdr:cNvGrpSpPr>
              <a:grpSpLocks/>
            </xdr:cNvGrpSpPr>
          </xdr:nvGrpSpPr>
          <xdr:grpSpPr bwMode="auto">
            <a:xfrm>
              <a:off x="67" y="1086"/>
              <a:ext cx="45" cy="47"/>
              <a:chOff x="70" y="88"/>
              <a:chExt cx="45" cy="47"/>
            </a:xfrm>
          </xdr:grpSpPr>
          <xdr:sp macro="" textlink="">
            <xdr:nvSpPr>
              <xdr:cNvPr id="4029" name="Text Box 957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8</a:t>
                </a:r>
                <a:endParaRPr lang="pt-BR"/>
              </a:p>
            </xdr:txBody>
          </xdr:sp>
          <xdr:sp macro="" textlink="">
            <xdr:nvSpPr>
              <xdr:cNvPr id="54899" name="Line 958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900" name="Line 959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2" name="Text Box 960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4033" name="Text Box 961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845" name="Group 962"/>
          <xdr:cNvGrpSpPr>
            <a:grpSpLocks/>
          </xdr:cNvGrpSpPr>
        </xdr:nvGrpSpPr>
        <xdr:grpSpPr bwMode="auto">
          <a:xfrm>
            <a:off x="2497" y="2024"/>
            <a:ext cx="74" cy="87"/>
            <a:chOff x="43" y="1227"/>
            <a:chExt cx="74" cy="89"/>
          </a:xfrm>
        </xdr:grpSpPr>
        <xdr:sp macro="" textlink="">
          <xdr:nvSpPr>
            <xdr:cNvPr id="54846" name="Rectangle 963"/>
            <xdr:cNvSpPr>
              <a:spLocks noChangeArrowheads="1"/>
            </xdr:cNvSpPr>
          </xdr:nvSpPr>
          <xdr:spPr bwMode="auto">
            <a:xfrm>
              <a:off x="60" y="1227"/>
              <a:ext cx="50" cy="6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847" name="Group 964"/>
            <xdr:cNvGrpSpPr>
              <a:grpSpLocks/>
            </xdr:cNvGrpSpPr>
          </xdr:nvGrpSpPr>
          <xdr:grpSpPr bwMode="auto">
            <a:xfrm>
              <a:off x="66" y="1288"/>
              <a:ext cx="42" cy="7"/>
              <a:chOff x="204" y="283"/>
              <a:chExt cx="46" cy="7"/>
            </a:xfrm>
          </xdr:grpSpPr>
          <xdr:sp macro="" textlink="">
            <xdr:nvSpPr>
              <xdr:cNvPr id="54885" name="Line 965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86" name="Line 966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87" name="Line 967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88" name="Line 968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89" name="Line 969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90" name="Line 970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848" name="Group 971"/>
            <xdr:cNvGrpSpPr>
              <a:grpSpLocks/>
            </xdr:cNvGrpSpPr>
          </xdr:nvGrpSpPr>
          <xdr:grpSpPr bwMode="auto">
            <a:xfrm>
              <a:off x="103" y="1230"/>
              <a:ext cx="7" cy="63"/>
              <a:chOff x="328" y="213"/>
              <a:chExt cx="7" cy="75"/>
            </a:xfrm>
          </xdr:grpSpPr>
          <xdr:sp macro="" textlink="">
            <xdr:nvSpPr>
              <xdr:cNvPr id="54875" name="Line 972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76" name="Line 973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77" name="Line 974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78" name="Line 975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79" name="Line 976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80" name="Line 977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81" name="Line 978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82" name="Line 979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83" name="Line 980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84" name="Line 981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849" name="Group 982"/>
            <xdr:cNvGrpSpPr>
              <a:grpSpLocks/>
            </xdr:cNvGrpSpPr>
          </xdr:nvGrpSpPr>
          <xdr:grpSpPr bwMode="auto">
            <a:xfrm>
              <a:off x="61" y="1229"/>
              <a:ext cx="7" cy="62"/>
              <a:chOff x="328" y="213"/>
              <a:chExt cx="7" cy="75"/>
            </a:xfrm>
          </xdr:grpSpPr>
          <xdr:sp macro="" textlink="">
            <xdr:nvSpPr>
              <xdr:cNvPr id="54865" name="Line 983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66" name="Line 984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67" name="Line 985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68" name="Line 986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69" name="Line 987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70" name="Line 988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71" name="Line 989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72" name="Line 990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73" name="Line 991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74" name="Line 992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850" name="Group 993"/>
            <xdr:cNvGrpSpPr>
              <a:grpSpLocks/>
            </xdr:cNvGrpSpPr>
          </xdr:nvGrpSpPr>
          <xdr:grpSpPr bwMode="auto">
            <a:xfrm>
              <a:off x="63" y="1227"/>
              <a:ext cx="42" cy="6"/>
              <a:chOff x="204" y="283"/>
              <a:chExt cx="46" cy="7"/>
            </a:xfrm>
          </xdr:grpSpPr>
          <xdr:sp macro="" textlink="">
            <xdr:nvSpPr>
              <xdr:cNvPr id="54859" name="Line 994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60" name="Line 995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61" name="Line 996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62" name="Line 997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63" name="Line 998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64" name="Line 999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2" name="Text Box 1000"/>
            <xdr:cNvSpPr txBox="1">
              <a:spLocks noChangeArrowheads="1"/>
            </xdr:cNvSpPr>
          </xdr:nvSpPr>
          <xdr:spPr bwMode="auto">
            <a:xfrm>
              <a:off x="66" y="1295"/>
              <a:ext cx="51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4073" name="Text Box 1001"/>
            <xdr:cNvSpPr txBox="1">
              <a:spLocks noChangeArrowheads="1"/>
            </xdr:cNvSpPr>
          </xdr:nvSpPr>
          <xdr:spPr bwMode="auto">
            <a:xfrm>
              <a:off x="43" y="1252"/>
              <a:ext cx="33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853" name="Group 1002"/>
            <xdr:cNvGrpSpPr>
              <a:grpSpLocks/>
            </xdr:cNvGrpSpPr>
          </xdr:nvGrpSpPr>
          <xdr:grpSpPr bwMode="auto">
            <a:xfrm>
              <a:off x="69" y="1234"/>
              <a:ext cx="45" cy="47"/>
              <a:chOff x="70" y="88"/>
              <a:chExt cx="45" cy="47"/>
            </a:xfrm>
          </xdr:grpSpPr>
          <xdr:sp macro="" textlink="">
            <xdr:nvSpPr>
              <xdr:cNvPr id="4075" name="Text Box 1003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9</a:t>
                </a:r>
                <a:endParaRPr lang="pt-BR"/>
              </a:p>
            </xdr:txBody>
          </xdr:sp>
          <xdr:sp macro="" textlink="">
            <xdr:nvSpPr>
              <xdr:cNvPr id="54855" name="Line 1004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56" name="Line 1005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Text Box 1006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4079" name="Text Box 1007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</xdr:grpSp>
    <xdr:clientData/>
  </xdr:twoCellAnchor>
  <xdr:twoCellAnchor editAs="oneCell">
    <xdr:from>
      <xdr:col>67</xdr:col>
      <xdr:colOff>295275</xdr:colOff>
      <xdr:row>20</xdr:row>
      <xdr:rowOff>66675</xdr:rowOff>
    </xdr:from>
    <xdr:to>
      <xdr:col>68</xdr:col>
      <xdr:colOff>390525</xdr:colOff>
      <xdr:row>130</xdr:row>
      <xdr:rowOff>47625</xdr:rowOff>
    </xdr:to>
    <xdr:grpSp>
      <xdr:nvGrpSpPr>
        <xdr:cNvPr id="53319" name="Group 2785"/>
        <xdr:cNvGrpSpPr>
          <a:grpSpLocks/>
        </xdr:cNvGrpSpPr>
      </xdr:nvGrpSpPr>
      <xdr:grpSpPr bwMode="auto">
        <a:xfrm>
          <a:off x="47034450" y="3400425"/>
          <a:ext cx="809625" cy="16744950"/>
          <a:chOff x="4083" y="353"/>
          <a:chExt cx="85" cy="1758"/>
        </a:xfrm>
      </xdr:grpSpPr>
      <xdr:grpSp>
        <xdr:nvGrpSpPr>
          <xdr:cNvPr id="54585" name="Group 1008"/>
          <xdr:cNvGrpSpPr>
            <a:grpSpLocks/>
          </xdr:cNvGrpSpPr>
        </xdr:nvGrpSpPr>
        <xdr:grpSpPr bwMode="auto">
          <a:xfrm>
            <a:off x="4086" y="353"/>
            <a:ext cx="75" cy="88"/>
            <a:chOff x="44" y="82"/>
            <a:chExt cx="75" cy="90"/>
          </a:xfrm>
        </xdr:grpSpPr>
        <xdr:sp macro="" textlink="">
          <xdr:nvSpPr>
            <xdr:cNvPr id="54828" name="Rectangle 1009"/>
            <xdr:cNvSpPr>
              <a:spLocks noChangeArrowheads="1"/>
            </xdr:cNvSpPr>
          </xdr:nvSpPr>
          <xdr:spPr bwMode="auto">
            <a:xfrm>
              <a:off x="61" y="82"/>
              <a:ext cx="51" cy="6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4082" name="Text Box 1010"/>
            <xdr:cNvSpPr txBox="1">
              <a:spLocks noChangeArrowheads="1"/>
            </xdr:cNvSpPr>
          </xdr:nvSpPr>
          <xdr:spPr bwMode="auto">
            <a:xfrm>
              <a:off x="67" y="150"/>
              <a:ext cx="52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4083" name="Text Box 1011"/>
            <xdr:cNvSpPr txBox="1">
              <a:spLocks noChangeArrowheads="1"/>
            </xdr:cNvSpPr>
          </xdr:nvSpPr>
          <xdr:spPr bwMode="auto">
            <a:xfrm>
              <a:off x="44" y="105"/>
              <a:ext cx="34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831" name="Group 1012"/>
            <xdr:cNvGrpSpPr>
              <a:grpSpLocks/>
            </xdr:cNvGrpSpPr>
          </xdr:nvGrpSpPr>
          <xdr:grpSpPr bwMode="auto">
            <a:xfrm>
              <a:off x="70" y="88"/>
              <a:ext cx="45" cy="47"/>
              <a:chOff x="70" y="88"/>
              <a:chExt cx="45" cy="47"/>
            </a:xfrm>
          </xdr:grpSpPr>
          <xdr:sp macro="" textlink="">
            <xdr:nvSpPr>
              <xdr:cNvPr id="4085" name="Text Box 1013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1</a:t>
                </a:r>
                <a:endParaRPr lang="pt-BR"/>
              </a:p>
            </xdr:txBody>
          </xdr:sp>
          <xdr:sp macro="" textlink="">
            <xdr:nvSpPr>
              <xdr:cNvPr id="54833" name="Line 1014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34" name="Line 1015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Text Box 1016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4089" name="Text Box 1017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586" name="Group 1018"/>
          <xdr:cNvGrpSpPr>
            <a:grpSpLocks/>
          </xdr:cNvGrpSpPr>
        </xdr:nvGrpSpPr>
        <xdr:grpSpPr bwMode="auto">
          <a:xfrm>
            <a:off x="4088" y="558"/>
            <a:ext cx="80" cy="90"/>
            <a:chOff x="43" y="204"/>
            <a:chExt cx="80" cy="92"/>
          </a:xfrm>
        </xdr:grpSpPr>
        <xdr:sp macro="" textlink="">
          <xdr:nvSpPr>
            <xdr:cNvPr id="54812" name="Rectangle 1019"/>
            <xdr:cNvSpPr>
              <a:spLocks noChangeArrowheads="1"/>
            </xdr:cNvSpPr>
          </xdr:nvSpPr>
          <xdr:spPr bwMode="auto">
            <a:xfrm>
              <a:off x="61" y="204"/>
              <a:ext cx="52" cy="7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813" name="Group 1020"/>
            <xdr:cNvGrpSpPr>
              <a:grpSpLocks/>
            </xdr:cNvGrpSpPr>
          </xdr:nvGrpSpPr>
          <xdr:grpSpPr bwMode="auto">
            <a:xfrm>
              <a:off x="63" y="269"/>
              <a:ext cx="47" cy="5"/>
              <a:chOff x="204" y="283"/>
              <a:chExt cx="46" cy="7"/>
            </a:xfrm>
          </xdr:grpSpPr>
          <xdr:sp macro="" textlink="">
            <xdr:nvSpPr>
              <xdr:cNvPr id="54822" name="Line 1021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23" name="Line 1022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24" name="Line 1023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25" name="Line 1024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26" name="Line 1025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27" name="Line 1026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19" name="Text Box 1027"/>
            <xdr:cNvSpPr txBox="1">
              <a:spLocks noChangeArrowheads="1"/>
            </xdr:cNvSpPr>
          </xdr:nvSpPr>
          <xdr:spPr bwMode="auto">
            <a:xfrm>
              <a:off x="43" y="231"/>
              <a:ext cx="3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sp macro="" textlink="">
          <xdr:nvSpPr>
            <xdr:cNvPr id="9220" name="Text Box 1028"/>
            <xdr:cNvSpPr txBox="1">
              <a:spLocks noChangeArrowheads="1"/>
            </xdr:cNvSpPr>
          </xdr:nvSpPr>
          <xdr:spPr bwMode="auto">
            <a:xfrm>
              <a:off x="68" y="274"/>
              <a:ext cx="5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grpSp>
          <xdr:nvGrpSpPr>
            <xdr:cNvPr id="54816" name="Group 1029"/>
            <xdr:cNvGrpSpPr>
              <a:grpSpLocks/>
            </xdr:cNvGrpSpPr>
          </xdr:nvGrpSpPr>
          <xdr:grpSpPr bwMode="auto">
            <a:xfrm>
              <a:off x="71" y="213"/>
              <a:ext cx="45" cy="47"/>
              <a:chOff x="70" y="88"/>
              <a:chExt cx="45" cy="47"/>
            </a:xfrm>
          </xdr:grpSpPr>
          <xdr:sp macro="" textlink="">
            <xdr:nvSpPr>
              <xdr:cNvPr id="9222" name="Text Box 1030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endParaRPr lang="pt-BR"/>
              </a:p>
            </xdr:txBody>
          </xdr:sp>
          <xdr:sp macro="" textlink="">
            <xdr:nvSpPr>
              <xdr:cNvPr id="54818" name="Line 1031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19" name="Line 1032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25" name="Text Box 1033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226" name="Text Box 1034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587" name="Group 1035"/>
          <xdr:cNvGrpSpPr>
            <a:grpSpLocks/>
          </xdr:cNvGrpSpPr>
        </xdr:nvGrpSpPr>
        <xdr:grpSpPr bwMode="auto">
          <a:xfrm>
            <a:off x="4088" y="771"/>
            <a:ext cx="78" cy="93"/>
            <a:chOff x="44" y="337"/>
            <a:chExt cx="78" cy="94"/>
          </a:xfrm>
        </xdr:grpSpPr>
        <xdr:sp macro="" textlink="">
          <xdr:nvSpPr>
            <xdr:cNvPr id="54789" name="Rectangle 1036"/>
            <xdr:cNvSpPr>
              <a:spLocks noChangeArrowheads="1"/>
            </xdr:cNvSpPr>
          </xdr:nvSpPr>
          <xdr:spPr bwMode="auto">
            <a:xfrm>
              <a:off x="60" y="337"/>
              <a:ext cx="51" cy="7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790" name="Group 1037"/>
            <xdr:cNvGrpSpPr>
              <a:grpSpLocks/>
            </xdr:cNvGrpSpPr>
          </xdr:nvGrpSpPr>
          <xdr:grpSpPr bwMode="auto">
            <a:xfrm>
              <a:off x="63" y="401"/>
              <a:ext cx="46" cy="7"/>
              <a:chOff x="204" y="283"/>
              <a:chExt cx="46" cy="7"/>
            </a:xfrm>
          </xdr:grpSpPr>
          <xdr:sp macro="" textlink="">
            <xdr:nvSpPr>
              <xdr:cNvPr id="54806" name="Line 1038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7" name="Line 1039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8" name="Line 1040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9" name="Line 1041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10" name="Line 1042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11" name="Line 1043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791" name="Group 1044"/>
            <xdr:cNvGrpSpPr>
              <a:grpSpLocks/>
            </xdr:cNvGrpSpPr>
          </xdr:nvGrpSpPr>
          <xdr:grpSpPr bwMode="auto">
            <a:xfrm>
              <a:off x="63" y="337"/>
              <a:ext cx="46" cy="5"/>
              <a:chOff x="204" y="283"/>
              <a:chExt cx="46" cy="7"/>
            </a:xfrm>
          </xdr:grpSpPr>
          <xdr:sp macro="" textlink="">
            <xdr:nvSpPr>
              <xdr:cNvPr id="54800" name="Line 1045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1" name="Line 1046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2" name="Line 1047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3" name="Line 1048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4" name="Line 1049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5" name="Line 1050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3" name="Text Box 1051"/>
            <xdr:cNvSpPr txBox="1">
              <a:spLocks noChangeArrowheads="1"/>
            </xdr:cNvSpPr>
          </xdr:nvSpPr>
          <xdr:spPr bwMode="auto">
            <a:xfrm>
              <a:off x="68" y="409"/>
              <a:ext cx="5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9244" name="Text Box 1052"/>
            <xdr:cNvSpPr txBox="1">
              <a:spLocks noChangeArrowheads="1"/>
            </xdr:cNvSpPr>
          </xdr:nvSpPr>
          <xdr:spPr bwMode="auto">
            <a:xfrm>
              <a:off x="44" y="363"/>
              <a:ext cx="35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794" name="Group 1053"/>
            <xdr:cNvGrpSpPr>
              <a:grpSpLocks/>
            </xdr:cNvGrpSpPr>
          </xdr:nvGrpSpPr>
          <xdr:grpSpPr bwMode="auto">
            <a:xfrm>
              <a:off x="70" y="346"/>
              <a:ext cx="45" cy="47"/>
              <a:chOff x="70" y="88"/>
              <a:chExt cx="45" cy="47"/>
            </a:xfrm>
          </xdr:grpSpPr>
          <xdr:sp macro="" textlink="">
            <xdr:nvSpPr>
              <xdr:cNvPr id="9246" name="Text Box 1054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endParaRPr lang="pt-BR"/>
              </a:p>
            </xdr:txBody>
          </xdr:sp>
          <xdr:sp macro="" textlink="">
            <xdr:nvSpPr>
              <xdr:cNvPr id="54796" name="Line 1055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97" name="Line 1056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9" name="Text Box 1057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250" name="Text Box 1058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588" name="Group 1059"/>
          <xdr:cNvGrpSpPr>
            <a:grpSpLocks/>
          </xdr:cNvGrpSpPr>
        </xdr:nvGrpSpPr>
        <xdr:grpSpPr bwMode="auto">
          <a:xfrm>
            <a:off x="4086" y="979"/>
            <a:ext cx="75" cy="88"/>
            <a:chOff x="45" y="469"/>
            <a:chExt cx="75" cy="89"/>
          </a:xfrm>
        </xdr:grpSpPr>
        <xdr:sp macro="" textlink="">
          <xdr:nvSpPr>
            <xdr:cNvPr id="54769" name="Rectangle 1060"/>
            <xdr:cNvSpPr>
              <a:spLocks noChangeArrowheads="1"/>
            </xdr:cNvSpPr>
          </xdr:nvSpPr>
          <xdr:spPr bwMode="auto">
            <a:xfrm>
              <a:off x="61" y="469"/>
              <a:ext cx="51" cy="6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770" name="Group 1061"/>
            <xdr:cNvGrpSpPr>
              <a:grpSpLocks/>
            </xdr:cNvGrpSpPr>
          </xdr:nvGrpSpPr>
          <xdr:grpSpPr bwMode="auto">
            <a:xfrm>
              <a:off x="61" y="471"/>
              <a:ext cx="7" cy="63"/>
              <a:chOff x="328" y="213"/>
              <a:chExt cx="7" cy="75"/>
            </a:xfrm>
          </xdr:grpSpPr>
          <xdr:sp macro="" textlink="">
            <xdr:nvSpPr>
              <xdr:cNvPr id="54779" name="Line 1062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0" name="Line 1063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1" name="Line 1064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2" name="Line 1065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3" name="Line 1066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4" name="Line 1067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5" name="Line 1068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6" name="Line 1069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7" name="Line 1070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8" name="Line 1071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64" name="Text Box 1072"/>
            <xdr:cNvSpPr txBox="1">
              <a:spLocks noChangeArrowheads="1"/>
            </xdr:cNvSpPr>
          </xdr:nvSpPr>
          <xdr:spPr bwMode="auto">
            <a:xfrm>
              <a:off x="68" y="538"/>
              <a:ext cx="52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9265" name="Text Box 1073"/>
            <xdr:cNvSpPr txBox="1">
              <a:spLocks noChangeArrowheads="1"/>
            </xdr:cNvSpPr>
          </xdr:nvSpPr>
          <xdr:spPr bwMode="auto">
            <a:xfrm>
              <a:off x="45" y="492"/>
              <a:ext cx="34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773" name="Group 1074"/>
            <xdr:cNvGrpSpPr>
              <a:grpSpLocks/>
            </xdr:cNvGrpSpPr>
          </xdr:nvGrpSpPr>
          <xdr:grpSpPr bwMode="auto">
            <a:xfrm>
              <a:off x="71" y="476"/>
              <a:ext cx="45" cy="47"/>
              <a:chOff x="70" y="88"/>
              <a:chExt cx="45" cy="47"/>
            </a:xfrm>
          </xdr:grpSpPr>
          <xdr:sp macro="" textlink="">
            <xdr:nvSpPr>
              <xdr:cNvPr id="9267" name="Text Box 1075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4</a:t>
                </a:r>
                <a:endParaRPr lang="pt-BR"/>
              </a:p>
            </xdr:txBody>
          </xdr:sp>
          <xdr:sp macro="" textlink="">
            <xdr:nvSpPr>
              <xdr:cNvPr id="54775" name="Line 1076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76" name="Line 1077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70" name="Text Box 1078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271" name="Text Box 1079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589" name="Group 1080"/>
          <xdr:cNvGrpSpPr>
            <a:grpSpLocks/>
          </xdr:cNvGrpSpPr>
        </xdr:nvGrpSpPr>
        <xdr:grpSpPr bwMode="auto">
          <a:xfrm>
            <a:off x="4089" y="1184"/>
            <a:ext cx="76" cy="89"/>
            <a:chOff x="46" y="624"/>
            <a:chExt cx="76" cy="90"/>
          </a:xfrm>
        </xdr:grpSpPr>
        <xdr:sp macro="" textlink="">
          <xdr:nvSpPr>
            <xdr:cNvPr id="54742" name="Rectangle 1081"/>
            <xdr:cNvSpPr>
              <a:spLocks noChangeArrowheads="1"/>
            </xdr:cNvSpPr>
          </xdr:nvSpPr>
          <xdr:spPr bwMode="auto">
            <a:xfrm>
              <a:off x="62" y="624"/>
              <a:ext cx="50" cy="6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743" name="Group 1082"/>
            <xdr:cNvGrpSpPr>
              <a:grpSpLocks/>
            </xdr:cNvGrpSpPr>
          </xdr:nvGrpSpPr>
          <xdr:grpSpPr bwMode="auto">
            <a:xfrm>
              <a:off x="66" y="686"/>
              <a:ext cx="44" cy="5"/>
              <a:chOff x="204" y="283"/>
              <a:chExt cx="46" cy="7"/>
            </a:xfrm>
          </xdr:grpSpPr>
          <xdr:sp macro="" textlink="">
            <xdr:nvSpPr>
              <xdr:cNvPr id="54763" name="Line 1083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4" name="Line 1084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5" name="Line 1085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6" name="Line 1086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7" name="Line 1087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8" name="Line 1088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744" name="Group 1089"/>
            <xdr:cNvGrpSpPr>
              <a:grpSpLocks/>
            </xdr:cNvGrpSpPr>
          </xdr:nvGrpSpPr>
          <xdr:grpSpPr bwMode="auto">
            <a:xfrm>
              <a:off x="62" y="625"/>
              <a:ext cx="7" cy="64"/>
              <a:chOff x="328" y="213"/>
              <a:chExt cx="7" cy="75"/>
            </a:xfrm>
          </xdr:grpSpPr>
          <xdr:sp macro="" textlink="">
            <xdr:nvSpPr>
              <xdr:cNvPr id="54753" name="Line 1090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54" name="Line 1091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55" name="Line 1092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56" name="Line 1093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57" name="Line 1094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58" name="Line 1095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59" name="Line 1096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0" name="Line 1097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1" name="Line 1098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2" name="Line 1099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92" name="Text Box 1100"/>
            <xdr:cNvSpPr txBox="1">
              <a:spLocks noChangeArrowheads="1"/>
            </xdr:cNvSpPr>
          </xdr:nvSpPr>
          <xdr:spPr bwMode="auto">
            <a:xfrm>
              <a:off x="69" y="693"/>
              <a:ext cx="53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9293" name="Text Box 1101"/>
            <xdr:cNvSpPr txBox="1">
              <a:spLocks noChangeArrowheads="1"/>
            </xdr:cNvSpPr>
          </xdr:nvSpPr>
          <xdr:spPr bwMode="auto">
            <a:xfrm>
              <a:off x="46" y="647"/>
              <a:ext cx="3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747" name="Group 1102"/>
            <xdr:cNvGrpSpPr>
              <a:grpSpLocks/>
            </xdr:cNvGrpSpPr>
          </xdr:nvGrpSpPr>
          <xdr:grpSpPr bwMode="auto">
            <a:xfrm>
              <a:off x="71" y="631"/>
              <a:ext cx="45" cy="47"/>
              <a:chOff x="70" y="88"/>
              <a:chExt cx="45" cy="47"/>
            </a:xfrm>
          </xdr:grpSpPr>
          <xdr:sp macro="" textlink="">
            <xdr:nvSpPr>
              <xdr:cNvPr id="9295" name="Text Box 1103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5</a:t>
                </a:r>
                <a:endParaRPr lang="pt-BR"/>
              </a:p>
            </xdr:txBody>
          </xdr:sp>
          <xdr:sp macro="" textlink="">
            <xdr:nvSpPr>
              <xdr:cNvPr id="54749" name="Line 1104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50" name="Line 1105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98" name="Text Box 1106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299" name="Text Box 1107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590" name="Group 1108"/>
          <xdr:cNvGrpSpPr>
            <a:grpSpLocks/>
          </xdr:cNvGrpSpPr>
        </xdr:nvGrpSpPr>
        <xdr:grpSpPr bwMode="auto">
          <a:xfrm>
            <a:off x="4087" y="1389"/>
            <a:ext cx="74" cy="89"/>
            <a:chOff x="44" y="800"/>
            <a:chExt cx="74" cy="90"/>
          </a:xfrm>
        </xdr:grpSpPr>
        <xdr:sp macro="" textlink="">
          <xdr:nvSpPr>
            <xdr:cNvPr id="54708" name="Rectangle 1109"/>
            <xdr:cNvSpPr>
              <a:spLocks noChangeArrowheads="1"/>
            </xdr:cNvSpPr>
          </xdr:nvSpPr>
          <xdr:spPr bwMode="auto">
            <a:xfrm>
              <a:off x="61" y="800"/>
              <a:ext cx="50" cy="6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709" name="Group 1110"/>
            <xdr:cNvGrpSpPr>
              <a:grpSpLocks/>
            </xdr:cNvGrpSpPr>
          </xdr:nvGrpSpPr>
          <xdr:grpSpPr bwMode="auto">
            <a:xfrm>
              <a:off x="67" y="863"/>
              <a:ext cx="43" cy="5"/>
              <a:chOff x="204" y="283"/>
              <a:chExt cx="46" cy="7"/>
            </a:xfrm>
          </xdr:grpSpPr>
          <xdr:sp macro="" textlink="">
            <xdr:nvSpPr>
              <xdr:cNvPr id="54736" name="Line 1111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37" name="Line 1112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38" name="Line 1113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39" name="Line 1114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0" name="Line 1115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1" name="Line 1116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710" name="Group 1117"/>
            <xdr:cNvGrpSpPr>
              <a:grpSpLocks/>
            </xdr:cNvGrpSpPr>
          </xdr:nvGrpSpPr>
          <xdr:grpSpPr bwMode="auto">
            <a:xfrm>
              <a:off x="61" y="802"/>
              <a:ext cx="7" cy="64"/>
              <a:chOff x="328" y="213"/>
              <a:chExt cx="7" cy="75"/>
            </a:xfrm>
          </xdr:grpSpPr>
          <xdr:sp macro="" textlink="">
            <xdr:nvSpPr>
              <xdr:cNvPr id="54726" name="Line 1118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7" name="Line 1119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8" name="Line 1120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9" name="Line 1121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30" name="Line 1122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31" name="Line 1123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32" name="Line 1124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33" name="Line 1125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34" name="Line 1126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35" name="Line 1127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711" name="Group 1128"/>
            <xdr:cNvGrpSpPr>
              <a:grpSpLocks/>
            </xdr:cNvGrpSpPr>
          </xdr:nvGrpSpPr>
          <xdr:grpSpPr bwMode="auto">
            <a:xfrm>
              <a:off x="66" y="800"/>
              <a:ext cx="43" cy="5"/>
              <a:chOff x="204" y="283"/>
              <a:chExt cx="46" cy="7"/>
            </a:xfrm>
          </xdr:grpSpPr>
          <xdr:sp macro="" textlink="">
            <xdr:nvSpPr>
              <xdr:cNvPr id="54720" name="Line 1129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1" name="Line 1130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2" name="Line 1131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3" name="Line 1132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4" name="Line 1133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5" name="Line 1134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27" name="Text Box 1135"/>
            <xdr:cNvSpPr txBox="1">
              <a:spLocks noChangeArrowheads="1"/>
            </xdr:cNvSpPr>
          </xdr:nvSpPr>
          <xdr:spPr bwMode="auto">
            <a:xfrm>
              <a:off x="67" y="868"/>
              <a:ext cx="51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9328" name="Text Box 1136"/>
            <xdr:cNvSpPr txBox="1">
              <a:spLocks noChangeArrowheads="1"/>
            </xdr:cNvSpPr>
          </xdr:nvSpPr>
          <xdr:spPr bwMode="auto">
            <a:xfrm>
              <a:off x="44" y="826"/>
              <a:ext cx="33" cy="1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714" name="Group 1137"/>
            <xdr:cNvGrpSpPr>
              <a:grpSpLocks/>
            </xdr:cNvGrpSpPr>
          </xdr:nvGrpSpPr>
          <xdr:grpSpPr bwMode="auto">
            <a:xfrm>
              <a:off x="70" y="808"/>
              <a:ext cx="45" cy="47"/>
              <a:chOff x="70" y="88"/>
              <a:chExt cx="45" cy="47"/>
            </a:xfrm>
          </xdr:grpSpPr>
          <xdr:sp macro="" textlink="">
            <xdr:nvSpPr>
              <xdr:cNvPr id="9330" name="Text Box 1138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6</a:t>
                </a:r>
                <a:endParaRPr lang="pt-BR"/>
              </a:p>
            </xdr:txBody>
          </xdr:sp>
          <xdr:sp macro="" textlink="">
            <xdr:nvSpPr>
              <xdr:cNvPr id="54716" name="Line 1139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17" name="Line 1140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33" name="Text Box 1141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334" name="Text Box 1142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591" name="Group 1143"/>
          <xdr:cNvGrpSpPr>
            <a:grpSpLocks/>
          </xdr:cNvGrpSpPr>
        </xdr:nvGrpSpPr>
        <xdr:grpSpPr bwMode="auto">
          <a:xfrm>
            <a:off x="4083" y="1596"/>
            <a:ext cx="79" cy="93"/>
            <a:chOff x="40" y="938"/>
            <a:chExt cx="79" cy="95"/>
          </a:xfrm>
        </xdr:grpSpPr>
        <xdr:sp macro="" textlink="">
          <xdr:nvSpPr>
            <xdr:cNvPr id="54677" name="Rectangle 1144"/>
            <xdr:cNvSpPr>
              <a:spLocks noChangeArrowheads="1"/>
            </xdr:cNvSpPr>
          </xdr:nvSpPr>
          <xdr:spPr bwMode="auto">
            <a:xfrm>
              <a:off x="58" y="938"/>
              <a:ext cx="53" cy="7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678" name="Group 1145"/>
            <xdr:cNvGrpSpPr>
              <a:grpSpLocks/>
            </xdr:cNvGrpSpPr>
          </xdr:nvGrpSpPr>
          <xdr:grpSpPr bwMode="auto">
            <a:xfrm>
              <a:off x="104" y="941"/>
              <a:ext cx="7" cy="67"/>
              <a:chOff x="328" y="213"/>
              <a:chExt cx="7" cy="75"/>
            </a:xfrm>
          </xdr:grpSpPr>
          <xdr:sp macro="" textlink="">
            <xdr:nvSpPr>
              <xdr:cNvPr id="54698" name="Line 1146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99" name="Line 1147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0" name="Line 1148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1" name="Line 1149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2" name="Line 1150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3" name="Line 1151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4" name="Line 1152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5" name="Line 1153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6" name="Line 1154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7" name="Line 1155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679" name="Group 1156"/>
            <xdr:cNvGrpSpPr>
              <a:grpSpLocks/>
            </xdr:cNvGrpSpPr>
          </xdr:nvGrpSpPr>
          <xdr:grpSpPr bwMode="auto">
            <a:xfrm>
              <a:off x="58" y="940"/>
              <a:ext cx="7" cy="67"/>
              <a:chOff x="328" y="213"/>
              <a:chExt cx="7" cy="75"/>
            </a:xfrm>
          </xdr:grpSpPr>
          <xdr:sp macro="" textlink="">
            <xdr:nvSpPr>
              <xdr:cNvPr id="54688" name="Line 1157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9" name="Line 1158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90" name="Line 1159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91" name="Line 1160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92" name="Line 1161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93" name="Line 1162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94" name="Line 1163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95" name="Line 1164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96" name="Line 1165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97" name="Line 1166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59" name="Text Box 1167"/>
            <xdr:cNvSpPr txBox="1">
              <a:spLocks noChangeArrowheads="1"/>
            </xdr:cNvSpPr>
          </xdr:nvSpPr>
          <xdr:spPr bwMode="auto">
            <a:xfrm>
              <a:off x="65" y="1011"/>
              <a:ext cx="5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9360" name="Text Box 1168"/>
            <xdr:cNvSpPr txBox="1">
              <a:spLocks noChangeArrowheads="1"/>
            </xdr:cNvSpPr>
          </xdr:nvSpPr>
          <xdr:spPr bwMode="auto">
            <a:xfrm>
              <a:off x="40" y="963"/>
              <a:ext cx="3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682" name="Group 1169"/>
            <xdr:cNvGrpSpPr>
              <a:grpSpLocks/>
            </xdr:cNvGrpSpPr>
          </xdr:nvGrpSpPr>
          <xdr:grpSpPr bwMode="auto">
            <a:xfrm>
              <a:off x="69" y="948"/>
              <a:ext cx="45" cy="47"/>
              <a:chOff x="70" y="88"/>
              <a:chExt cx="45" cy="47"/>
            </a:xfrm>
          </xdr:grpSpPr>
          <xdr:sp macro="" textlink="">
            <xdr:nvSpPr>
              <xdr:cNvPr id="9362" name="Text Box 1170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7</a:t>
                </a:r>
                <a:endParaRPr lang="pt-BR"/>
              </a:p>
            </xdr:txBody>
          </xdr:sp>
          <xdr:sp macro="" textlink="">
            <xdr:nvSpPr>
              <xdr:cNvPr id="54684" name="Line 1171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5" name="Line 1172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5" name="Text Box 1173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366" name="Text Box 1174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592" name="Group 1175"/>
          <xdr:cNvGrpSpPr>
            <a:grpSpLocks/>
          </xdr:cNvGrpSpPr>
        </xdr:nvGrpSpPr>
        <xdr:grpSpPr bwMode="auto">
          <a:xfrm>
            <a:off x="4090" y="1805"/>
            <a:ext cx="73" cy="89"/>
            <a:chOff x="44" y="1078"/>
            <a:chExt cx="73" cy="90"/>
          </a:xfrm>
        </xdr:grpSpPr>
        <xdr:sp macro="" textlink="">
          <xdr:nvSpPr>
            <xdr:cNvPr id="54639" name="Rectangle 1176"/>
            <xdr:cNvSpPr>
              <a:spLocks noChangeArrowheads="1"/>
            </xdr:cNvSpPr>
          </xdr:nvSpPr>
          <xdr:spPr bwMode="auto">
            <a:xfrm>
              <a:off x="59" y="1078"/>
              <a:ext cx="51" cy="6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640" name="Group 1177"/>
            <xdr:cNvGrpSpPr>
              <a:grpSpLocks/>
            </xdr:cNvGrpSpPr>
          </xdr:nvGrpSpPr>
          <xdr:grpSpPr bwMode="auto">
            <a:xfrm>
              <a:off x="66" y="1140"/>
              <a:ext cx="42" cy="6"/>
              <a:chOff x="204" y="283"/>
              <a:chExt cx="46" cy="7"/>
            </a:xfrm>
          </xdr:grpSpPr>
          <xdr:sp macro="" textlink="">
            <xdr:nvSpPr>
              <xdr:cNvPr id="54671" name="Line 1178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72" name="Line 1179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73" name="Line 1180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74" name="Line 1181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75" name="Line 1182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76" name="Line 1183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641" name="Group 1184"/>
            <xdr:cNvGrpSpPr>
              <a:grpSpLocks/>
            </xdr:cNvGrpSpPr>
          </xdr:nvGrpSpPr>
          <xdr:grpSpPr bwMode="auto">
            <a:xfrm>
              <a:off x="102" y="1081"/>
              <a:ext cx="8" cy="63"/>
              <a:chOff x="328" y="213"/>
              <a:chExt cx="7" cy="75"/>
            </a:xfrm>
          </xdr:grpSpPr>
          <xdr:sp macro="" textlink="">
            <xdr:nvSpPr>
              <xdr:cNvPr id="54661" name="Line 1185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2" name="Line 1186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3" name="Line 1187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4" name="Line 1188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5" name="Line 1189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6" name="Line 1190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7" name="Line 1191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8" name="Line 1192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9" name="Line 1193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70" name="Line 1194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642" name="Group 1195"/>
            <xdr:cNvGrpSpPr>
              <a:grpSpLocks/>
            </xdr:cNvGrpSpPr>
          </xdr:nvGrpSpPr>
          <xdr:grpSpPr bwMode="auto">
            <a:xfrm>
              <a:off x="59" y="1080"/>
              <a:ext cx="7" cy="63"/>
              <a:chOff x="328" y="213"/>
              <a:chExt cx="7" cy="75"/>
            </a:xfrm>
          </xdr:grpSpPr>
          <xdr:sp macro="" textlink="">
            <xdr:nvSpPr>
              <xdr:cNvPr id="54651" name="Line 1196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52" name="Line 1197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53" name="Line 1198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54" name="Line 1199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55" name="Line 1200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56" name="Line 1201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57" name="Line 1202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58" name="Line 1203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59" name="Line 1204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0" name="Line 1205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98" name="Text Box 1206"/>
            <xdr:cNvSpPr txBox="1">
              <a:spLocks noChangeArrowheads="1"/>
            </xdr:cNvSpPr>
          </xdr:nvSpPr>
          <xdr:spPr bwMode="auto">
            <a:xfrm>
              <a:off x="66" y="1147"/>
              <a:ext cx="51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9399" name="Text Box 1207"/>
            <xdr:cNvSpPr txBox="1">
              <a:spLocks noChangeArrowheads="1"/>
            </xdr:cNvSpPr>
          </xdr:nvSpPr>
          <xdr:spPr bwMode="auto">
            <a:xfrm>
              <a:off x="44" y="1105"/>
              <a:ext cx="33" cy="1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645" name="Group 1208"/>
            <xdr:cNvGrpSpPr>
              <a:grpSpLocks/>
            </xdr:cNvGrpSpPr>
          </xdr:nvGrpSpPr>
          <xdr:grpSpPr bwMode="auto">
            <a:xfrm>
              <a:off x="67" y="1086"/>
              <a:ext cx="45" cy="47"/>
              <a:chOff x="70" y="88"/>
              <a:chExt cx="45" cy="47"/>
            </a:xfrm>
          </xdr:grpSpPr>
          <xdr:sp macro="" textlink="">
            <xdr:nvSpPr>
              <xdr:cNvPr id="9401" name="Text Box 1209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8</a:t>
                </a:r>
                <a:endParaRPr lang="pt-BR"/>
              </a:p>
            </xdr:txBody>
          </xdr:sp>
          <xdr:sp macro="" textlink="">
            <xdr:nvSpPr>
              <xdr:cNvPr id="54647" name="Line 1210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8" name="Line 1211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4" name="Text Box 1212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405" name="Text Box 1213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593" name="Group 1214"/>
          <xdr:cNvGrpSpPr>
            <a:grpSpLocks/>
          </xdr:cNvGrpSpPr>
        </xdr:nvGrpSpPr>
        <xdr:grpSpPr bwMode="auto">
          <a:xfrm>
            <a:off x="4089" y="2024"/>
            <a:ext cx="74" cy="87"/>
            <a:chOff x="43" y="1227"/>
            <a:chExt cx="74" cy="89"/>
          </a:xfrm>
        </xdr:grpSpPr>
        <xdr:sp macro="" textlink="">
          <xdr:nvSpPr>
            <xdr:cNvPr id="54594" name="Rectangle 1215"/>
            <xdr:cNvSpPr>
              <a:spLocks noChangeArrowheads="1"/>
            </xdr:cNvSpPr>
          </xdr:nvSpPr>
          <xdr:spPr bwMode="auto">
            <a:xfrm>
              <a:off x="60" y="1227"/>
              <a:ext cx="50" cy="6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595" name="Group 1216"/>
            <xdr:cNvGrpSpPr>
              <a:grpSpLocks/>
            </xdr:cNvGrpSpPr>
          </xdr:nvGrpSpPr>
          <xdr:grpSpPr bwMode="auto">
            <a:xfrm>
              <a:off x="66" y="1288"/>
              <a:ext cx="42" cy="7"/>
              <a:chOff x="204" y="283"/>
              <a:chExt cx="46" cy="7"/>
            </a:xfrm>
          </xdr:grpSpPr>
          <xdr:sp macro="" textlink="">
            <xdr:nvSpPr>
              <xdr:cNvPr id="54633" name="Line 1217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34" name="Line 1218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35" name="Line 1219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36" name="Line 1220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37" name="Line 1221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38" name="Line 1222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6" name="Group 1223"/>
            <xdr:cNvGrpSpPr>
              <a:grpSpLocks/>
            </xdr:cNvGrpSpPr>
          </xdr:nvGrpSpPr>
          <xdr:grpSpPr bwMode="auto">
            <a:xfrm>
              <a:off x="103" y="1230"/>
              <a:ext cx="7" cy="63"/>
              <a:chOff x="328" y="213"/>
              <a:chExt cx="7" cy="75"/>
            </a:xfrm>
          </xdr:grpSpPr>
          <xdr:sp macro="" textlink="">
            <xdr:nvSpPr>
              <xdr:cNvPr id="54623" name="Line 1224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4" name="Line 1225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5" name="Line 1226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6" name="Line 1227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7" name="Line 1228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8" name="Line 1229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9" name="Line 1230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30" name="Line 1231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31" name="Line 1232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32" name="Line 1233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7" name="Group 1234"/>
            <xdr:cNvGrpSpPr>
              <a:grpSpLocks/>
            </xdr:cNvGrpSpPr>
          </xdr:nvGrpSpPr>
          <xdr:grpSpPr bwMode="auto">
            <a:xfrm>
              <a:off x="61" y="1229"/>
              <a:ext cx="7" cy="62"/>
              <a:chOff x="328" y="213"/>
              <a:chExt cx="7" cy="75"/>
            </a:xfrm>
          </xdr:grpSpPr>
          <xdr:sp macro="" textlink="">
            <xdr:nvSpPr>
              <xdr:cNvPr id="54613" name="Line 1235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14" name="Line 1236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15" name="Line 1237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16" name="Line 1238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17" name="Line 1239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18" name="Line 1240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19" name="Line 1241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0" name="Line 1242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1" name="Line 1243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2" name="Line 1244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8" name="Group 1245"/>
            <xdr:cNvGrpSpPr>
              <a:grpSpLocks/>
            </xdr:cNvGrpSpPr>
          </xdr:nvGrpSpPr>
          <xdr:grpSpPr bwMode="auto">
            <a:xfrm>
              <a:off x="63" y="1227"/>
              <a:ext cx="42" cy="6"/>
              <a:chOff x="204" y="283"/>
              <a:chExt cx="46" cy="7"/>
            </a:xfrm>
          </xdr:grpSpPr>
          <xdr:sp macro="" textlink="">
            <xdr:nvSpPr>
              <xdr:cNvPr id="54607" name="Line 1246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08" name="Line 1247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09" name="Line 1248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10" name="Line 1249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11" name="Line 1250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12" name="Line 1251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44" name="Text Box 1252"/>
            <xdr:cNvSpPr txBox="1">
              <a:spLocks noChangeArrowheads="1"/>
            </xdr:cNvSpPr>
          </xdr:nvSpPr>
          <xdr:spPr bwMode="auto">
            <a:xfrm>
              <a:off x="66" y="1295"/>
              <a:ext cx="51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9445" name="Text Box 1253"/>
            <xdr:cNvSpPr txBox="1">
              <a:spLocks noChangeArrowheads="1"/>
            </xdr:cNvSpPr>
          </xdr:nvSpPr>
          <xdr:spPr bwMode="auto">
            <a:xfrm>
              <a:off x="43" y="1252"/>
              <a:ext cx="33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601" name="Group 1254"/>
            <xdr:cNvGrpSpPr>
              <a:grpSpLocks/>
            </xdr:cNvGrpSpPr>
          </xdr:nvGrpSpPr>
          <xdr:grpSpPr bwMode="auto">
            <a:xfrm>
              <a:off x="69" y="1234"/>
              <a:ext cx="45" cy="47"/>
              <a:chOff x="70" y="88"/>
              <a:chExt cx="45" cy="47"/>
            </a:xfrm>
          </xdr:grpSpPr>
          <xdr:sp macro="" textlink="">
            <xdr:nvSpPr>
              <xdr:cNvPr id="9447" name="Text Box 1255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9</a:t>
                </a:r>
                <a:endParaRPr lang="pt-BR"/>
              </a:p>
            </xdr:txBody>
          </xdr:sp>
          <xdr:sp macro="" textlink="">
            <xdr:nvSpPr>
              <xdr:cNvPr id="54603" name="Line 1256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04" name="Line 1257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50" name="Text Box 1258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451" name="Text Box 1259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</xdr:grpSp>
    <xdr:clientData/>
  </xdr:twoCellAnchor>
  <xdr:twoCellAnchor editAs="oneCell">
    <xdr:from>
      <xdr:col>54</xdr:col>
      <xdr:colOff>276225</xdr:colOff>
      <xdr:row>20</xdr:row>
      <xdr:rowOff>104775</xdr:rowOff>
    </xdr:from>
    <xdr:to>
      <xdr:col>55</xdr:col>
      <xdr:colOff>371475</xdr:colOff>
      <xdr:row>130</xdr:row>
      <xdr:rowOff>85725</xdr:rowOff>
    </xdr:to>
    <xdr:grpSp>
      <xdr:nvGrpSpPr>
        <xdr:cNvPr id="53320" name="Group 2784"/>
        <xdr:cNvGrpSpPr>
          <a:grpSpLocks/>
        </xdr:cNvGrpSpPr>
      </xdr:nvGrpSpPr>
      <xdr:grpSpPr bwMode="auto">
        <a:xfrm>
          <a:off x="37728525" y="3438525"/>
          <a:ext cx="809625" cy="16744950"/>
          <a:chOff x="3284" y="353"/>
          <a:chExt cx="85" cy="1758"/>
        </a:xfrm>
      </xdr:grpSpPr>
      <xdr:grpSp>
        <xdr:nvGrpSpPr>
          <xdr:cNvPr id="54333" name="Group 1260"/>
          <xdr:cNvGrpSpPr>
            <a:grpSpLocks/>
          </xdr:cNvGrpSpPr>
        </xdr:nvGrpSpPr>
        <xdr:grpSpPr bwMode="auto">
          <a:xfrm>
            <a:off x="3287" y="353"/>
            <a:ext cx="75" cy="88"/>
            <a:chOff x="44" y="82"/>
            <a:chExt cx="75" cy="90"/>
          </a:xfrm>
        </xdr:grpSpPr>
        <xdr:sp macro="" textlink="">
          <xdr:nvSpPr>
            <xdr:cNvPr id="54576" name="Rectangle 1261"/>
            <xdr:cNvSpPr>
              <a:spLocks noChangeArrowheads="1"/>
            </xdr:cNvSpPr>
          </xdr:nvSpPr>
          <xdr:spPr bwMode="auto">
            <a:xfrm>
              <a:off x="61" y="82"/>
              <a:ext cx="51" cy="6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9454" name="Text Box 1262"/>
            <xdr:cNvSpPr txBox="1">
              <a:spLocks noChangeArrowheads="1"/>
            </xdr:cNvSpPr>
          </xdr:nvSpPr>
          <xdr:spPr bwMode="auto">
            <a:xfrm>
              <a:off x="67" y="150"/>
              <a:ext cx="52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9455" name="Text Box 1263"/>
            <xdr:cNvSpPr txBox="1">
              <a:spLocks noChangeArrowheads="1"/>
            </xdr:cNvSpPr>
          </xdr:nvSpPr>
          <xdr:spPr bwMode="auto">
            <a:xfrm>
              <a:off x="44" y="105"/>
              <a:ext cx="34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579" name="Group 1264"/>
            <xdr:cNvGrpSpPr>
              <a:grpSpLocks/>
            </xdr:cNvGrpSpPr>
          </xdr:nvGrpSpPr>
          <xdr:grpSpPr bwMode="auto">
            <a:xfrm>
              <a:off x="70" y="88"/>
              <a:ext cx="45" cy="47"/>
              <a:chOff x="70" y="88"/>
              <a:chExt cx="45" cy="47"/>
            </a:xfrm>
          </xdr:grpSpPr>
          <xdr:sp macro="" textlink="">
            <xdr:nvSpPr>
              <xdr:cNvPr id="9457" name="Text Box 1265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1</a:t>
                </a:r>
                <a:endParaRPr lang="pt-BR"/>
              </a:p>
            </xdr:txBody>
          </xdr:sp>
          <xdr:sp macro="" textlink="">
            <xdr:nvSpPr>
              <xdr:cNvPr id="54581" name="Line 1266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82" name="Line 1267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60" name="Text Box 1268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461" name="Text Box 1269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334" name="Group 1270"/>
          <xdr:cNvGrpSpPr>
            <a:grpSpLocks/>
          </xdr:cNvGrpSpPr>
        </xdr:nvGrpSpPr>
        <xdr:grpSpPr bwMode="auto">
          <a:xfrm>
            <a:off x="3289" y="558"/>
            <a:ext cx="80" cy="90"/>
            <a:chOff x="43" y="204"/>
            <a:chExt cx="80" cy="92"/>
          </a:xfrm>
        </xdr:grpSpPr>
        <xdr:sp macro="" textlink="">
          <xdr:nvSpPr>
            <xdr:cNvPr id="54560" name="Rectangle 1271"/>
            <xdr:cNvSpPr>
              <a:spLocks noChangeArrowheads="1"/>
            </xdr:cNvSpPr>
          </xdr:nvSpPr>
          <xdr:spPr bwMode="auto">
            <a:xfrm>
              <a:off x="61" y="204"/>
              <a:ext cx="52" cy="7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561" name="Group 1272"/>
            <xdr:cNvGrpSpPr>
              <a:grpSpLocks/>
            </xdr:cNvGrpSpPr>
          </xdr:nvGrpSpPr>
          <xdr:grpSpPr bwMode="auto">
            <a:xfrm>
              <a:off x="63" y="269"/>
              <a:ext cx="47" cy="5"/>
              <a:chOff x="204" y="283"/>
              <a:chExt cx="46" cy="7"/>
            </a:xfrm>
          </xdr:grpSpPr>
          <xdr:sp macro="" textlink="">
            <xdr:nvSpPr>
              <xdr:cNvPr id="54570" name="Line 1273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71" name="Line 1274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72" name="Line 1275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73" name="Line 1276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74" name="Line 1277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75" name="Line 1278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71" name="Text Box 1279"/>
            <xdr:cNvSpPr txBox="1">
              <a:spLocks noChangeArrowheads="1"/>
            </xdr:cNvSpPr>
          </xdr:nvSpPr>
          <xdr:spPr bwMode="auto">
            <a:xfrm>
              <a:off x="43" y="231"/>
              <a:ext cx="3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sp macro="" textlink="">
          <xdr:nvSpPr>
            <xdr:cNvPr id="9472" name="Text Box 1280"/>
            <xdr:cNvSpPr txBox="1">
              <a:spLocks noChangeArrowheads="1"/>
            </xdr:cNvSpPr>
          </xdr:nvSpPr>
          <xdr:spPr bwMode="auto">
            <a:xfrm>
              <a:off x="68" y="274"/>
              <a:ext cx="5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grpSp>
          <xdr:nvGrpSpPr>
            <xdr:cNvPr id="54564" name="Group 1281"/>
            <xdr:cNvGrpSpPr>
              <a:grpSpLocks/>
            </xdr:cNvGrpSpPr>
          </xdr:nvGrpSpPr>
          <xdr:grpSpPr bwMode="auto">
            <a:xfrm>
              <a:off x="71" y="213"/>
              <a:ext cx="45" cy="47"/>
              <a:chOff x="70" y="88"/>
              <a:chExt cx="45" cy="47"/>
            </a:xfrm>
          </xdr:grpSpPr>
          <xdr:sp macro="" textlink="">
            <xdr:nvSpPr>
              <xdr:cNvPr id="9474" name="Text Box 1282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endParaRPr lang="pt-BR"/>
              </a:p>
            </xdr:txBody>
          </xdr:sp>
          <xdr:sp macro="" textlink="">
            <xdr:nvSpPr>
              <xdr:cNvPr id="54566" name="Line 1283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67" name="Line 1284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77" name="Text Box 1285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478" name="Text Box 1286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335" name="Group 1287"/>
          <xdr:cNvGrpSpPr>
            <a:grpSpLocks/>
          </xdr:cNvGrpSpPr>
        </xdr:nvGrpSpPr>
        <xdr:grpSpPr bwMode="auto">
          <a:xfrm>
            <a:off x="3289" y="771"/>
            <a:ext cx="78" cy="93"/>
            <a:chOff x="44" y="337"/>
            <a:chExt cx="78" cy="94"/>
          </a:xfrm>
        </xdr:grpSpPr>
        <xdr:sp macro="" textlink="">
          <xdr:nvSpPr>
            <xdr:cNvPr id="54537" name="Rectangle 1288"/>
            <xdr:cNvSpPr>
              <a:spLocks noChangeArrowheads="1"/>
            </xdr:cNvSpPr>
          </xdr:nvSpPr>
          <xdr:spPr bwMode="auto">
            <a:xfrm>
              <a:off x="60" y="337"/>
              <a:ext cx="51" cy="7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538" name="Group 1289"/>
            <xdr:cNvGrpSpPr>
              <a:grpSpLocks/>
            </xdr:cNvGrpSpPr>
          </xdr:nvGrpSpPr>
          <xdr:grpSpPr bwMode="auto">
            <a:xfrm>
              <a:off x="63" y="401"/>
              <a:ext cx="46" cy="7"/>
              <a:chOff x="204" y="283"/>
              <a:chExt cx="46" cy="7"/>
            </a:xfrm>
          </xdr:grpSpPr>
          <xdr:sp macro="" textlink="">
            <xdr:nvSpPr>
              <xdr:cNvPr id="54554" name="Line 1290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55" name="Line 1291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56" name="Line 1292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57" name="Line 1293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58" name="Line 1294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59" name="Line 1295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9" name="Group 1296"/>
            <xdr:cNvGrpSpPr>
              <a:grpSpLocks/>
            </xdr:cNvGrpSpPr>
          </xdr:nvGrpSpPr>
          <xdr:grpSpPr bwMode="auto">
            <a:xfrm>
              <a:off x="63" y="337"/>
              <a:ext cx="46" cy="5"/>
              <a:chOff x="204" y="283"/>
              <a:chExt cx="46" cy="7"/>
            </a:xfrm>
          </xdr:grpSpPr>
          <xdr:sp macro="" textlink="">
            <xdr:nvSpPr>
              <xdr:cNvPr id="54548" name="Line 1297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49" name="Line 1298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50" name="Line 1299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51" name="Line 1300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52" name="Line 1301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53" name="Line 1302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95" name="Text Box 1303"/>
            <xdr:cNvSpPr txBox="1">
              <a:spLocks noChangeArrowheads="1"/>
            </xdr:cNvSpPr>
          </xdr:nvSpPr>
          <xdr:spPr bwMode="auto">
            <a:xfrm>
              <a:off x="68" y="409"/>
              <a:ext cx="5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9496" name="Text Box 1304"/>
            <xdr:cNvSpPr txBox="1">
              <a:spLocks noChangeArrowheads="1"/>
            </xdr:cNvSpPr>
          </xdr:nvSpPr>
          <xdr:spPr bwMode="auto">
            <a:xfrm>
              <a:off x="44" y="363"/>
              <a:ext cx="35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542" name="Group 1305"/>
            <xdr:cNvGrpSpPr>
              <a:grpSpLocks/>
            </xdr:cNvGrpSpPr>
          </xdr:nvGrpSpPr>
          <xdr:grpSpPr bwMode="auto">
            <a:xfrm>
              <a:off x="70" y="346"/>
              <a:ext cx="45" cy="47"/>
              <a:chOff x="70" y="88"/>
              <a:chExt cx="45" cy="47"/>
            </a:xfrm>
          </xdr:grpSpPr>
          <xdr:sp macro="" textlink="">
            <xdr:nvSpPr>
              <xdr:cNvPr id="9498" name="Text Box 1306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endParaRPr lang="pt-BR"/>
              </a:p>
            </xdr:txBody>
          </xdr:sp>
          <xdr:sp macro="" textlink="">
            <xdr:nvSpPr>
              <xdr:cNvPr id="54544" name="Line 1307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45" name="Line 1308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1" name="Text Box 1309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502" name="Text Box 1310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336" name="Group 1311"/>
          <xdr:cNvGrpSpPr>
            <a:grpSpLocks/>
          </xdr:cNvGrpSpPr>
        </xdr:nvGrpSpPr>
        <xdr:grpSpPr bwMode="auto">
          <a:xfrm>
            <a:off x="3287" y="979"/>
            <a:ext cx="75" cy="88"/>
            <a:chOff x="45" y="469"/>
            <a:chExt cx="75" cy="89"/>
          </a:xfrm>
        </xdr:grpSpPr>
        <xdr:sp macro="" textlink="">
          <xdr:nvSpPr>
            <xdr:cNvPr id="54517" name="Rectangle 1312"/>
            <xdr:cNvSpPr>
              <a:spLocks noChangeArrowheads="1"/>
            </xdr:cNvSpPr>
          </xdr:nvSpPr>
          <xdr:spPr bwMode="auto">
            <a:xfrm>
              <a:off x="61" y="469"/>
              <a:ext cx="51" cy="6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518" name="Group 1313"/>
            <xdr:cNvGrpSpPr>
              <a:grpSpLocks/>
            </xdr:cNvGrpSpPr>
          </xdr:nvGrpSpPr>
          <xdr:grpSpPr bwMode="auto">
            <a:xfrm>
              <a:off x="61" y="471"/>
              <a:ext cx="7" cy="63"/>
              <a:chOff x="328" y="213"/>
              <a:chExt cx="7" cy="75"/>
            </a:xfrm>
          </xdr:grpSpPr>
          <xdr:sp macro="" textlink="">
            <xdr:nvSpPr>
              <xdr:cNvPr id="54527" name="Line 1314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28" name="Line 1315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29" name="Line 1316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30" name="Line 1317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31" name="Line 1318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32" name="Line 1319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33" name="Line 1320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34" name="Line 1321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35" name="Line 1322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36" name="Line 1323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516" name="Text Box 1324"/>
            <xdr:cNvSpPr txBox="1">
              <a:spLocks noChangeArrowheads="1"/>
            </xdr:cNvSpPr>
          </xdr:nvSpPr>
          <xdr:spPr bwMode="auto">
            <a:xfrm>
              <a:off x="68" y="538"/>
              <a:ext cx="52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9517" name="Text Box 1325"/>
            <xdr:cNvSpPr txBox="1">
              <a:spLocks noChangeArrowheads="1"/>
            </xdr:cNvSpPr>
          </xdr:nvSpPr>
          <xdr:spPr bwMode="auto">
            <a:xfrm>
              <a:off x="45" y="492"/>
              <a:ext cx="34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521" name="Group 1326"/>
            <xdr:cNvGrpSpPr>
              <a:grpSpLocks/>
            </xdr:cNvGrpSpPr>
          </xdr:nvGrpSpPr>
          <xdr:grpSpPr bwMode="auto">
            <a:xfrm>
              <a:off x="71" y="476"/>
              <a:ext cx="45" cy="47"/>
              <a:chOff x="70" y="88"/>
              <a:chExt cx="45" cy="47"/>
            </a:xfrm>
          </xdr:grpSpPr>
          <xdr:sp macro="" textlink="">
            <xdr:nvSpPr>
              <xdr:cNvPr id="9519" name="Text Box 1327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4</a:t>
                </a:r>
                <a:endParaRPr lang="pt-BR"/>
              </a:p>
            </xdr:txBody>
          </xdr:sp>
          <xdr:sp macro="" textlink="">
            <xdr:nvSpPr>
              <xdr:cNvPr id="54523" name="Line 1328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24" name="Line 1329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22" name="Text Box 1330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523" name="Text Box 1331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337" name="Group 1332"/>
          <xdr:cNvGrpSpPr>
            <a:grpSpLocks/>
          </xdr:cNvGrpSpPr>
        </xdr:nvGrpSpPr>
        <xdr:grpSpPr bwMode="auto">
          <a:xfrm>
            <a:off x="3290" y="1184"/>
            <a:ext cx="76" cy="89"/>
            <a:chOff x="46" y="624"/>
            <a:chExt cx="76" cy="90"/>
          </a:xfrm>
        </xdr:grpSpPr>
        <xdr:sp macro="" textlink="">
          <xdr:nvSpPr>
            <xdr:cNvPr id="54490" name="Rectangle 1333"/>
            <xdr:cNvSpPr>
              <a:spLocks noChangeArrowheads="1"/>
            </xdr:cNvSpPr>
          </xdr:nvSpPr>
          <xdr:spPr bwMode="auto">
            <a:xfrm>
              <a:off x="62" y="624"/>
              <a:ext cx="50" cy="6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491" name="Group 1334"/>
            <xdr:cNvGrpSpPr>
              <a:grpSpLocks/>
            </xdr:cNvGrpSpPr>
          </xdr:nvGrpSpPr>
          <xdr:grpSpPr bwMode="auto">
            <a:xfrm>
              <a:off x="66" y="686"/>
              <a:ext cx="44" cy="5"/>
              <a:chOff x="204" y="283"/>
              <a:chExt cx="46" cy="7"/>
            </a:xfrm>
          </xdr:grpSpPr>
          <xdr:sp macro="" textlink="">
            <xdr:nvSpPr>
              <xdr:cNvPr id="54511" name="Line 1335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12" name="Line 1336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13" name="Line 1337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14" name="Line 1338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15" name="Line 1339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16" name="Line 1340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92" name="Group 1341"/>
            <xdr:cNvGrpSpPr>
              <a:grpSpLocks/>
            </xdr:cNvGrpSpPr>
          </xdr:nvGrpSpPr>
          <xdr:grpSpPr bwMode="auto">
            <a:xfrm>
              <a:off x="62" y="625"/>
              <a:ext cx="7" cy="64"/>
              <a:chOff x="328" y="213"/>
              <a:chExt cx="7" cy="75"/>
            </a:xfrm>
          </xdr:grpSpPr>
          <xdr:sp macro="" textlink="">
            <xdr:nvSpPr>
              <xdr:cNvPr id="54501" name="Line 1342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02" name="Line 1343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03" name="Line 1344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04" name="Line 1345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05" name="Line 1346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06" name="Line 1347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07" name="Line 1348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08" name="Line 1349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09" name="Line 1350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510" name="Line 1351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544" name="Text Box 1352"/>
            <xdr:cNvSpPr txBox="1">
              <a:spLocks noChangeArrowheads="1"/>
            </xdr:cNvSpPr>
          </xdr:nvSpPr>
          <xdr:spPr bwMode="auto">
            <a:xfrm>
              <a:off x="69" y="693"/>
              <a:ext cx="53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9545" name="Text Box 1353"/>
            <xdr:cNvSpPr txBox="1">
              <a:spLocks noChangeArrowheads="1"/>
            </xdr:cNvSpPr>
          </xdr:nvSpPr>
          <xdr:spPr bwMode="auto">
            <a:xfrm>
              <a:off x="46" y="647"/>
              <a:ext cx="3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495" name="Group 1354"/>
            <xdr:cNvGrpSpPr>
              <a:grpSpLocks/>
            </xdr:cNvGrpSpPr>
          </xdr:nvGrpSpPr>
          <xdr:grpSpPr bwMode="auto">
            <a:xfrm>
              <a:off x="71" y="631"/>
              <a:ext cx="45" cy="47"/>
              <a:chOff x="70" y="88"/>
              <a:chExt cx="45" cy="47"/>
            </a:xfrm>
          </xdr:grpSpPr>
          <xdr:sp macro="" textlink="">
            <xdr:nvSpPr>
              <xdr:cNvPr id="9547" name="Text Box 1355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5</a:t>
                </a:r>
                <a:endParaRPr lang="pt-BR"/>
              </a:p>
            </xdr:txBody>
          </xdr:sp>
          <xdr:sp macro="" textlink="">
            <xdr:nvSpPr>
              <xdr:cNvPr id="54497" name="Line 1356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98" name="Line 1357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50" name="Text Box 1358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551" name="Text Box 1359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338" name="Group 1360"/>
          <xdr:cNvGrpSpPr>
            <a:grpSpLocks/>
          </xdr:cNvGrpSpPr>
        </xdr:nvGrpSpPr>
        <xdr:grpSpPr bwMode="auto">
          <a:xfrm>
            <a:off x="3288" y="1389"/>
            <a:ext cx="74" cy="89"/>
            <a:chOff x="44" y="800"/>
            <a:chExt cx="74" cy="90"/>
          </a:xfrm>
        </xdr:grpSpPr>
        <xdr:sp macro="" textlink="">
          <xdr:nvSpPr>
            <xdr:cNvPr id="54456" name="Rectangle 1361"/>
            <xdr:cNvSpPr>
              <a:spLocks noChangeArrowheads="1"/>
            </xdr:cNvSpPr>
          </xdr:nvSpPr>
          <xdr:spPr bwMode="auto">
            <a:xfrm>
              <a:off x="61" y="800"/>
              <a:ext cx="50" cy="6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457" name="Group 1362"/>
            <xdr:cNvGrpSpPr>
              <a:grpSpLocks/>
            </xdr:cNvGrpSpPr>
          </xdr:nvGrpSpPr>
          <xdr:grpSpPr bwMode="auto">
            <a:xfrm>
              <a:off x="67" y="863"/>
              <a:ext cx="43" cy="5"/>
              <a:chOff x="204" y="283"/>
              <a:chExt cx="46" cy="7"/>
            </a:xfrm>
          </xdr:grpSpPr>
          <xdr:sp macro="" textlink="">
            <xdr:nvSpPr>
              <xdr:cNvPr id="54484" name="Line 1363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85" name="Line 1364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86" name="Line 1365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87" name="Line 1366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88" name="Line 1367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89" name="Line 1368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58" name="Group 1369"/>
            <xdr:cNvGrpSpPr>
              <a:grpSpLocks/>
            </xdr:cNvGrpSpPr>
          </xdr:nvGrpSpPr>
          <xdr:grpSpPr bwMode="auto">
            <a:xfrm>
              <a:off x="61" y="802"/>
              <a:ext cx="7" cy="64"/>
              <a:chOff x="328" y="213"/>
              <a:chExt cx="7" cy="75"/>
            </a:xfrm>
          </xdr:grpSpPr>
          <xdr:sp macro="" textlink="">
            <xdr:nvSpPr>
              <xdr:cNvPr id="54474" name="Line 1370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75" name="Line 1371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76" name="Line 1372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77" name="Line 1373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78" name="Line 1374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79" name="Line 1375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80" name="Line 1376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81" name="Line 1377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82" name="Line 1378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83" name="Line 1379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59" name="Group 1380"/>
            <xdr:cNvGrpSpPr>
              <a:grpSpLocks/>
            </xdr:cNvGrpSpPr>
          </xdr:nvGrpSpPr>
          <xdr:grpSpPr bwMode="auto">
            <a:xfrm>
              <a:off x="66" y="800"/>
              <a:ext cx="43" cy="5"/>
              <a:chOff x="204" y="283"/>
              <a:chExt cx="46" cy="7"/>
            </a:xfrm>
          </xdr:grpSpPr>
          <xdr:sp macro="" textlink="">
            <xdr:nvSpPr>
              <xdr:cNvPr id="54468" name="Line 1381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69" name="Line 1382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70" name="Line 1383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71" name="Line 1384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72" name="Line 1385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73" name="Line 1386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579" name="Text Box 1387"/>
            <xdr:cNvSpPr txBox="1">
              <a:spLocks noChangeArrowheads="1"/>
            </xdr:cNvSpPr>
          </xdr:nvSpPr>
          <xdr:spPr bwMode="auto">
            <a:xfrm>
              <a:off x="67" y="868"/>
              <a:ext cx="51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9580" name="Text Box 1388"/>
            <xdr:cNvSpPr txBox="1">
              <a:spLocks noChangeArrowheads="1"/>
            </xdr:cNvSpPr>
          </xdr:nvSpPr>
          <xdr:spPr bwMode="auto">
            <a:xfrm>
              <a:off x="44" y="826"/>
              <a:ext cx="33" cy="1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462" name="Group 1389"/>
            <xdr:cNvGrpSpPr>
              <a:grpSpLocks/>
            </xdr:cNvGrpSpPr>
          </xdr:nvGrpSpPr>
          <xdr:grpSpPr bwMode="auto">
            <a:xfrm>
              <a:off x="70" y="808"/>
              <a:ext cx="45" cy="47"/>
              <a:chOff x="70" y="88"/>
              <a:chExt cx="45" cy="47"/>
            </a:xfrm>
          </xdr:grpSpPr>
          <xdr:sp macro="" textlink="">
            <xdr:nvSpPr>
              <xdr:cNvPr id="9582" name="Text Box 1390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6</a:t>
                </a:r>
                <a:endParaRPr lang="pt-BR"/>
              </a:p>
            </xdr:txBody>
          </xdr:sp>
          <xdr:sp macro="" textlink="">
            <xdr:nvSpPr>
              <xdr:cNvPr id="54464" name="Line 1391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65" name="Line 1392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85" name="Text Box 1393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586" name="Text Box 1394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339" name="Group 1395"/>
          <xdr:cNvGrpSpPr>
            <a:grpSpLocks/>
          </xdr:cNvGrpSpPr>
        </xdr:nvGrpSpPr>
        <xdr:grpSpPr bwMode="auto">
          <a:xfrm>
            <a:off x="3284" y="1596"/>
            <a:ext cx="79" cy="93"/>
            <a:chOff x="40" y="938"/>
            <a:chExt cx="79" cy="95"/>
          </a:xfrm>
        </xdr:grpSpPr>
        <xdr:sp macro="" textlink="">
          <xdr:nvSpPr>
            <xdr:cNvPr id="54425" name="Rectangle 1396"/>
            <xdr:cNvSpPr>
              <a:spLocks noChangeArrowheads="1"/>
            </xdr:cNvSpPr>
          </xdr:nvSpPr>
          <xdr:spPr bwMode="auto">
            <a:xfrm>
              <a:off x="58" y="938"/>
              <a:ext cx="53" cy="7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426" name="Group 1397"/>
            <xdr:cNvGrpSpPr>
              <a:grpSpLocks/>
            </xdr:cNvGrpSpPr>
          </xdr:nvGrpSpPr>
          <xdr:grpSpPr bwMode="auto">
            <a:xfrm>
              <a:off x="104" y="941"/>
              <a:ext cx="7" cy="67"/>
              <a:chOff x="328" y="213"/>
              <a:chExt cx="7" cy="75"/>
            </a:xfrm>
          </xdr:grpSpPr>
          <xdr:sp macro="" textlink="">
            <xdr:nvSpPr>
              <xdr:cNvPr id="54446" name="Line 1398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47" name="Line 1399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48" name="Line 1400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49" name="Line 1401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50" name="Line 1402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51" name="Line 1403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52" name="Line 1404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53" name="Line 1405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54" name="Line 1406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55" name="Line 1407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7" name="Group 1408"/>
            <xdr:cNvGrpSpPr>
              <a:grpSpLocks/>
            </xdr:cNvGrpSpPr>
          </xdr:nvGrpSpPr>
          <xdr:grpSpPr bwMode="auto">
            <a:xfrm>
              <a:off x="58" y="940"/>
              <a:ext cx="7" cy="67"/>
              <a:chOff x="328" y="213"/>
              <a:chExt cx="7" cy="75"/>
            </a:xfrm>
          </xdr:grpSpPr>
          <xdr:sp macro="" textlink="">
            <xdr:nvSpPr>
              <xdr:cNvPr id="54436" name="Line 1409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37" name="Line 1410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38" name="Line 1411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39" name="Line 1412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40" name="Line 1413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41" name="Line 1414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42" name="Line 1415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43" name="Line 1416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44" name="Line 1417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45" name="Line 1418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11" name="Text Box 1419"/>
            <xdr:cNvSpPr txBox="1">
              <a:spLocks noChangeArrowheads="1"/>
            </xdr:cNvSpPr>
          </xdr:nvSpPr>
          <xdr:spPr bwMode="auto">
            <a:xfrm>
              <a:off x="65" y="1011"/>
              <a:ext cx="5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9612" name="Text Box 1420"/>
            <xdr:cNvSpPr txBox="1">
              <a:spLocks noChangeArrowheads="1"/>
            </xdr:cNvSpPr>
          </xdr:nvSpPr>
          <xdr:spPr bwMode="auto">
            <a:xfrm>
              <a:off x="40" y="963"/>
              <a:ext cx="3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430" name="Group 1421"/>
            <xdr:cNvGrpSpPr>
              <a:grpSpLocks/>
            </xdr:cNvGrpSpPr>
          </xdr:nvGrpSpPr>
          <xdr:grpSpPr bwMode="auto">
            <a:xfrm>
              <a:off x="69" y="948"/>
              <a:ext cx="45" cy="47"/>
              <a:chOff x="70" y="88"/>
              <a:chExt cx="45" cy="47"/>
            </a:xfrm>
          </xdr:grpSpPr>
          <xdr:sp macro="" textlink="">
            <xdr:nvSpPr>
              <xdr:cNvPr id="9614" name="Text Box 1422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7</a:t>
                </a:r>
                <a:endParaRPr lang="pt-BR"/>
              </a:p>
            </xdr:txBody>
          </xdr:sp>
          <xdr:sp macro="" textlink="">
            <xdr:nvSpPr>
              <xdr:cNvPr id="54432" name="Line 1423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33" name="Line 1424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17" name="Text Box 1425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618" name="Text Box 1426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340" name="Group 1427"/>
          <xdr:cNvGrpSpPr>
            <a:grpSpLocks/>
          </xdr:cNvGrpSpPr>
        </xdr:nvGrpSpPr>
        <xdr:grpSpPr bwMode="auto">
          <a:xfrm>
            <a:off x="3291" y="1805"/>
            <a:ext cx="73" cy="89"/>
            <a:chOff x="44" y="1078"/>
            <a:chExt cx="73" cy="90"/>
          </a:xfrm>
        </xdr:grpSpPr>
        <xdr:sp macro="" textlink="">
          <xdr:nvSpPr>
            <xdr:cNvPr id="54387" name="Rectangle 1428"/>
            <xdr:cNvSpPr>
              <a:spLocks noChangeArrowheads="1"/>
            </xdr:cNvSpPr>
          </xdr:nvSpPr>
          <xdr:spPr bwMode="auto">
            <a:xfrm>
              <a:off x="59" y="1078"/>
              <a:ext cx="51" cy="6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388" name="Group 1429"/>
            <xdr:cNvGrpSpPr>
              <a:grpSpLocks/>
            </xdr:cNvGrpSpPr>
          </xdr:nvGrpSpPr>
          <xdr:grpSpPr bwMode="auto">
            <a:xfrm>
              <a:off x="66" y="1140"/>
              <a:ext cx="42" cy="6"/>
              <a:chOff x="204" y="283"/>
              <a:chExt cx="46" cy="7"/>
            </a:xfrm>
          </xdr:grpSpPr>
          <xdr:sp macro="" textlink="">
            <xdr:nvSpPr>
              <xdr:cNvPr id="54419" name="Line 1430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20" name="Line 1431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21" name="Line 1432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22" name="Line 1433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23" name="Line 1434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24" name="Line 1435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89" name="Group 1436"/>
            <xdr:cNvGrpSpPr>
              <a:grpSpLocks/>
            </xdr:cNvGrpSpPr>
          </xdr:nvGrpSpPr>
          <xdr:grpSpPr bwMode="auto">
            <a:xfrm>
              <a:off x="102" y="1081"/>
              <a:ext cx="8" cy="63"/>
              <a:chOff x="328" y="213"/>
              <a:chExt cx="7" cy="75"/>
            </a:xfrm>
          </xdr:grpSpPr>
          <xdr:sp macro="" textlink="">
            <xdr:nvSpPr>
              <xdr:cNvPr id="54409" name="Line 1437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10" name="Line 1438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11" name="Line 1439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12" name="Line 1440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13" name="Line 1441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14" name="Line 1442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15" name="Line 1443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16" name="Line 1444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17" name="Line 1445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18" name="Line 1446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90" name="Group 1447"/>
            <xdr:cNvGrpSpPr>
              <a:grpSpLocks/>
            </xdr:cNvGrpSpPr>
          </xdr:nvGrpSpPr>
          <xdr:grpSpPr bwMode="auto">
            <a:xfrm>
              <a:off x="59" y="1080"/>
              <a:ext cx="7" cy="63"/>
              <a:chOff x="328" y="213"/>
              <a:chExt cx="7" cy="75"/>
            </a:xfrm>
          </xdr:grpSpPr>
          <xdr:sp macro="" textlink="">
            <xdr:nvSpPr>
              <xdr:cNvPr id="54399" name="Line 1448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00" name="Line 1449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01" name="Line 1450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02" name="Line 1451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03" name="Line 1452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04" name="Line 1453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05" name="Line 1454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06" name="Line 1455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07" name="Line 1456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408" name="Line 1457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50" name="Text Box 1458"/>
            <xdr:cNvSpPr txBox="1">
              <a:spLocks noChangeArrowheads="1"/>
            </xdr:cNvSpPr>
          </xdr:nvSpPr>
          <xdr:spPr bwMode="auto">
            <a:xfrm>
              <a:off x="66" y="1147"/>
              <a:ext cx="51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9651" name="Text Box 1459"/>
            <xdr:cNvSpPr txBox="1">
              <a:spLocks noChangeArrowheads="1"/>
            </xdr:cNvSpPr>
          </xdr:nvSpPr>
          <xdr:spPr bwMode="auto">
            <a:xfrm>
              <a:off x="44" y="1105"/>
              <a:ext cx="33" cy="1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393" name="Group 1460"/>
            <xdr:cNvGrpSpPr>
              <a:grpSpLocks/>
            </xdr:cNvGrpSpPr>
          </xdr:nvGrpSpPr>
          <xdr:grpSpPr bwMode="auto">
            <a:xfrm>
              <a:off x="67" y="1086"/>
              <a:ext cx="45" cy="47"/>
              <a:chOff x="70" y="88"/>
              <a:chExt cx="45" cy="47"/>
            </a:xfrm>
          </xdr:grpSpPr>
          <xdr:sp macro="" textlink="">
            <xdr:nvSpPr>
              <xdr:cNvPr id="9653" name="Text Box 1461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8</a:t>
                </a:r>
                <a:endParaRPr lang="pt-BR"/>
              </a:p>
            </xdr:txBody>
          </xdr:sp>
          <xdr:sp macro="" textlink="">
            <xdr:nvSpPr>
              <xdr:cNvPr id="54395" name="Line 1462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96" name="Line 1463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56" name="Text Box 1464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657" name="Text Box 1465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341" name="Group 1466"/>
          <xdr:cNvGrpSpPr>
            <a:grpSpLocks/>
          </xdr:cNvGrpSpPr>
        </xdr:nvGrpSpPr>
        <xdr:grpSpPr bwMode="auto">
          <a:xfrm>
            <a:off x="3290" y="2024"/>
            <a:ext cx="74" cy="87"/>
            <a:chOff x="43" y="1227"/>
            <a:chExt cx="74" cy="89"/>
          </a:xfrm>
        </xdr:grpSpPr>
        <xdr:sp macro="" textlink="">
          <xdr:nvSpPr>
            <xdr:cNvPr id="54342" name="Rectangle 1467"/>
            <xdr:cNvSpPr>
              <a:spLocks noChangeArrowheads="1"/>
            </xdr:cNvSpPr>
          </xdr:nvSpPr>
          <xdr:spPr bwMode="auto">
            <a:xfrm>
              <a:off x="60" y="1227"/>
              <a:ext cx="50" cy="6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343" name="Group 1468"/>
            <xdr:cNvGrpSpPr>
              <a:grpSpLocks/>
            </xdr:cNvGrpSpPr>
          </xdr:nvGrpSpPr>
          <xdr:grpSpPr bwMode="auto">
            <a:xfrm>
              <a:off x="66" y="1288"/>
              <a:ext cx="42" cy="7"/>
              <a:chOff x="204" y="283"/>
              <a:chExt cx="46" cy="7"/>
            </a:xfrm>
          </xdr:grpSpPr>
          <xdr:sp macro="" textlink="">
            <xdr:nvSpPr>
              <xdr:cNvPr id="54381" name="Line 1469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82" name="Line 1470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83" name="Line 1471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84" name="Line 1472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85" name="Line 1473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86" name="Line 1474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44" name="Group 1475"/>
            <xdr:cNvGrpSpPr>
              <a:grpSpLocks/>
            </xdr:cNvGrpSpPr>
          </xdr:nvGrpSpPr>
          <xdr:grpSpPr bwMode="auto">
            <a:xfrm>
              <a:off x="103" y="1230"/>
              <a:ext cx="7" cy="63"/>
              <a:chOff x="328" y="213"/>
              <a:chExt cx="7" cy="75"/>
            </a:xfrm>
          </xdr:grpSpPr>
          <xdr:sp macro="" textlink="">
            <xdr:nvSpPr>
              <xdr:cNvPr id="54371" name="Line 1476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72" name="Line 1477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73" name="Line 1478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74" name="Line 1479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75" name="Line 1480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76" name="Line 1481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77" name="Line 1482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78" name="Line 1483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79" name="Line 1484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80" name="Line 1485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45" name="Group 1486"/>
            <xdr:cNvGrpSpPr>
              <a:grpSpLocks/>
            </xdr:cNvGrpSpPr>
          </xdr:nvGrpSpPr>
          <xdr:grpSpPr bwMode="auto">
            <a:xfrm>
              <a:off x="61" y="1229"/>
              <a:ext cx="7" cy="62"/>
              <a:chOff x="328" y="213"/>
              <a:chExt cx="7" cy="75"/>
            </a:xfrm>
          </xdr:grpSpPr>
          <xdr:sp macro="" textlink="">
            <xdr:nvSpPr>
              <xdr:cNvPr id="54361" name="Line 1487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62" name="Line 1488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63" name="Line 1489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64" name="Line 1490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65" name="Line 1491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66" name="Line 1492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67" name="Line 1493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68" name="Line 1494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69" name="Line 1495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70" name="Line 1496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46" name="Group 1497"/>
            <xdr:cNvGrpSpPr>
              <a:grpSpLocks/>
            </xdr:cNvGrpSpPr>
          </xdr:nvGrpSpPr>
          <xdr:grpSpPr bwMode="auto">
            <a:xfrm>
              <a:off x="63" y="1227"/>
              <a:ext cx="42" cy="6"/>
              <a:chOff x="204" y="283"/>
              <a:chExt cx="46" cy="7"/>
            </a:xfrm>
          </xdr:grpSpPr>
          <xdr:sp macro="" textlink="">
            <xdr:nvSpPr>
              <xdr:cNvPr id="54355" name="Line 1498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56" name="Line 1499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57" name="Line 1500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58" name="Line 1501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59" name="Line 1502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60" name="Line 1503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96" name="Text Box 1504"/>
            <xdr:cNvSpPr txBox="1">
              <a:spLocks noChangeArrowheads="1"/>
            </xdr:cNvSpPr>
          </xdr:nvSpPr>
          <xdr:spPr bwMode="auto">
            <a:xfrm>
              <a:off x="66" y="1295"/>
              <a:ext cx="51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9697" name="Text Box 1505"/>
            <xdr:cNvSpPr txBox="1">
              <a:spLocks noChangeArrowheads="1"/>
            </xdr:cNvSpPr>
          </xdr:nvSpPr>
          <xdr:spPr bwMode="auto">
            <a:xfrm>
              <a:off x="43" y="1252"/>
              <a:ext cx="33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349" name="Group 1506"/>
            <xdr:cNvGrpSpPr>
              <a:grpSpLocks/>
            </xdr:cNvGrpSpPr>
          </xdr:nvGrpSpPr>
          <xdr:grpSpPr bwMode="auto">
            <a:xfrm>
              <a:off x="69" y="1234"/>
              <a:ext cx="45" cy="47"/>
              <a:chOff x="70" y="88"/>
              <a:chExt cx="45" cy="47"/>
            </a:xfrm>
          </xdr:grpSpPr>
          <xdr:sp macro="" textlink="">
            <xdr:nvSpPr>
              <xdr:cNvPr id="9699" name="Text Box 1507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9</a:t>
                </a:r>
                <a:endParaRPr lang="pt-BR"/>
              </a:p>
            </xdr:txBody>
          </xdr:sp>
          <xdr:sp macro="" textlink="">
            <xdr:nvSpPr>
              <xdr:cNvPr id="54351" name="Line 1508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52" name="Line 1509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02" name="Text Box 1510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703" name="Text Box 1511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</xdr:grpSp>
    <xdr:clientData/>
  </xdr:twoCellAnchor>
  <xdr:twoCellAnchor editAs="oneCell">
    <xdr:from>
      <xdr:col>1</xdr:col>
      <xdr:colOff>200025</xdr:colOff>
      <xdr:row>20</xdr:row>
      <xdr:rowOff>0</xdr:rowOff>
    </xdr:from>
    <xdr:to>
      <xdr:col>2</xdr:col>
      <xdr:colOff>295275</xdr:colOff>
      <xdr:row>129</xdr:row>
      <xdr:rowOff>133350</xdr:rowOff>
    </xdr:to>
    <xdr:grpSp>
      <xdr:nvGrpSpPr>
        <xdr:cNvPr id="53321" name="Group 1513"/>
        <xdr:cNvGrpSpPr>
          <a:grpSpLocks/>
        </xdr:cNvGrpSpPr>
      </xdr:nvGrpSpPr>
      <xdr:grpSpPr bwMode="auto">
        <a:xfrm>
          <a:off x="571500" y="3333750"/>
          <a:ext cx="809625" cy="16744950"/>
          <a:chOff x="1726" y="369"/>
          <a:chExt cx="85" cy="1886"/>
        </a:xfrm>
      </xdr:grpSpPr>
      <xdr:grpSp>
        <xdr:nvGrpSpPr>
          <xdr:cNvPr id="54081" name="Group 1514"/>
          <xdr:cNvGrpSpPr>
            <a:grpSpLocks/>
          </xdr:cNvGrpSpPr>
        </xdr:nvGrpSpPr>
        <xdr:grpSpPr bwMode="auto">
          <a:xfrm>
            <a:off x="1729" y="369"/>
            <a:ext cx="75" cy="88"/>
            <a:chOff x="44" y="82"/>
            <a:chExt cx="75" cy="90"/>
          </a:xfrm>
        </xdr:grpSpPr>
        <xdr:sp macro="" textlink="">
          <xdr:nvSpPr>
            <xdr:cNvPr id="54324" name="Rectangle 1515"/>
            <xdr:cNvSpPr>
              <a:spLocks noChangeArrowheads="1"/>
            </xdr:cNvSpPr>
          </xdr:nvSpPr>
          <xdr:spPr bwMode="auto">
            <a:xfrm>
              <a:off x="61" y="82"/>
              <a:ext cx="51" cy="6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9708" name="Text Box 1516"/>
            <xdr:cNvSpPr txBox="1">
              <a:spLocks noChangeArrowheads="1"/>
            </xdr:cNvSpPr>
          </xdr:nvSpPr>
          <xdr:spPr bwMode="auto">
            <a:xfrm>
              <a:off x="67" y="150"/>
              <a:ext cx="52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9709" name="Text Box 1517"/>
            <xdr:cNvSpPr txBox="1">
              <a:spLocks noChangeArrowheads="1"/>
            </xdr:cNvSpPr>
          </xdr:nvSpPr>
          <xdr:spPr bwMode="auto">
            <a:xfrm>
              <a:off x="44" y="104"/>
              <a:ext cx="3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327" name="Group 1518"/>
            <xdr:cNvGrpSpPr>
              <a:grpSpLocks/>
            </xdr:cNvGrpSpPr>
          </xdr:nvGrpSpPr>
          <xdr:grpSpPr bwMode="auto">
            <a:xfrm>
              <a:off x="70" y="88"/>
              <a:ext cx="45" cy="47"/>
              <a:chOff x="70" y="88"/>
              <a:chExt cx="45" cy="47"/>
            </a:xfrm>
          </xdr:grpSpPr>
          <xdr:sp macro="" textlink="">
            <xdr:nvSpPr>
              <xdr:cNvPr id="9711" name="Text Box 1519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1</a:t>
                </a:r>
                <a:endParaRPr lang="pt-BR"/>
              </a:p>
            </xdr:txBody>
          </xdr:sp>
          <xdr:sp macro="" textlink="">
            <xdr:nvSpPr>
              <xdr:cNvPr id="54329" name="Line 1520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30" name="Line 1521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14" name="Text Box 1522"/>
              <xdr:cNvSpPr txBox="1">
                <a:spLocks noChangeArrowheads="1"/>
              </xdr:cNvSpPr>
            </xdr:nvSpPr>
            <xdr:spPr bwMode="auto">
              <a:xfrm>
                <a:off x="72" y="82"/>
                <a:ext cx="20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715" name="Text Box 1523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082" name="Group 1524"/>
          <xdr:cNvGrpSpPr>
            <a:grpSpLocks/>
          </xdr:cNvGrpSpPr>
        </xdr:nvGrpSpPr>
        <xdr:grpSpPr bwMode="auto">
          <a:xfrm>
            <a:off x="1731" y="590"/>
            <a:ext cx="80" cy="90"/>
            <a:chOff x="43" y="204"/>
            <a:chExt cx="80" cy="92"/>
          </a:xfrm>
        </xdr:grpSpPr>
        <xdr:sp macro="" textlink="">
          <xdr:nvSpPr>
            <xdr:cNvPr id="54308" name="Rectangle 1525"/>
            <xdr:cNvSpPr>
              <a:spLocks noChangeArrowheads="1"/>
            </xdr:cNvSpPr>
          </xdr:nvSpPr>
          <xdr:spPr bwMode="auto">
            <a:xfrm>
              <a:off x="61" y="204"/>
              <a:ext cx="52" cy="7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309" name="Group 1526"/>
            <xdr:cNvGrpSpPr>
              <a:grpSpLocks/>
            </xdr:cNvGrpSpPr>
          </xdr:nvGrpSpPr>
          <xdr:grpSpPr bwMode="auto">
            <a:xfrm>
              <a:off x="63" y="269"/>
              <a:ext cx="47" cy="5"/>
              <a:chOff x="204" y="283"/>
              <a:chExt cx="46" cy="7"/>
            </a:xfrm>
          </xdr:grpSpPr>
          <xdr:sp macro="" textlink="">
            <xdr:nvSpPr>
              <xdr:cNvPr id="54318" name="Line 1527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19" name="Line 1528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20" name="Line 1529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21" name="Line 1530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22" name="Line 1531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23" name="Line 1532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25" name="Text Box 1533"/>
            <xdr:cNvSpPr txBox="1">
              <a:spLocks noChangeArrowheads="1"/>
            </xdr:cNvSpPr>
          </xdr:nvSpPr>
          <xdr:spPr bwMode="auto">
            <a:xfrm>
              <a:off x="43" y="231"/>
              <a:ext cx="3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sp macro="" textlink="">
          <xdr:nvSpPr>
            <xdr:cNvPr id="9726" name="Text Box 1534"/>
            <xdr:cNvSpPr txBox="1">
              <a:spLocks noChangeArrowheads="1"/>
            </xdr:cNvSpPr>
          </xdr:nvSpPr>
          <xdr:spPr bwMode="auto">
            <a:xfrm>
              <a:off x="68" y="274"/>
              <a:ext cx="5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grpSp>
          <xdr:nvGrpSpPr>
            <xdr:cNvPr id="54312" name="Group 1535"/>
            <xdr:cNvGrpSpPr>
              <a:grpSpLocks/>
            </xdr:cNvGrpSpPr>
          </xdr:nvGrpSpPr>
          <xdr:grpSpPr bwMode="auto">
            <a:xfrm>
              <a:off x="71" y="213"/>
              <a:ext cx="45" cy="47"/>
              <a:chOff x="70" y="88"/>
              <a:chExt cx="45" cy="47"/>
            </a:xfrm>
          </xdr:grpSpPr>
          <xdr:sp macro="" textlink="">
            <xdr:nvSpPr>
              <xdr:cNvPr id="9728" name="Text Box 1536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endParaRPr lang="pt-BR"/>
              </a:p>
            </xdr:txBody>
          </xdr:sp>
          <xdr:sp macro="" textlink="">
            <xdr:nvSpPr>
              <xdr:cNvPr id="54314" name="Line 1537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15" name="Line 1538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31" name="Text Box 1539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732" name="Text Box 1540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083" name="Group 1541"/>
          <xdr:cNvGrpSpPr>
            <a:grpSpLocks/>
          </xdr:cNvGrpSpPr>
        </xdr:nvGrpSpPr>
        <xdr:grpSpPr bwMode="auto">
          <a:xfrm>
            <a:off x="1731" y="819"/>
            <a:ext cx="78" cy="93"/>
            <a:chOff x="44" y="337"/>
            <a:chExt cx="78" cy="94"/>
          </a:xfrm>
        </xdr:grpSpPr>
        <xdr:sp macro="" textlink="">
          <xdr:nvSpPr>
            <xdr:cNvPr id="54285" name="Rectangle 1542"/>
            <xdr:cNvSpPr>
              <a:spLocks noChangeArrowheads="1"/>
            </xdr:cNvSpPr>
          </xdr:nvSpPr>
          <xdr:spPr bwMode="auto">
            <a:xfrm>
              <a:off x="60" y="337"/>
              <a:ext cx="51" cy="7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286" name="Group 1543"/>
            <xdr:cNvGrpSpPr>
              <a:grpSpLocks/>
            </xdr:cNvGrpSpPr>
          </xdr:nvGrpSpPr>
          <xdr:grpSpPr bwMode="auto">
            <a:xfrm>
              <a:off x="63" y="401"/>
              <a:ext cx="46" cy="7"/>
              <a:chOff x="204" y="283"/>
              <a:chExt cx="46" cy="7"/>
            </a:xfrm>
          </xdr:grpSpPr>
          <xdr:sp macro="" textlink="">
            <xdr:nvSpPr>
              <xdr:cNvPr id="54302" name="Line 1544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03" name="Line 1545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04" name="Line 1546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05" name="Line 1547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06" name="Line 1548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07" name="Line 1549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87" name="Group 1550"/>
            <xdr:cNvGrpSpPr>
              <a:grpSpLocks/>
            </xdr:cNvGrpSpPr>
          </xdr:nvGrpSpPr>
          <xdr:grpSpPr bwMode="auto">
            <a:xfrm>
              <a:off x="63" y="337"/>
              <a:ext cx="46" cy="5"/>
              <a:chOff x="204" y="283"/>
              <a:chExt cx="46" cy="7"/>
            </a:xfrm>
          </xdr:grpSpPr>
          <xdr:sp macro="" textlink="">
            <xdr:nvSpPr>
              <xdr:cNvPr id="54296" name="Line 1551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97" name="Line 1552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98" name="Line 1553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99" name="Line 1554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00" name="Line 1555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301" name="Line 1556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49" name="Text Box 1557"/>
            <xdr:cNvSpPr txBox="1">
              <a:spLocks noChangeArrowheads="1"/>
            </xdr:cNvSpPr>
          </xdr:nvSpPr>
          <xdr:spPr bwMode="auto">
            <a:xfrm>
              <a:off x="68" y="409"/>
              <a:ext cx="5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9750" name="Text Box 1558"/>
            <xdr:cNvSpPr txBox="1">
              <a:spLocks noChangeArrowheads="1"/>
            </xdr:cNvSpPr>
          </xdr:nvSpPr>
          <xdr:spPr bwMode="auto">
            <a:xfrm>
              <a:off x="44" y="363"/>
              <a:ext cx="3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290" name="Group 1559"/>
            <xdr:cNvGrpSpPr>
              <a:grpSpLocks/>
            </xdr:cNvGrpSpPr>
          </xdr:nvGrpSpPr>
          <xdr:grpSpPr bwMode="auto">
            <a:xfrm>
              <a:off x="70" y="346"/>
              <a:ext cx="45" cy="47"/>
              <a:chOff x="70" y="88"/>
              <a:chExt cx="45" cy="47"/>
            </a:xfrm>
          </xdr:grpSpPr>
          <xdr:sp macro="" textlink="">
            <xdr:nvSpPr>
              <xdr:cNvPr id="9752" name="Text Box 1560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endParaRPr lang="pt-BR"/>
              </a:p>
            </xdr:txBody>
          </xdr:sp>
          <xdr:sp macro="" textlink="">
            <xdr:nvSpPr>
              <xdr:cNvPr id="54292" name="Line 1561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93" name="Line 1562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5" name="Text Box 1563"/>
              <xdr:cNvSpPr txBox="1">
                <a:spLocks noChangeArrowheads="1"/>
              </xdr:cNvSpPr>
            </xdr:nvSpPr>
            <xdr:spPr bwMode="auto">
              <a:xfrm>
                <a:off x="72" y="82"/>
                <a:ext cx="20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756" name="Text Box 1564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084" name="Group 1565"/>
          <xdr:cNvGrpSpPr>
            <a:grpSpLocks/>
          </xdr:cNvGrpSpPr>
        </xdr:nvGrpSpPr>
        <xdr:grpSpPr bwMode="auto">
          <a:xfrm>
            <a:off x="1729" y="1043"/>
            <a:ext cx="75" cy="88"/>
            <a:chOff x="45" y="469"/>
            <a:chExt cx="75" cy="89"/>
          </a:xfrm>
        </xdr:grpSpPr>
        <xdr:sp macro="" textlink="">
          <xdr:nvSpPr>
            <xdr:cNvPr id="54265" name="Rectangle 1566"/>
            <xdr:cNvSpPr>
              <a:spLocks noChangeArrowheads="1"/>
            </xdr:cNvSpPr>
          </xdr:nvSpPr>
          <xdr:spPr bwMode="auto">
            <a:xfrm>
              <a:off x="61" y="469"/>
              <a:ext cx="51" cy="6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266" name="Group 1567"/>
            <xdr:cNvGrpSpPr>
              <a:grpSpLocks/>
            </xdr:cNvGrpSpPr>
          </xdr:nvGrpSpPr>
          <xdr:grpSpPr bwMode="auto">
            <a:xfrm>
              <a:off x="61" y="471"/>
              <a:ext cx="7" cy="63"/>
              <a:chOff x="328" y="213"/>
              <a:chExt cx="7" cy="75"/>
            </a:xfrm>
          </xdr:grpSpPr>
          <xdr:sp macro="" textlink="">
            <xdr:nvSpPr>
              <xdr:cNvPr id="54275" name="Line 1568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76" name="Line 1569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77" name="Line 1570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78" name="Line 1571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79" name="Line 1572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80" name="Line 1573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81" name="Line 1574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82" name="Line 1575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83" name="Line 1576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84" name="Line 1577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70" name="Text Box 1578"/>
            <xdr:cNvSpPr txBox="1">
              <a:spLocks noChangeArrowheads="1"/>
            </xdr:cNvSpPr>
          </xdr:nvSpPr>
          <xdr:spPr bwMode="auto">
            <a:xfrm>
              <a:off x="68" y="538"/>
              <a:ext cx="52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9771" name="Text Box 1579"/>
            <xdr:cNvSpPr txBox="1">
              <a:spLocks noChangeArrowheads="1"/>
            </xdr:cNvSpPr>
          </xdr:nvSpPr>
          <xdr:spPr bwMode="auto">
            <a:xfrm>
              <a:off x="45" y="492"/>
              <a:ext cx="3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269" name="Group 1580"/>
            <xdr:cNvGrpSpPr>
              <a:grpSpLocks/>
            </xdr:cNvGrpSpPr>
          </xdr:nvGrpSpPr>
          <xdr:grpSpPr bwMode="auto">
            <a:xfrm>
              <a:off x="71" y="476"/>
              <a:ext cx="45" cy="47"/>
              <a:chOff x="70" y="88"/>
              <a:chExt cx="45" cy="47"/>
            </a:xfrm>
          </xdr:grpSpPr>
          <xdr:sp macro="" textlink="">
            <xdr:nvSpPr>
              <xdr:cNvPr id="9773" name="Text Box 1581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4</a:t>
                </a:r>
                <a:endParaRPr lang="pt-BR"/>
              </a:p>
            </xdr:txBody>
          </xdr:sp>
          <xdr:sp macro="" textlink="">
            <xdr:nvSpPr>
              <xdr:cNvPr id="54271" name="Line 1582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72" name="Line 1583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76" name="Text Box 1584"/>
              <xdr:cNvSpPr txBox="1">
                <a:spLocks noChangeArrowheads="1"/>
              </xdr:cNvSpPr>
            </xdr:nvSpPr>
            <xdr:spPr bwMode="auto">
              <a:xfrm>
                <a:off x="72" y="82"/>
                <a:ext cx="20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777" name="Text Box 1585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085" name="Group 1586"/>
          <xdr:cNvGrpSpPr>
            <a:grpSpLocks/>
          </xdr:cNvGrpSpPr>
        </xdr:nvGrpSpPr>
        <xdr:grpSpPr bwMode="auto">
          <a:xfrm>
            <a:off x="1732" y="1264"/>
            <a:ext cx="76" cy="89"/>
            <a:chOff x="46" y="624"/>
            <a:chExt cx="76" cy="90"/>
          </a:xfrm>
        </xdr:grpSpPr>
        <xdr:sp macro="" textlink="">
          <xdr:nvSpPr>
            <xdr:cNvPr id="54238" name="Rectangle 1587"/>
            <xdr:cNvSpPr>
              <a:spLocks noChangeArrowheads="1"/>
            </xdr:cNvSpPr>
          </xdr:nvSpPr>
          <xdr:spPr bwMode="auto">
            <a:xfrm>
              <a:off x="62" y="624"/>
              <a:ext cx="50" cy="6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239" name="Group 1588"/>
            <xdr:cNvGrpSpPr>
              <a:grpSpLocks/>
            </xdr:cNvGrpSpPr>
          </xdr:nvGrpSpPr>
          <xdr:grpSpPr bwMode="auto">
            <a:xfrm>
              <a:off x="66" y="686"/>
              <a:ext cx="44" cy="5"/>
              <a:chOff x="204" y="283"/>
              <a:chExt cx="46" cy="7"/>
            </a:xfrm>
          </xdr:grpSpPr>
          <xdr:sp macro="" textlink="">
            <xdr:nvSpPr>
              <xdr:cNvPr id="54259" name="Line 1589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60" name="Line 1590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61" name="Line 1591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62" name="Line 1592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63" name="Line 1593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64" name="Line 1594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40" name="Group 1595"/>
            <xdr:cNvGrpSpPr>
              <a:grpSpLocks/>
            </xdr:cNvGrpSpPr>
          </xdr:nvGrpSpPr>
          <xdr:grpSpPr bwMode="auto">
            <a:xfrm>
              <a:off x="62" y="625"/>
              <a:ext cx="7" cy="64"/>
              <a:chOff x="328" y="213"/>
              <a:chExt cx="7" cy="75"/>
            </a:xfrm>
          </xdr:grpSpPr>
          <xdr:sp macro="" textlink="">
            <xdr:nvSpPr>
              <xdr:cNvPr id="54249" name="Line 1596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50" name="Line 1597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51" name="Line 1598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52" name="Line 1599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53" name="Line 1600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54" name="Line 1601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55" name="Line 1602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56" name="Line 1603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57" name="Line 1604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58" name="Line 1605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98" name="Text Box 1606"/>
            <xdr:cNvSpPr txBox="1">
              <a:spLocks noChangeArrowheads="1"/>
            </xdr:cNvSpPr>
          </xdr:nvSpPr>
          <xdr:spPr bwMode="auto">
            <a:xfrm>
              <a:off x="69" y="693"/>
              <a:ext cx="53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9799" name="Text Box 1607"/>
            <xdr:cNvSpPr txBox="1">
              <a:spLocks noChangeArrowheads="1"/>
            </xdr:cNvSpPr>
          </xdr:nvSpPr>
          <xdr:spPr bwMode="auto">
            <a:xfrm>
              <a:off x="46" y="647"/>
              <a:ext cx="34" cy="2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243" name="Group 1608"/>
            <xdr:cNvGrpSpPr>
              <a:grpSpLocks/>
            </xdr:cNvGrpSpPr>
          </xdr:nvGrpSpPr>
          <xdr:grpSpPr bwMode="auto">
            <a:xfrm>
              <a:off x="71" y="631"/>
              <a:ext cx="45" cy="47"/>
              <a:chOff x="70" y="88"/>
              <a:chExt cx="45" cy="47"/>
            </a:xfrm>
          </xdr:grpSpPr>
          <xdr:sp macro="" textlink="">
            <xdr:nvSpPr>
              <xdr:cNvPr id="9801" name="Text Box 1609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5</a:t>
                </a:r>
                <a:endParaRPr lang="pt-BR"/>
              </a:p>
            </xdr:txBody>
          </xdr:sp>
          <xdr:sp macro="" textlink="">
            <xdr:nvSpPr>
              <xdr:cNvPr id="54245" name="Line 1610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46" name="Line 1611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04" name="Text Box 1612"/>
              <xdr:cNvSpPr txBox="1">
                <a:spLocks noChangeArrowheads="1"/>
              </xdr:cNvSpPr>
            </xdr:nvSpPr>
            <xdr:spPr bwMode="auto">
              <a:xfrm>
                <a:off x="72" y="82"/>
                <a:ext cx="20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805" name="Text Box 1613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086" name="Group 1614"/>
          <xdr:cNvGrpSpPr>
            <a:grpSpLocks/>
          </xdr:cNvGrpSpPr>
        </xdr:nvGrpSpPr>
        <xdr:grpSpPr bwMode="auto">
          <a:xfrm>
            <a:off x="1730" y="1485"/>
            <a:ext cx="74" cy="89"/>
            <a:chOff x="44" y="800"/>
            <a:chExt cx="74" cy="90"/>
          </a:xfrm>
        </xdr:grpSpPr>
        <xdr:sp macro="" textlink="">
          <xdr:nvSpPr>
            <xdr:cNvPr id="54204" name="Rectangle 1615"/>
            <xdr:cNvSpPr>
              <a:spLocks noChangeArrowheads="1"/>
            </xdr:cNvSpPr>
          </xdr:nvSpPr>
          <xdr:spPr bwMode="auto">
            <a:xfrm>
              <a:off x="61" y="800"/>
              <a:ext cx="50" cy="6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205" name="Group 1616"/>
            <xdr:cNvGrpSpPr>
              <a:grpSpLocks/>
            </xdr:cNvGrpSpPr>
          </xdr:nvGrpSpPr>
          <xdr:grpSpPr bwMode="auto">
            <a:xfrm>
              <a:off x="67" y="863"/>
              <a:ext cx="43" cy="5"/>
              <a:chOff x="204" y="283"/>
              <a:chExt cx="46" cy="7"/>
            </a:xfrm>
          </xdr:grpSpPr>
          <xdr:sp macro="" textlink="">
            <xdr:nvSpPr>
              <xdr:cNvPr id="54232" name="Line 1617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33" name="Line 1618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34" name="Line 1619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35" name="Line 1620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36" name="Line 1621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37" name="Line 1622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06" name="Group 1623"/>
            <xdr:cNvGrpSpPr>
              <a:grpSpLocks/>
            </xdr:cNvGrpSpPr>
          </xdr:nvGrpSpPr>
          <xdr:grpSpPr bwMode="auto">
            <a:xfrm>
              <a:off x="61" y="802"/>
              <a:ext cx="7" cy="64"/>
              <a:chOff x="328" y="213"/>
              <a:chExt cx="7" cy="75"/>
            </a:xfrm>
          </xdr:grpSpPr>
          <xdr:sp macro="" textlink="">
            <xdr:nvSpPr>
              <xdr:cNvPr id="54222" name="Line 1624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23" name="Line 1625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24" name="Line 1626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25" name="Line 1627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26" name="Line 1628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27" name="Line 1629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28" name="Line 1630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29" name="Line 1631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30" name="Line 1632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31" name="Line 1633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07" name="Group 1634"/>
            <xdr:cNvGrpSpPr>
              <a:grpSpLocks/>
            </xdr:cNvGrpSpPr>
          </xdr:nvGrpSpPr>
          <xdr:grpSpPr bwMode="auto">
            <a:xfrm>
              <a:off x="66" y="800"/>
              <a:ext cx="43" cy="5"/>
              <a:chOff x="204" y="283"/>
              <a:chExt cx="46" cy="7"/>
            </a:xfrm>
          </xdr:grpSpPr>
          <xdr:sp macro="" textlink="">
            <xdr:nvSpPr>
              <xdr:cNvPr id="54216" name="Line 1635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17" name="Line 1636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18" name="Line 1637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19" name="Line 1638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20" name="Line 1639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21" name="Line 1640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33" name="Text Box 1641"/>
            <xdr:cNvSpPr txBox="1">
              <a:spLocks noChangeArrowheads="1"/>
            </xdr:cNvSpPr>
          </xdr:nvSpPr>
          <xdr:spPr bwMode="auto">
            <a:xfrm>
              <a:off x="67" y="868"/>
              <a:ext cx="51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9834" name="Text Box 1642"/>
            <xdr:cNvSpPr txBox="1">
              <a:spLocks noChangeArrowheads="1"/>
            </xdr:cNvSpPr>
          </xdr:nvSpPr>
          <xdr:spPr bwMode="auto">
            <a:xfrm>
              <a:off x="44" y="826"/>
              <a:ext cx="33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210" name="Group 1643"/>
            <xdr:cNvGrpSpPr>
              <a:grpSpLocks/>
            </xdr:cNvGrpSpPr>
          </xdr:nvGrpSpPr>
          <xdr:grpSpPr bwMode="auto">
            <a:xfrm>
              <a:off x="70" y="808"/>
              <a:ext cx="45" cy="47"/>
              <a:chOff x="70" y="88"/>
              <a:chExt cx="45" cy="47"/>
            </a:xfrm>
          </xdr:grpSpPr>
          <xdr:sp macro="" textlink="">
            <xdr:nvSpPr>
              <xdr:cNvPr id="9836" name="Text Box 1644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6</a:t>
                </a:r>
                <a:endParaRPr lang="pt-BR"/>
              </a:p>
            </xdr:txBody>
          </xdr:sp>
          <xdr:sp macro="" textlink="">
            <xdr:nvSpPr>
              <xdr:cNvPr id="54212" name="Line 1645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13" name="Line 1646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39" name="Text Box 1647"/>
              <xdr:cNvSpPr txBox="1">
                <a:spLocks noChangeArrowheads="1"/>
              </xdr:cNvSpPr>
            </xdr:nvSpPr>
            <xdr:spPr bwMode="auto">
              <a:xfrm>
                <a:off x="72" y="82"/>
                <a:ext cx="20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840" name="Text Box 1648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087" name="Group 1649"/>
          <xdr:cNvGrpSpPr>
            <a:grpSpLocks/>
          </xdr:cNvGrpSpPr>
        </xdr:nvGrpSpPr>
        <xdr:grpSpPr bwMode="auto">
          <a:xfrm>
            <a:off x="1726" y="1708"/>
            <a:ext cx="79" cy="93"/>
            <a:chOff x="40" y="938"/>
            <a:chExt cx="79" cy="95"/>
          </a:xfrm>
        </xdr:grpSpPr>
        <xdr:sp macro="" textlink="">
          <xdr:nvSpPr>
            <xdr:cNvPr id="54173" name="Rectangle 1650"/>
            <xdr:cNvSpPr>
              <a:spLocks noChangeArrowheads="1"/>
            </xdr:cNvSpPr>
          </xdr:nvSpPr>
          <xdr:spPr bwMode="auto">
            <a:xfrm>
              <a:off x="58" y="938"/>
              <a:ext cx="53" cy="7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174" name="Group 1651"/>
            <xdr:cNvGrpSpPr>
              <a:grpSpLocks/>
            </xdr:cNvGrpSpPr>
          </xdr:nvGrpSpPr>
          <xdr:grpSpPr bwMode="auto">
            <a:xfrm>
              <a:off x="104" y="941"/>
              <a:ext cx="7" cy="67"/>
              <a:chOff x="328" y="213"/>
              <a:chExt cx="7" cy="75"/>
            </a:xfrm>
          </xdr:grpSpPr>
          <xdr:sp macro="" textlink="">
            <xdr:nvSpPr>
              <xdr:cNvPr id="54194" name="Line 1652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95" name="Line 1653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96" name="Line 1654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97" name="Line 1655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98" name="Line 1656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99" name="Line 1657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00" name="Line 1658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01" name="Line 1659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02" name="Line 1660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203" name="Line 1661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75" name="Group 1662"/>
            <xdr:cNvGrpSpPr>
              <a:grpSpLocks/>
            </xdr:cNvGrpSpPr>
          </xdr:nvGrpSpPr>
          <xdr:grpSpPr bwMode="auto">
            <a:xfrm>
              <a:off x="58" y="940"/>
              <a:ext cx="7" cy="67"/>
              <a:chOff x="328" y="213"/>
              <a:chExt cx="7" cy="75"/>
            </a:xfrm>
          </xdr:grpSpPr>
          <xdr:sp macro="" textlink="">
            <xdr:nvSpPr>
              <xdr:cNvPr id="54184" name="Line 1663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85" name="Line 1664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86" name="Line 1665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87" name="Line 1666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88" name="Line 1667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89" name="Line 1668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90" name="Line 1669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91" name="Line 1670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92" name="Line 1671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93" name="Line 1672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65" name="Text Box 1673"/>
            <xdr:cNvSpPr txBox="1">
              <a:spLocks noChangeArrowheads="1"/>
            </xdr:cNvSpPr>
          </xdr:nvSpPr>
          <xdr:spPr bwMode="auto">
            <a:xfrm>
              <a:off x="65" y="1011"/>
              <a:ext cx="5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9866" name="Text Box 1674"/>
            <xdr:cNvSpPr txBox="1">
              <a:spLocks noChangeArrowheads="1"/>
            </xdr:cNvSpPr>
          </xdr:nvSpPr>
          <xdr:spPr bwMode="auto">
            <a:xfrm>
              <a:off x="40" y="963"/>
              <a:ext cx="3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178" name="Group 1675"/>
            <xdr:cNvGrpSpPr>
              <a:grpSpLocks/>
            </xdr:cNvGrpSpPr>
          </xdr:nvGrpSpPr>
          <xdr:grpSpPr bwMode="auto">
            <a:xfrm>
              <a:off x="69" y="948"/>
              <a:ext cx="45" cy="47"/>
              <a:chOff x="70" y="88"/>
              <a:chExt cx="45" cy="47"/>
            </a:xfrm>
          </xdr:grpSpPr>
          <xdr:sp macro="" textlink="">
            <xdr:nvSpPr>
              <xdr:cNvPr id="9868" name="Text Box 1676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7</a:t>
                </a:r>
                <a:endParaRPr lang="pt-BR"/>
              </a:p>
            </xdr:txBody>
          </xdr:sp>
          <xdr:sp macro="" textlink="">
            <xdr:nvSpPr>
              <xdr:cNvPr id="54180" name="Line 1677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81" name="Line 1678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1" name="Text Box 1679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872" name="Text Box 1680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088" name="Group 1681"/>
          <xdr:cNvGrpSpPr>
            <a:grpSpLocks/>
          </xdr:cNvGrpSpPr>
        </xdr:nvGrpSpPr>
        <xdr:grpSpPr bwMode="auto">
          <a:xfrm>
            <a:off x="1733" y="1933"/>
            <a:ext cx="73" cy="89"/>
            <a:chOff x="44" y="1078"/>
            <a:chExt cx="73" cy="90"/>
          </a:xfrm>
        </xdr:grpSpPr>
        <xdr:sp macro="" textlink="">
          <xdr:nvSpPr>
            <xdr:cNvPr id="54135" name="Rectangle 1682"/>
            <xdr:cNvSpPr>
              <a:spLocks noChangeArrowheads="1"/>
            </xdr:cNvSpPr>
          </xdr:nvSpPr>
          <xdr:spPr bwMode="auto">
            <a:xfrm>
              <a:off x="59" y="1078"/>
              <a:ext cx="51" cy="6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136" name="Group 1683"/>
            <xdr:cNvGrpSpPr>
              <a:grpSpLocks/>
            </xdr:cNvGrpSpPr>
          </xdr:nvGrpSpPr>
          <xdr:grpSpPr bwMode="auto">
            <a:xfrm>
              <a:off x="66" y="1140"/>
              <a:ext cx="42" cy="6"/>
              <a:chOff x="204" y="283"/>
              <a:chExt cx="46" cy="7"/>
            </a:xfrm>
          </xdr:grpSpPr>
          <xdr:sp macro="" textlink="">
            <xdr:nvSpPr>
              <xdr:cNvPr id="54167" name="Line 1684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68" name="Line 1685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69" name="Line 1686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0" name="Line 1687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1" name="Line 1688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2" name="Line 1689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37" name="Group 1690"/>
            <xdr:cNvGrpSpPr>
              <a:grpSpLocks/>
            </xdr:cNvGrpSpPr>
          </xdr:nvGrpSpPr>
          <xdr:grpSpPr bwMode="auto">
            <a:xfrm>
              <a:off x="102" y="1081"/>
              <a:ext cx="8" cy="63"/>
              <a:chOff x="328" y="213"/>
              <a:chExt cx="7" cy="75"/>
            </a:xfrm>
          </xdr:grpSpPr>
          <xdr:sp macro="" textlink="">
            <xdr:nvSpPr>
              <xdr:cNvPr id="54157" name="Line 1691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8" name="Line 1692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9" name="Line 1693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60" name="Line 1694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61" name="Line 1695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62" name="Line 1696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63" name="Line 1697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64" name="Line 1698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65" name="Line 1699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66" name="Line 1700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38" name="Group 1701"/>
            <xdr:cNvGrpSpPr>
              <a:grpSpLocks/>
            </xdr:cNvGrpSpPr>
          </xdr:nvGrpSpPr>
          <xdr:grpSpPr bwMode="auto">
            <a:xfrm>
              <a:off x="59" y="1080"/>
              <a:ext cx="7" cy="63"/>
              <a:chOff x="328" y="213"/>
              <a:chExt cx="7" cy="75"/>
            </a:xfrm>
          </xdr:grpSpPr>
          <xdr:sp macro="" textlink="">
            <xdr:nvSpPr>
              <xdr:cNvPr id="54147" name="Line 1702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48" name="Line 1703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49" name="Line 1704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0" name="Line 1705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1" name="Line 1706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2" name="Line 1707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3" name="Line 1708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4" name="Line 1709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5" name="Line 1710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6" name="Line 1711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04" name="Text Box 1712"/>
            <xdr:cNvSpPr txBox="1">
              <a:spLocks noChangeArrowheads="1"/>
            </xdr:cNvSpPr>
          </xdr:nvSpPr>
          <xdr:spPr bwMode="auto">
            <a:xfrm>
              <a:off x="66" y="1149"/>
              <a:ext cx="51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9905" name="Text Box 1713"/>
            <xdr:cNvSpPr txBox="1">
              <a:spLocks noChangeArrowheads="1"/>
            </xdr:cNvSpPr>
          </xdr:nvSpPr>
          <xdr:spPr bwMode="auto">
            <a:xfrm>
              <a:off x="44" y="1105"/>
              <a:ext cx="33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141" name="Group 1714"/>
            <xdr:cNvGrpSpPr>
              <a:grpSpLocks/>
            </xdr:cNvGrpSpPr>
          </xdr:nvGrpSpPr>
          <xdr:grpSpPr bwMode="auto">
            <a:xfrm>
              <a:off x="67" y="1086"/>
              <a:ext cx="45" cy="47"/>
              <a:chOff x="70" y="88"/>
              <a:chExt cx="45" cy="47"/>
            </a:xfrm>
          </xdr:grpSpPr>
          <xdr:sp macro="" textlink="">
            <xdr:nvSpPr>
              <xdr:cNvPr id="9907" name="Text Box 1715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8</a:t>
                </a:r>
                <a:endParaRPr lang="pt-BR"/>
              </a:p>
            </xdr:txBody>
          </xdr:sp>
          <xdr:sp macro="" textlink="">
            <xdr:nvSpPr>
              <xdr:cNvPr id="54143" name="Line 1716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44" name="Line 1717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0" name="Text Box 1718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911" name="Text Box 1719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4089" name="Group 1720"/>
          <xdr:cNvGrpSpPr>
            <a:grpSpLocks/>
          </xdr:cNvGrpSpPr>
        </xdr:nvGrpSpPr>
        <xdr:grpSpPr bwMode="auto">
          <a:xfrm>
            <a:off x="1732" y="2168"/>
            <a:ext cx="74" cy="87"/>
            <a:chOff x="43" y="1227"/>
            <a:chExt cx="74" cy="89"/>
          </a:xfrm>
        </xdr:grpSpPr>
        <xdr:sp macro="" textlink="">
          <xdr:nvSpPr>
            <xdr:cNvPr id="54090" name="Rectangle 1721"/>
            <xdr:cNvSpPr>
              <a:spLocks noChangeArrowheads="1"/>
            </xdr:cNvSpPr>
          </xdr:nvSpPr>
          <xdr:spPr bwMode="auto">
            <a:xfrm>
              <a:off x="60" y="1227"/>
              <a:ext cx="50" cy="6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091" name="Group 1722"/>
            <xdr:cNvGrpSpPr>
              <a:grpSpLocks/>
            </xdr:cNvGrpSpPr>
          </xdr:nvGrpSpPr>
          <xdr:grpSpPr bwMode="auto">
            <a:xfrm>
              <a:off x="66" y="1288"/>
              <a:ext cx="42" cy="7"/>
              <a:chOff x="204" y="283"/>
              <a:chExt cx="46" cy="7"/>
            </a:xfrm>
          </xdr:grpSpPr>
          <xdr:sp macro="" textlink="">
            <xdr:nvSpPr>
              <xdr:cNvPr id="54129" name="Line 1723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0" name="Line 1724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1" name="Line 1725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2" name="Line 1726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3" name="Line 1727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4" name="Line 1728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92" name="Group 1729"/>
            <xdr:cNvGrpSpPr>
              <a:grpSpLocks/>
            </xdr:cNvGrpSpPr>
          </xdr:nvGrpSpPr>
          <xdr:grpSpPr bwMode="auto">
            <a:xfrm>
              <a:off x="103" y="1230"/>
              <a:ext cx="7" cy="63"/>
              <a:chOff x="328" y="213"/>
              <a:chExt cx="7" cy="75"/>
            </a:xfrm>
          </xdr:grpSpPr>
          <xdr:sp macro="" textlink="">
            <xdr:nvSpPr>
              <xdr:cNvPr id="54119" name="Line 1730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20" name="Line 1731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21" name="Line 1732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22" name="Line 1733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23" name="Line 1734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24" name="Line 1735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25" name="Line 1736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26" name="Line 1737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27" name="Line 1738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28" name="Line 1739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93" name="Group 1740"/>
            <xdr:cNvGrpSpPr>
              <a:grpSpLocks/>
            </xdr:cNvGrpSpPr>
          </xdr:nvGrpSpPr>
          <xdr:grpSpPr bwMode="auto">
            <a:xfrm>
              <a:off x="61" y="1229"/>
              <a:ext cx="7" cy="62"/>
              <a:chOff x="328" y="213"/>
              <a:chExt cx="7" cy="75"/>
            </a:xfrm>
          </xdr:grpSpPr>
          <xdr:sp macro="" textlink="">
            <xdr:nvSpPr>
              <xdr:cNvPr id="54109" name="Line 1741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0" name="Line 1742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1" name="Line 1743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2" name="Line 1744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3" name="Line 1745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4" name="Line 1746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5" name="Line 1747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6" name="Line 1748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7" name="Line 1749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8" name="Line 1750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94" name="Group 1751"/>
            <xdr:cNvGrpSpPr>
              <a:grpSpLocks/>
            </xdr:cNvGrpSpPr>
          </xdr:nvGrpSpPr>
          <xdr:grpSpPr bwMode="auto">
            <a:xfrm>
              <a:off x="63" y="1227"/>
              <a:ext cx="42" cy="6"/>
              <a:chOff x="204" y="283"/>
              <a:chExt cx="46" cy="7"/>
            </a:xfrm>
          </xdr:grpSpPr>
          <xdr:sp macro="" textlink="">
            <xdr:nvSpPr>
              <xdr:cNvPr id="54103" name="Line 1752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04" name="Line 1753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05" name="Line 1754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06" name="Line 1755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07" name="Line 1756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08" name="Line 1757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50" name="Text Box 1758"/>
            <xdr:cNvSpPr txBox="1">
              <a:spLocks noChangeArrowheads="1"/>
            </xdr:cNvSpPr>
          </xdr:nvSpPr>
          <xdr:spPr bwMode="auto">
            <a:xfrm>
              <a:off x="66" y="1295"/>
              <a:ext cx="51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9951" name="Text Box 1759"/>
            <xdr:cNvSpPr txBox="1">
              <a:spLocks noChangeArrowheads="1"/>
            </xdr:cNvSpPr>
          </xdr:nvSpPr>
          <xdr:spPr bwMode="auto">
            <a:xfrm>
              <a:off x="43" y="1252"/>
              <a:ext cx="33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097" name="Group 1760"/>
            <xdr:cNvGrpSpPr>
              <a:grpSpLocks/>
            </xdr:cNvGrpSpPr>
          </xdr:nvGrpSpPr>
          <xdr:grpSpPr bwMode="auto">
            <a:xfrm>
              <a:off x="69" y="1234"/>
              <a:ext cx="45" cy="47"/>
              <a:chOff x="70" y="88"/>
              <a:chExt cx="45" cy="47"/>
            </a:xfrm>
          </xdr:grpSpPr>
          <xdr:sp macro="" textlink="">
            <xdr:nvSpPr>
              <xdr:cNvPr id="9953" name="Text Box 1761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9</a:t>
                </a:r>
                <a:endParaRPr lang="pt-BR"/>
              </a:p>
            </xdr:txBody>
          </xdr:sp>
          <xdr:sp macro="" textlink="">
            <xdr:nvSpPr>
              <xdr:cNvPr id="54099" name="Line 1762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00" name="Line 1763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6" name="Text Box 1764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957" name="Text Box 1765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</xdr:grpSp>
    <xdr:clientData/>
  </xdr:twoCellAnchor>
  <xdr:twoCellAnchor editAs="oneCell">
    <xdr:from>
      <xdr:col>86</xdr:col>
      <xdr:colOff>266700</xdr:colOff>
      <xdr:row>20</xdr:row>
      <xdr:rowOff>85725</xdr:rowOff>
    </xdr:from>
    <xdr:to>
      <xdr:col>87</xdr:col>
      <xdr:colOff>361950</xdr:colOff>
      <xdr:row>130</xdr:row>
      <xdr:rowOff>66675</xdr:rowOff>
    </xdr:to>
    <xdr:grpSp>
      <xdr:nvGrpSpPr>
        <xdr:cNvPr id="53322" name="Group 2786"/>
        <xdr:cNvGrpSpPr>
          <a:grpSpLocks/>
        </xdr:cNvGrpSpPr>
      </xdr:nvGrpSpPr>
      <xdr:grpSpPr bwMode="auto">
        <a:xfrm>
          <a:off x="60579000" y="3419475"/>
          <a:ext cx="809625" cy="16744950"/>
          <a:chOff x="4921" y="353"/>
          <a:chExt cx="85" cy="1758"/>
        </a:xfrm>
      </xdr:grpSpPr>
      <xdr:grpSp>
        <xdr:nvGrpSpPr>
          <xdr:cNvPr id="53829" name="Group 1772"/>
          <xdr:cNvGrpSpPr>
            <a:grpSpLocks/>
          </xdr:cNvGrpSpPr>
        </xdr:nvGrpSpPr>
        <xdr:grpSpPr bwMode="auto">
          <a:xfrm>
            <a:off x="4924" y="353"/>
            <a:ext cx="75" cy="88"/>
            <a:chOff x="44" y="82"/>
            <a:chExt cx="75" cy="90"/>
          </a:xfrm>
        </xdr:grpSpPr>
        <xdr:sp macro="" textlink="">
          <xdr:nvSpPr>
            <xdr:cNvPr id="54072" name="Rectangle 1773"/>
            <xdr:cNvSpPr>
              <a:spLocks noChangeArrowheads="1"/>
            </xdr:cNvSpPr>
          </xdr:nvSpPr>
          <xdr:spPr bwMode="auto">
            <a:xfrm>
              <a:off x="61" y="82"/>
              <a:ext cx="51" cy="6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9966" name="Text Box 1774"/>
            <xdr:cNvSpPr txBox="1">
              <a:spLocks noChangeArrowheads="1"/>
            </xdr:cNvSpPr>
          </xdr:nvSpPr>
          <xdr:spPr bwMode="auto">
            <a:xfrm>
              <a:off x="67" y="150"/>
              <a:ext cx="52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9967" name="Text Box 1775"/>
            <xdr:cNvSpPr txBox="1">
              <a:spLocks noChangeArrowheads="1"/>
            </xdr:cNvSpPr>
          </xdr:nvSpPr>
          <xdr:spPr bwMode="auto">
            <a:xfrm>
              <a:off x="44" y="105"/>
              <a:ext cx="34" cy="1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075" name="Group 1776"/>
            <xdr:cNvGrpSpPr>
              <a:grpSpLocks/>
            </xdr:cNvGrpSpPr>
          </xdr:nvGrpSpPr>
          <xdr:grpSpPr bwMode="auto">
            <a:xfrm>
              <a:off x="70" y="88"/>
              <a:ext cx="45" cy="47"/>
              <a:chOff x="70" y="88"/>
              <a:chExt cx="45" cy="47"/>
            </a:xfrm>
          </xdr:grpSpPr>
          <xdr:sp macro="" textlink="">
            <xdr:nvSpPr>
              <xdr:cNvPr id="9969" name="Text Box 1777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1</a:t>
                </a:r>
                <a:endParaRPr lang="pt-BR"/>
              </a:p>
            </xdr:txBody>
          </xdr:sp>
          <xdr:sp macro="" textlink="">
            <xdr:nvSpPr>
              <xdr:cNvPr id="54077" name="Line 1778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8" name="Line 1779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2" name="Text Box 1780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973" name="Text Box 1781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3830" name="Group 1782"/>
          <xdr:cNvGrpSpPr>
            <a:grpSpLocks/>
          </xdr:cNvGrpSpPr>
        </xdr:nvGrpSpPr>
        <xdr:grpSpPr bwMode="auto">
          <a:xfrm>
            <a:off x="4926" y="558"/>
            <a:ext cx="80" cy="90"/>
            <a:chOff x="43" y="204"/>
            <a:chExt cx="80" cy="92"/>
          </a:xfrm>
        </xdr:grpSpPr>
        <xdr:sp macro="" textlink="">
          <xdr:nvSpPr>
            <xdr:cNvPr id="54056" name="Rectangle 1783"/>
            <xdr:cNvSpPr>
              <a:spLocks noChangeArrowheads="1"/>
            </xdr:cNvSpPr>
          </xdr:nvSpPr>
          <xdr:spPr bwMode="auto">
            <a:xfrm>
              <a:off x="61" y="204"/>
              <a:ext cx="52" cy="7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057" name="Group 1784"/>
            <xdr:cNvGrpSpPr>
              <a:grpSpLocks/>
            </xdr:cNvGrpSpPr>
          </xdr:nvGrpSpPr>
          <xdr:grpSpPr bwMode="auto">
            <a:xfrm>
              <a:off x="63" y="269"/>
              <a:ext cx="47" cy="5"/>
              <a:chOff x="204" y="283"/>
              <a:chExt cx="46" cy="7"/>
            </a:xfrm>
          </xdr:grpSpPr>
          <xdr:sp macro="" textlink="">
            <xdr:nvSpPr>
              <xdr:cNvPr id="54066" name="Line 1785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67" name="Line 1786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68" name="Line 1787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69" name="Line 1788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0" name="Line 1789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1" name="Line 1790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83" name="Text Box 1791"/>
            <xdr:cNvSpPr txBox="1">
              <a:spLocks noChangeArrowheads="1"/>
            </xdr:cNvSpPr>
          </xdr:nvSpPr>
          <xdr:spPr bwMode="auto">
            <a:xfrm>
              <a:off x="43" y="231"/>
              <a:ext cx="3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sp macro="" textlink="">
          <xdr:nvSpPr>
            <xdr:cNvPr id="9984" name="Text Box 1792"/>
            <xdr:cNvSpPr txBox="1">
              <a:spLocks noChangeArrowheads="1"/>
            </xdr:cNvSpPr>
          </xdr:nvSpPr>
          <xdr:spPr bwMode="auto">
            <a:xfrm>
              <a:off x="68" y="274"/>
              <a:ext cx="5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grpSp>
          <xdr:nvGrpSpPr>
            <xdr:cNvPr id="54060" name="Group 1793"/>
            <xdr:cNvGrpSpPr>
              <a:grpSpLocks/>
            </xdr:cNvGrpSpPr>
          </xdr:nvGrpSpPr>
          <xdr:grpSpPr bwMode="auto">
            <a:xfrm>
              <a:off x="71" y="213"/>
              <a:ext cx="45" cy="47"/>
              <a:chOff x="70" y="88"/>
              <a:chExt cx="45" cy="47"/>
            </a:xfrm>
          </xdr:grpSpPr>
          <xdr:sp macro="" textlink="">
            <xdr:nvSpPr>
              <xdr:cNvPr id="9986" name="Text Box 1794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endParaRPr lang="pt-BR"/>
              </a:p>
            </xdr:txBody>
          </xdr:sp>
          <xdr:sp macro="" textlink="">
            <xdr:nvSpPr>
              <xdr:cNvPr id="54062" name="Line 1795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63" name="Line 1796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89" name="Text Box 1797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9990" name="Text Box 1798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3831" name="Group 1799"/>
          <xdr:cNvGrpSpPr>
            <a:grpSpLocks/>
          </xdr:cNvGrpSpPr>
        </xdr:nvGrpSpPr>
        <xdr:grpSpPr bwMode="auto">
          <a:xfrm>
            <a:off x="4926" y="771"/>
            <a:ext cx="78" cy="93"/>
            <a:chOff x="44" y="337"/>
            <a:chExt cx="78" cy="94"/>
          </a:xfrm>
        </xdr:grpSpPr>
        <xdr:sp macro="" textlink="">
          <xdr:nvSpPr>
            <xdr:cNvPr id="54033" name="Rectangle 1800"/>
            <xdr:cNvSpPr>
              <a:spLocks noChangeArrowheads="1"/>
            </xdr:cNvSpPr>
          </xdr:nvSpPr>
          <xdr:spPr bwMode="auto">
            <a:xfrm>
              <a:off x="60" y="337"/>
              <a:ext cx="51" cy="7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034" name="Group 1801"/>
            <xdr:cNvGrpSpPr>
              <a:grpSpLocks/>
            </xdr:cNvGrpSpPr>
          </xdr:nvGrpSpPr>
          <xdr:grpSpPr bwMode="auto">
            <a:xfrm>
              <a:off x="63" y="401"/>
              <a:ext cx="46" cy="7"/>
              <a:chOff x="204" y="283"/>
              <a:chExt cx="46" cy="7"/>
            </a:xfrm>
          </xdr:grpSpPr>
          <xdr:sp macro="" textlink="">
            <xdr:nvSpPr>
              <xdr:cNvPr id="54050" name="Line 1802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1" name="Line 1803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2" name="Line 1804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3" name="Line 1805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4" name="Line 1806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5" name="Line 1807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35" name="Group 1808"/>
            <xdr:cNvGrpSpPr>
              <a:grpSpLocks/>
            </xdr:cNvGrpSpPr>
          </xdr:nvGrpSpPr>
          <xdr:grpSpPr bwMode="auto">
            <a:xfrm>
              <a:off x="63" y="337"/>
              <a:ext cx="46" cy="5"/>
              <a:chOff x="204" y="283"/>
              <a:chExt cx="46" cy="7"/>
            </a:xfrm>
          </xdr:grpSpPr>
          <xdr:sp macro="" textlink="">
            <xdr:nvSpPr>
              <xdr:cNvPr id="54044" name="Line 1809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45" name="Line 1810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46" name="Line 1811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47" name="Line 1812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48" name="Line 1813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49" name="Line 1814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07" name="Text Box 1815"/>
            <xdr:cNvSpPr txBox="1">
              <a:spLocks noChangeArrowheads="1"/>
            </xdr:cNvSpPr>
          </xdr:nvSpPr>
          <xdr:spPr bwMode="auto">
            <a:xfrm>
              <a:off x="68" y="409"/>
              <a:ext cx="5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10008" name="Text Box 1816"/>
            <xdr:cNvSpPr txBox="1">
              <a:spLocks noChangeArrowheads="1"/>
            </xdr:cNvSpPr>
          </xdr:nvSpPr>
          <xdr:spPr bwMode="auto">
            <a:xfrm>
              <a:off x="44" y="363"/>
              <a:ext cx="35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038" name="Group 1817"/>
            <xdr:cNvGrpSpPr>
              <a:grpSpLocks/>
            </xdr:cNvGrpSpPr>
          </xdr:nvGrpSpPr>
          <xdr:grpSpPr bwMode="auto">
            <a:xfrm>
              <a:off x="70" y="346"/>
              <a:ext cx="45" cy="47"/>
              <a:chOff x="70" y="88"/>
              <a:chExt cx="45" cy="47"/>
            </a:xfrm>
          </xdr:grpSpPr>
          <xdr:sp macro="" textlink="">
            <xdr:nvSpPr>
              <xdr:cNvPr id="10010" name="Text Box 1818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endParaRPr lang="pt-BR"/>
              </a:p>
            </xdr:txBody>
          </xdr:sp>
          <xdr:sp macro="" textlink="">
            <xdr:nvSpPr>
              <xdr:cNvPr id="54040" name="Line 1819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41" name="Line 1820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3" name="Text Box 1821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10014" name="Text Box 1822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3832" name="Group 1823"/>
          <xdr:cNvGrpSpPr>
            <a:grpSpLocks/>
          </xdr:cNvGrpSpPr>
        </xdr:nvGrpSpPr>
        <xdr:grpSpPr bwMode="auto">
          <a:xfrm>
            <a:off x="4924" y="979"/>
            <a:ext cx="75" cy="88"/>
            <a:chOff x="45" y="469"/>
            <a:chExt cx="75" cy="89"/>
          </a:xfrm>
        </xdr:grpSpPr>
        <xdr:sp macro="" textlink="">
          <xdr:nvSpPr>
            <xdr:cNvPr id="54013" name="Rectangle 1824"/>
            <xdr:cNvSpPr>
              <a:spLocks noChangeArrowheads="1"/>
            </xdr:cNvSpPr>
          </xdr:nvSpPr>
          <xdr:spPr bwMode="auto">
            <a:xfrm>
              <a:off x="61" y="469"/>
              <a:ext cx="51" cy="6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4014" name="Group 1825"/>
            <xdr:cNvGrpSpPr>
              <a:grpSpLocks/>
            </xdr:cNvGrpSpPr>
          </xdr:nvGrpSpPr>
          <xdr:grpSpPr bwMode="auto">
            <a:xfrm>
              <a:off x="61" y="471"/>
              <a:ext cx="7" cy="63"/>
              <a:chOff x="328" y="213"/>
              <a:chExt cx="7" cy="75"/>
            </a:xfrm>
          </xdr:grpSpPr>
          <xdr:sp macro="" textlink="">
            <xdr:nvSpPr>
              <xdr:cNvPr id="54023" name="Line 1826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24" name="Line 1827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25" name="Line 1828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26" name="Line 1829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27" name="Line 1830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28" name="Line 1831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29" name="Line 1832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0" name="Line 1833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1" name="Line 1834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2" name="Line 1835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28" name="Text Box 1836"/>
            <xdr:cNvSpPr txBox="1">
              <a:spLocks noChangeArrowheads="1"/>
            </xdr:cNvSpPr>
          </xdr:nvSpPr>
          <xdr:spPr bwMode="auto">
            <a:xfrm>
              <a:off x="68" y="538"/>
              <a:ext cx="52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10029" name="Text Box 1837"/>
            <xdr:cNvSpPr txBox="1">
              <a:spLocks noChangeArrowheads="1"/>
            </xdr:cNvSpPr>
          </xdr:nvSpPr>
          <xdr:spPr bwMode="auto">
            <a:xfrm>
              <a:off x="45" y="492"/>
              <a:ext cx="34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4017" name="Group 1838"/>
            <xdr:cNvGrpSpPr>
              <a:grpSpLocks/>
            </xdr:cNvGrpSpPr>
          </xdr:nvGrpSpPr>
          <xdr:grpSpPr bwMode="auto">
            <a:xfrm>
              <a:off x="71" y="476"/>
              <a:ext cx="45" cy="47"/>
              <a:chOff x="70" y="88"/>
              <a:chExt cx="45" cy="47"/>
            </a:xfrm>
          </xdr:grpSpPr>
          <xdr:sp macro="" textlink="">
            <xdr:nvSpPr>
              <xdr:cNvPr id="10031" name="Text Box 1839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4</a:t>
                </a:r>
                <a:endParaRPr lang="pt-BR"/>
              </a:p>
            </xdr:txBody>
          </xdr:sp>
          <xdr:sp macro="" textlink="">
            <xdr:nvSpPr>
              <xdr:cNvPr id="54019" name="Line 1840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20" name="Line 1841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4" name="Text Box 1842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10035" name="Text Box 1843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3833" name="Group 1844"/>
          <xdr:cNvGrpSpPr>
            <a:grpSpLocks/>
          </xdr:cNvGrpSpPr>
        </xdr:nvGrpSpPr>
        <xdr:grpSpPr bwMode="auto">
          <a:xfrm>
            <a:off x="4927" y="1184"/>
            <a:ext cx="76" cy="89"/>
            <a:chOff x="46" y="624"/>
            <a:chExt cx="76" cy="90"/>
          </a:xfrm>
        </xdr:grpSpPr>
        <xdr:sp macro="" textlink="">
          <xdr:nvSpPr>
            <xdr:cNvPr id="53986" name="Rectangle 1845"/>
            <xdr:cNvSpPr>
              <a:spLocks noChangeArrowheads="1"/>
            </xdr:cNvSpPr>
          </xdr:nvSpPr>
          <xdr:spPr bwMode="auto">
            <a:xfrm>
              <a:off x="62" y="624"/>
              <a:ext cx="50" cy="6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3987" name="Group 1846"/>
            <xdr:cNvGrpSpPr>
              <a:grpSpLocks/>
            </xdr:cNvGrpSpPr>
          </xdr:nvGrpSpPr>
          <xdr:grpSpPr bwMode="auto">
            <a:xfrm>
              <a:off x="66" y="686"/>
              <a:ext cx="44" cy="5"/>
              <a:chOff x="204" y="283"/>
              <a:chExt cx="46" cy="7"/>
            </a:xfrm>
          </xdr:grpSpPr>
          <xdr:sp macro="" textlink="">
            <xdr:nvSpPr>
              <xdr:cNvPr id="54007" name="Line 1847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08" name="Line 1848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09" name="Line 1849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0" name="Line 1850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1" name="Line 1851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2" name="Line 1852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88" name="Group 1853"/>
            <xdr:cNvGrpSpPr>
              <a:grpSpLocks/>
            </xdr:cNvGrpSpPr>
          </xdr:nvGrpSpPr>
          <xdr:grpSpPr bwMode="auto">
            <a:xfrm>
              <a:off x="62" y="625"/>
              <a:ext cx="7" cy="64"/>
              <a:chOff x="328" y="213"/>
              <a:chExt cx="7" cy="75"/>
            </a:xfrm>
          </xdr:grpSpPr>
          <xdr:sp macro="" textlink="">
            <xdr:nvSpPr>
              <xdr:cNvPr id="53997" name="Line 1854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8" name="Line 1855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9" name="Line 1856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00" name="Line 1857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01" name="Line 1858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02" name="Line 1859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03" name="Line 1860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04" name="Line 1861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05" name="Line 1862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06" name="Line 1863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56" name="Text Box 1864"/>
            <xdr:cNvSpPr txBox="1">
              <a:spLocks noChangeArrowheads="1"/>
            </xdr:cNvSpPr>
          </xdr:nvSpPr>
          <xdr:spPr bwMode="auto">
            <a:xfrm>
              <a:off x="69" y="693"/>
              <a:ext cx="53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10057" name="Text Box 1865"/>
            <xdr:cNvSpPr txBox="1">
              <a:spLocks noChangeArrowheads="1"/>
            </xdr:cNvSpPr>
          </xdr:nvSpPr>
          <xdr:spPr bwMode="auto">
            <a:xfrm>
              <a:off x="46" y="647"/>
              <a:ext cx="3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3991" name="Group 1866"/>
            <xdr:cNvGrpSpPr>
              <a:grpSpLocks/>
            </xdr:cNvGrpSpPr>
          </xdr:nvGrpSpPr>
          <xdr:grpSpPr bwMode="auto">
            <a:xfrm>
              <a:off x="71" y="631"/>
              <a:ext cx="45" cy="47"/>
              <a:chOff x="70" y="88"/>
              <a:chExt cx="45" cy="47"/>
            </a:xfrm>
          </xdr:grpSpPr>
          <xdr:sp macro="" textlink="">
            <xdr:nvSpPr>
              <xdr:cNvPr id="10059" name="Text Box 1867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5</a:t>
                </a:r>
                <a:endParaRPr lang="pt-BR"/>
              </a:p>
            </xdr:txBody>
          </xdr:sp>
          <xdr:sp macro="" textlink="">
            <xdr:nvSpPr>
              <xdr:cNvPr id="53993" name="Line 1868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4" name="Line 1869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2" name="Text Box 1870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10063" name="Text Box 1871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3834" name="Group 1872"/>
          <xdr:cNvGrpSpPr>
            <a:grpSpLocks/>
          </xdr:cNvGrpSpPr>
        </xdr:nvGrpSpPr>
        <xdr:grpSpPr bwMode="auto">
          <a:xfrm>
            <a:off x="4925" y="1389"/>
            <a:ext cx="74" cy="89"/>
            <a:chOff x="44" y="800"/>
            <a:chExt cx="74" cy="90"/>
          </a:xfrm>
        </xdr:grpSpPr>
        <xdr:sp macro="" textlink="">
          <xdr:nvSpPr>
            <xdr:cNvPr id="53952" name="Rectangle 1873"/>
            <xdr:cNvSpPr>
              <a:spLocks noChangeArrowheads="1"/>
            </xdr:cNvSpPr>
          </xdr:nvSpPr>
          <xdr:spPr bwMode="auto">
            <a:xfrm>
              <a:off x="61" y="800"/>
              <a:ext cx="50" cy="6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3953" name="Group 1874"/>
            <xdr:cNvGrpSpPr>
              <a:grpSpLocks/>
            </xdr:cNvGrpSpPr>
          </xdr:nvGrpSpPr>
          <xdr:grpSpPr bwMode="auto">
            <a:xfrm>
              <a:off x="67" y="863"/>
              <a:ext cx="43" cy="5"/>
              <a:chOff x="204" y="283"/>
              <a:chExt cx="46" cy="7"/>
            </a:xfrm>
          </xdr:grpSpPr>
          <xdr:sp macro="" textlink="">
            <xdr:nvSpPr>
              <xdr:cNvPr id="53980" name="Line 1875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81" name="Line 1876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82" name="Line 1877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83" name="Line 1878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84" name="Line 1879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85" name="Line 1880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4" name="Group 1881"/>
            <xdr:cNvGrpSpPr>
              <a:grpSpLocks/>
            </xdr:cNvGrpSpPr>
          </xdr:nvGrpSpPr>
          <xdr:grpSpPr bwMode="auto">
            <a:xfrm>
              <a:off x="61" y="802"/>
              <a:ext cx="7" cy="64"/>
              <a:chOff x="328" y="213"/>
              <a:chExt cx="7" cy="75"/>
            </a:xfrm>
          </xdr:grpSpPr>
          <xdr:sp macro="" textlink="">
            <xdr:nvSpPr>
              <xdr:cNvPr id="53970" name="Line 1882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71" name="Line 1883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72" name="Line 1884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73" name="Line 1885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74" name="Line 1886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75" name="Line 1887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76" name="Line 1888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77" name="Line 1889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78" name="Line 1890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79" name="Line 1891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5" name="Group 1892"/>
            <xdr:cNvGrpSpPr>
              <a:grpSpLocks/>
            </xdr:cNvGrpSpPr>
          </xdr:nvGrpSpPr>
          <xdr:grpSpPr bwMode="auto">
            <a:xfrm>
              <a:off x="66" y="800"/>
              <a:ext cx="43" cy="5"/>
              <a:chOff x="204" y="283"/>
              <a:chExt cx="46" cy="7"/>
            </a:xfrm>
          </xdr:grpSpPr>
          <xdr:sp macro="" textlink="">
            <xdr:nvSpPr>
              <xdr:cNvPr id="53964" name="Line 1893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65" name="Line 1894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66" name="Line 1895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67" name="Line 1896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68" name="Line 1897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69" name="Line 1898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91" name="Text Box 1899"/>
            <xdr:cNvSpPr txBox="1">
              <a:spLocks noChangeArrowheads="1"/>
            </xdr:cNvSpPr>
          </xdr:nvSpPr>
          <xdr:spPr bwMode="auto">
            <a:xfrm>
              <a:off x="67" y="868"/>
              <a:ext cx="51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10092" name="Text Box 1900"/>
            <xdr:cNvSpPr txBox="1">
              <a:spLocks noChangeArrowheads="1"/>
            </xdr:cNvSpPr>
          </xdr:nvSpPr>
          <xdr:spPr bwMode="auto">
            <a:xfrm>
              <a:off x="44" y="826"/>
              <a:ext cx="33" cy="1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3958" name="Group 1901"/>
            <xdr:cNvGrpSpPr>
              <a:grpSpLocks/>
            </xdr:cNvGrpSpPr>
          </xdr:nvGrpSpPr>
          <xdr:grpSpPr bwMode="auto">
            <a:xfrm>
              <a:off x="70" y="808"/>
              <a:ext cx="45" cy="47"/>
              <a:chOff x="70" y="88"/>
              <a:chExt cx="45" cy="47"/>
            </a:xfrm>
          </xdr:grpSpPr>
          <xdr:sp macro="" textlink="">
            <xdr:nvSpPr>
              <xdr:cNvPr id="10094" name="Text Box 1902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6</a:t>
                </a:r>
                <a:endParaRPr lang="pt-BR"/>
              </a:p>
            </xdr:txBody>
          </xdr:sp>
          <xdr:sp macro="" textlink="">
            <xdr:nvSpPr>
              <xdr:cNvPr id="53960" name="Line 1903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61" name="Line 1904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97" name="Text Box 1905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10098" name="Text Box 1906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3835" name="Group 1907"/>
          <xdr:cNvGrpSpPr>
            <a:grpSpLocks/>
          </xdr:cNvGrpSpPr>
        </xdr:nvGrpSpPr>
        <xdr:grpSpPr bwMode="auto">
          <a:xfrm>
            <a:off x="4921" y="1596"/>
            <a:ext cx="79" cy="93"/>
            <a:chOff x="40" y="938"/>
            <a:chExt cx="79" cy="95"/>
          </a:xfrm>
        </xdr:grpSpPr>
        <xdr:sp macro="" textlink="">
          <xdr:nvSpPr>
            <xdr:cNvPr id="53921" name="Rectangle 1908"/>
            <xdr:cNvSpPr>
              <a:spLocks noChangeArrowheads="1"/>
            </xdr:cNvSpPr>
          </xdr:nvSpPr>
          <xdr:spPr bwMode="auto">
            <a:xfrm>
              <a:off x="58" y="938"/>
              <a:ext cx="53" cy="7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3922" name="Group 1909"/>
            <xdr:cNvGrpSpPr>
              <a:grpSpLocks/>
            </xdr:cNvGrpSpPr>
          </xdr:nvGrpSpPr>
          <xdr:grpSpPr bwMode="auto">
            <a:xfrm>
              <a:off x="104" y="941"/>
              <a:ext cx="7" cy="67"/>
              <a:chOff x="328" y="213"/>
              <a:chExt cx="7" cy="75"/>
            </a:xfrm>
          </xdr:grpSpPr>
          <xdr:sp macro="" textlink="">
            <xdr:nvSpPr>
              <xdr:cNvPr id="53942" name="Line 1910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43" name="Line 1911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44" name="Line 1912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45" name="Line 1913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46" name="Line 1914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47" name="Line 1915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48" name="Line 1916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49" name="Line 1917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50" name="Line 1918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51" name="Line 1919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3" name="Group 1920"/>
            <xdr:cNvGrpSpPr>
              <a:grpSpLocks/>
            </xdr:cNvGrpSpPr>
          </xdr:nvGrpSpPr>
          <xdr:grpSpPr bwMode="auto">
            <a:xfrm>
              <a:off x="58" y="940"/>
              <a:ext cx="7" cy="67"/>
              <a:chOff x="328" y="213"/>
              <a:chExt cx="7" cy="75"/>
            </a:xfrm>
          </xdr:grpSpPr>
          <xdr:sp macro="" textlink="">
            <xdr:nvSpPr>
              <xdr:cNvPr id="53932" name="Line 1921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33" name="Line 1922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34" name="Line 1923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35" name="Line 1924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36" name="Line 1925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37" name="Line 1926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38" name="Line 1927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39" name="Line 1928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40" name="Line 1929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41" name="Line 1930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23" name="Text Box 1931"/>
            <xdr:cNvSpPr txBox="1">
              <a:spLocks noChangeArrowheads="1"/>
            </xdr:cNvSpPr>
          </xdr:nvSpPr>
          <xdr:spPr bwMode="auto">
            <a:xfrm>
              <a:off x="65" y="1011"/>
              <a:ext cx="5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10124" name="Text Box 1932"/>
            <xdr:cNvSpPr txBox="1">
              <a:spLocks noChangeArrowheads="1"/>
            </xdr:cNvSpPr>
          </xdr:nvSpPr>
          <xdr:spPr bwMode="auto">
            <a:xfrm>
              <a:off x="40" y="963"/>
              <a:ext cx="3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3926" name="Group 1933"/>
            <xdr:cNvGrpSpPr>
              <a:grpSpLocks/>
            </xdr:cNvGrpSpPr>
          </xdr:nvGrpSpPr>
          <xdr:grpSpPr bwMode="auto">
            <a:xfrm>
              <a:off x="69" y="948"/>
              <a:ext cx="45" cy="47"/>
              <a:chOff x="70" y="88"/>
              <a:chExt cx="45" cy="47"/>
            </a:xfrm>
          </xdr:grpSpPr>
          <xdr:sp macro="" textlink="">
            <xdr:nvSpPr>
              <xdr:cNvPr id="10126" name="Text Box 1934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7</a:t>
                </a:r>
                <a:endParaRPr lang="pt-BR"/>
              </a:p>
            </xdr:txBody>
          </xdr:sp>
          <xdr:sp macro="" textlink="">
            <xdr:nvSpPr>
              <xdr:cNvPr id="53928" name="Line 1935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29" name="Line 1936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9" name="Text Box 1937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10130" name="Text Box 1938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3836" name="Group 1939"/>
          <xdr:cNvGrpSpPr>
            <a:grpSpLocks/>
          </xdr:cNvGrpSpPr>
        </xdr:nvGrpSpPr>
        <xdr:grpSpPr bwMode="auto">
          <a:xfrm>
            <a:off x="4928" y="1805"/>
            <a:ext cx="73" cy="89"/>
            <a:chOff x="44" y="1078"/>
            <a:chExt cx="73" cy="90"/>
          </a:xfrm>
        </xdr:grpSpPr>
        <xdr:sp macro="" textlink="">
          <xdr:nvSpPr>
            <xdr:cNvPr id="53883" name="Rectangle 1940"/>
            <xdr:cNvSpPr>
              <a:spLocks noChangeArrowheads="1"/>
            </xdr:cNvSpPr>
          </xdr:nvSpPr>
          <xdr:spPr bwMode="auto">
            <a:xfrm>
              <a:off x="59" y="1078"/>
              <a:ext cx="51" cy="6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3884" name="Group 1941"/>
            <xdr:cNvGrpSpPr>
              <a:grpSpLocks/>
            </xdr:cNvGrpSpPr>
          </xdr:nvGrpSpPr>
          <xdr:grpSpPr bwMode="auto">
            <a:xfrm>
              <a:off x="66" y="1140"/>
              <a:ext cx="42" cy="6"/>
              <a:chOff x="204" y="283"/>
              <a:chExt cx="46" cy="7"/>
            </a:xfrm>
          </xdr:grpSpPr>
          <xdr:sp macro="" textlink="">
            <xdr:nvSpPr>
              <xdr:cNvPr id="53915" name="Line 1942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16" name="Line 1943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17" name="Line 1944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18" name="Line 1945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19" name="Line 1946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20" name="Line 1947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885" name="Group 1948"/>
            <xdr:cNvGrpSpPr>
              <a:grpSpLocks/>
            </xdr:cNvGrpSpPr>
          </xdr:nvGrpSpPr>
          <xdr:grpSpPr bwMode="auto">
            <a:xfrm>
              <a:off x="102" y="1081"/>
              <a:ext cx="8" cy="63"/>
              <a:chOff x="328" y="213"/>
              <a:chExt cx="7" cy="75"/>
            </a:xfrm>
          </xdr:grpSpPr>
          <xdr:sp macro="" textlink="">
            <xdr:nvSpPr>
              <xdr:cNvPr id="53905" name="Line 1949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06" name="Line 1950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07" name="Line 1951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08" name="Line 1952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09" name="Line 1953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10" name="Line 1954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11" name="Line 1955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12" name="Line 1956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13" name="Line 1957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14" name="Line 1958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886" name="Group 1959"/>
            <xdr:cNvGrpSpPr>
              <a:grpSpLocks/>
            </xdr:cNvGrpSpPr>
          </xdr:nvGrpSpPr>
          <xdr:grpSpPr bwMode="auto">
            <a:xfrm>
              <a:off x="59" y="1080"/>
              <a:ext cx="7" cy="63"/>
              <a:chOff x="328" y="213"/>
              <a:chExt cx="7" cy="75"/>
            </a:xfrm>
          </xdr:grpSpPr>
          <xdr:sp macro="" textlink="">
            <xdr:nvSpPr>
              <xdr:cNvPr id="53895" name="Line 1960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96" name="Line 1961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97" name="Line 1962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98" name="Line 1963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99" name="Line 1964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00" name="Line 1965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01" name="Line 1966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02" name="Line 1967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03" name="Line 1968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04" name="Line 1969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62" name="Text Box 1970"/>
            <xdr:cNvSpPr txBox="1">
              <a:spLocks noChangeArrowheads="1"/>
            </xdr:cNvSpPr>
          </xdr:nvSpPr>
          <xdr:spPr bwMode="auto">
            <a:xfrm>
              <a:off x="66" y="1147"/>
              <a:ext cx="51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10163" name="Text Box 1971"/>
            <xdr:cNvSpPr txBox="1">
              <a:spLocks noChangeArrowheads="1"/>
            </xdr:cNvSpPr>
          </xdr:nvSpPr>
          <xdr:spPr bwMode="auto">
            <a:xfrm>
              <a:off x="44" y="1105"/>
              <a:ext cx="33" cy="1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3889" name="Group 1972"/>
            <xdr:cNvGrpSpPr>
              <a:grpSpLocks/>
            </xdr:cNvGrpSpPr>
          </xdr:nvGrpSpPr>
          <xdr:grpSpPr bwMode="auto">
            <a:xfrm>
              <a:off x="67" y="1086"/>
              <a:ext cx="45" cy="47"/>
              <a:chOff x="70" y="88"/>
              <a:chExt cx="45" cy="47"/>
            </a:xfrm>
          </xdr:grpSpPr>
          <xdr:sp macro="" textlink="">
            <xdr:nvSpPr>
              <xdr:cNvPr id="10165" name="Text Box 1973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8</a:t>
                </a:r>
                <a:endParaRPr lang="pt-BR"/>
              </a:p>
            </xdr:txBody>
          </xdr:sp>
          <xdr:sp macro="" textlink="">
            <xdr:nvSpPr>
              <xdr:cNvPr id="53891" name="Line 1974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92" name="Line 1975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68" name="Text Box 1976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10169" name="Text Box 1977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3837" name="Group 1978"/>
          <xdr:cNvGrpSpPr>
            <a:grpSpLocks/>
          </xdr:cNvGrpSpPr>
        </xdr:nvGrpSpPr>
        <xdr:grpSpPr bwMode="auto">
          <a:xfrm>
            <a:off x="4927" y="2024"/>
            <a:ext cx="74" cy="87"/>
            <a:chOff x="43" y="1227"/>
            <a:chExt cx="74" cy="89"/>
          </a:xfrm>
        </xdr:grpSpPr>
        <xdr:sp macro="" textlink="">
          <xdr:nvSpPr>
            <xdr:cNvPr id="53838" name="Rectangle 1979"/>
            <xdr:cNvSpPr>
              <a:spLocks noChangeArrowheads="1"/>
            </xdr:cNvSpPr>
          </xdr:nvSpPr>
          <xdr:spPr bwMode="auto">
            <a:xfrm>
              <a:off x="60" y="1227"/>
              <a:ext cx="50" cy="6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3839" name="Group 1980"/>
            <xdr:cNvGrpSpPr>
              <a:grpSpLocks/>
            </xdr:cNvGrpSpPr>
          </xdr:nvGrpSpPr>
          <xdr:grpSpPr bwMode="auto">
            <a:xfrm>
              <a:off x="66" y="1288"/>
              <a:ext cx="42" cy="7"/>
              <a:chOff x="204" y="283"/>
              <a:chExt cx="46" cy="7"/>
            </a:xfrm>
          </xdr:grpSpPr>
          <xdr:sp macro="" textlink="">
            <xdr:nvSpPr>
              <xdr:cNvPr id="53877" name="Line 1981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78" name="Line 1982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79" name="Line 1983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80" name="Line 1984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81" name="Line 1985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82" name="Line 1986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840" name="Group 1987"/>
            <xdr:cNvGrpSpPr>
              <a:grpSpLocks/>
            </xdr:cNvGrpSpPr>
          </xdr:nvGrpSpPr>
          <xdr:grpSpPr bwMode="auto">
            <a:xfrm>
              <a:off x="103" y="1230"/>
              <a:ext cx="7" cy="63"/>
              <a:chOff x="328" y="213"/>
              <a:chExt cx="7" cy="75"/>
            </a:xfrm>
          </xdr:grpSpPr>
          <xdr:sp macro="" textlink="">
            <xdr:nvSpPr>
              <xdr:cNvPr id="53867" name="Line 1988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68" name="Line 1989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69" name="Line 1990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70" name="Line 1991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71" name="Line 1992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72" name="Line 1993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73" name="Line 1994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74" name="Line 1995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75" name="Line 1996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76" name="Line 1997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841" name="Group 1998"/>
            <xdr:cNvGrpSpPr>
              <a:grpSpLocks/>
            </xdr:cNvGrpSpPr>
          </xdr:nvGrpSpPr>
          <xdr:grpSpPr bwMode="auto">
            <a:xfrm>
              <a:off x="61" y="1229"/>
              <a:ext cx="7" cy="62"/>
              <a:chOff x="328" y="213"/>
              <a:chExt cx="7" cy="75"/>
            </a:xfrm>
          </xdr:grpSpPr>
          <xdr:sp macro="" textlink="">
            <xdr:nvSpPr>
              <xdr:cNvPr id="53857" name="Line 1999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58" name="Line 2000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59" name="Line 2001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60" name="Line 2002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61" name="Line 2003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62" name="Line 2004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63" name="Line 2005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64" name="Line 2006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65" name="Line 2007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66" name="Line 2008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842" name="Group 2009"/>
            <xdr:cNvGrpSpPr>
              <a:grpSpLocks/>
            </xdr:cNvGrpSpPr>
          </xdr:nvGrpSpPr>
          <xdr:grpSpPr bwMode="auto">
            <a:xfrm>
              <a:off x="63" y="1227"/>
              <a:ext cx="42" cy="6"/>
              <a:chOff x="204" y="283"/>
              <a:chExt cx="46" cy="7"/>
            </a:xfrm>
          </xdr:grpSpPr>
          <xdr:sp macro="" textlink="">
            <xdr:nvSpPr>
              <xdr:cNvPr id="53851" name="Line 2010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52" name="Line 2011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53" name="Line 2012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54" name="Line 2013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55" name="Line 2014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56" name="Line 2015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08" name="Text Box 2016"/>
            <xdr:cNvSpPr txBox="1">
              <a:spLocks noChangeArrowheads="1"/>
            </xdr:cNvSpPr>
          </xdr:nvSpPr>
          <xdr:spPr bwMode="auto">
            <a:xfrm>
              <a:off x="66" y="1295"/>
              <a:ext cx="51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10209" name="Text Box 2017"/>
            <xdr:cNvSpPr txBox="1">
              <a:spLocks noChangeArrowheads="1"/>
            </xdr:cNvSpPr>
          </xdr:nvSpPr>
          <xdr:spPr bwMode="auto">
            <a:xfrm>
              <a:off x="43" y="1252"/>
              <a:ext cx="33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3845" name="Group 2018"/>
            <xdr:cNvGrpSpPr>
              <a:grpSpLocks/>
            </xdr:cNvGrpSpPr>
          </xdr:nvGrpSpPr>
          <xdr:grpSpPr bwMode="auto">
            <a:xfrm>
              <a:off x="69" y="1234"/>
              <a:ext cx="45" cy="47"/>
              <a:chOff x="70" y="88"/>
              <a:chExt cx="45" cy="47"/>
            </a:xfrm>
          </xdr:grpSpPr>
          <xdr:sp macro="" textlink="">
            <xdr:nvSpPr>
              <xdr:cNvPr id="10211" name="Text Box 2019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9</a:t>
                </a:r>
                <a:endParaRPr lang="pt-BR"/>
              </a:p>
            </xdr:txBody>
          </xdr:sp>
          <xdr:sp macro="" textlink="">
            <xdr:nvSpPr>
              <xdr:cNvPr id="53847" name="Line 2020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48" name="Line 2021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14" name="Text Box 2022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10215" name="Text Box 2023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</xdr:grpSp>
    <xdr:clientData/>
  </xdr:twoCellAnchor>
  <xdr:twoCellAnchor editAs="oneCell">
    <xdr:from>
      <xdr:col>99</xdr:col>
      <xdr:colOff>304800</xdr:colOff>
      <xdr:row>20</xdr:row>
      <xdr:rowOff>85725</xdr:rowOff>
    </xdr:from>
    <xdr:to>
      <xdr:col>100</xdr:col>
      <xdr:colOff>400050</xdr:colOff>
      <xdr:row>130</xdr:row>
      <xdr:rowOff>66675</xdr:rowOff>
    </xdr:to>
    <xdr:grpSp>
      <xdr:nvGrpSpPr>
        <xdr:cNvPr id="53323" name="Group 2787"/>
        <xdr:cNvGrpSpPr>
          <a:grpSpLocks/>
        </xdr:cNvGrpSpPr>
      </xdr:nvGrpSpPr>
      <xdr:grpSpPr bwMode="auto">
        <a:xfrm>
          <a:off x="69903975" y="3419475"/>
          <a:ext cx="809625" cy="16744950"/>
          <a:chOff x="5759" y="353"/>
          <a:chExt cx="85" cy="1758"/>
        </a:xfrm>
      </xdr:grpSpPr>
      <xdr:grpSp>
        <xdr:nvGrpSpPr>
          <xdr:cNvPr id="53577" name="Group 2024"/>
          <xdr:cNvGrpSpPr>
            <a:grpSpLocks/>
          </xdr:cNvGrpSpPr>
        </xdr:nvGrpSpPr>
        <xdr:grpSpPr bwMode="auto">
          <a:xfrm>
            <a:off x="5762" y="353"/>
            <a:ext cx="75" cy="88"/>
            <a:chOff x="44" y="82"/>
            <a:chExt cx="75" cy="90"/>
          </a:xfrm>
        </xdr:grpSpPr>
        <xdr:sp macro="" textlink="">
          <xdr:nvSpPr>
            <xdr:cNvPr id="53820" name="Rectangle 2025"/>
            <xdr:cNvSpPr>
              <a:spLocks noChangeArrowheads="1"/>
            </xdr:cNvSpPr>
          </xdr:nvSpPr>
          <xdr:spPr bwMode="auto">
            <a:xfrm>
              <a:off x="61" y="82"/>
              <a:ext cx="51" cy="6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10218" name="Text Box 2026"/>
            <xdr:cNvSpPr txBox="1">
              <a:spLocks noChangeArrowheads="1"/>
            </xdr:cNvSpPr>
          </xdr:nvSpPr>
          <xdr:spPr bwMode="auto">
            <a:xfrm>
              <a:off x="67" y="150"/>
              <a:ext cx="52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10219" name="Text Box 2027"/>
            <xdr:cNvSpPr txBox="1">
              <a:spLocks noChangeArrowheads="1"/>
            </xdr:cNvSpPr>
          </xdr:nvSpPr>
          <xdr:spPr bwMode="auto">
            <a:xfrm>
              <a:off x="44" y="105"/>
              <a:ext cx="34" cy="1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3823" name="Group 2028"/>
            <xdr:cNvGrpSpPr>
              <a:grpSpLocks/>
            </xdr:cNvGrpSpPr>
          </xdr:nvGrpSpPr>
          <xdr:grpSpPr bwMode="auto">
            <a:xfrm>
              <a:off x="70" y="88"/>
              <a:ext cx="45" cy="47"/>
              <a:chOff x="70" y="88"/>
              <a:chExt cx="45" cy="47"/>
            </a:xfrm>
          </xdr:grpSpPr>
          <xdr:sp macro="" textlink="">
            <xdr:nvSpPr>
              <xdr:cNvPr id="10221" name="Text Box 2029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1</a:t>
                </a:r>
                <a:endParaRPr lang="pt-BR"/>
              </a:p>
            </xdr:txBody>
          </xdr:sp>
          <xdr:sp macro="" textlink="">
            <xdr:nvSpPr>
              <xdr:cNvPr id="53825" name="Line 2030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26" name="Line 2031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24" name="Text Box 2032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10225" name="Text Box 2033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3578" name="Group 2034"/>
          <xdr:cNvGrpSpPr>
            <a:grpSpLocks/>
          </xdr:cNvGrpSpPr>
        </xdr:nvGrpSpPr>
        <xdr:grpSpPr bwMode="auto">
          <a:xfrm>
            <a:off x="5764" y="558"/>
            <a:ext cx="80" cy="90"/>
            <a:chOff x="43" y="204"/>
            <a:chExt cx="80" cy="92"/>
          </a:xfrm>
        </xdr:grpSpPr>
        <xdr:sp macro="" textlink="">
          <xdr:nvSpPr>
            <xdr:cNvPr id="53804" name="Rectangle 2035"/>
            <xdr:cNvSpPr>
              <a:spLocks noChangeArrowheads="1"/>
            </xdr:cNvSpPr>
          </xdr:nvSpPr>
          <xdr:spPr bwMode="auto">
            <a:xfrm>
              <a:off x="61" y="204"/>
              <a:ext cx="52" cy="7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3805" name="Group 2036"/>
            <xdr:cNvGrpSpPr>
              <a:grpSpLocks/>
            </xdr:cNvGrpSpPr>
          </xdr:nvGrpSpPr>
          <xdr:grpSpPr bwMode="auto">
            <a:xfrm>
              <a:off x="63" y="269"/>
              <a:ext cx="47" cy="5"/>
              <a:chOff x="204" y="283"/>
              <a:chExt cx="46" cy="7"/>
            </a:xfrm>
          </xdr:grpSpPr>
          <xdr:sp macro="" textlink="">
            <xdr:nvSpPr>
              <xdr:cNvPr id="53814" name="Line 2037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15" name="Line 2038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16" name="Line 2039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17" name="Line 2040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18" name="Line 2041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19" name="Line 2042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35" name="Text Box 2043"/>
            <xdr:cNvSpPr txBox="1">
              <a:spLocks noChangeArrowheads="1"/>
            </xdr:cNvSpPr>
          </xdr:nvSpPr>
          <xdr:spPr bwMode="auto">
            <a:xfrm>
              <a:off x="43" y="231"/>
              <a:ext cx="3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sp macro="" textlink="">
          <xdr:nvSpPr>
            <xdr:cNvPr id="10236" name="Text Box 2044"/>
            <xdr:cNvSpPr txBox="1">
              <a:spLocks noChangeArrowheads="1"/>
            </xdr:cNvSpPr>
          </xdr:nvSpPr>
          <xdr:spPr bwMode="auto">
            <a:xfrm>
              <a:off x="68" y="274"/>
              <a:ext cx="5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grpSp>
          <xdr:nvGrpSpPr>
            <xdr:cNvPr id="53808" name="Group 2045"/>
            <xdr:cNvGrpSpPr>
              <a:grpSpLocks/>
            </xdr:cNvGrpSpPr>
          </xdr:nvGrpSpPr>
          <xdr:grpSpPr bwMode="auto">
            <a:xfrm>
              <a:off x="71" y="213"/>
              <a:ext cx="45" cy="47"/>
              <a:chOff x="70" y="88"/>
              <a:chExt cx="45" cy="47"/>
            </a:xfrm>
          </xdr:grpSpPr>
          <xdr:sp macro="" textlink="">
            <xdr:nvSpPr>
              <xdr:cNvPr id="10238" name="Text Box 2046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endParaRPr lang="pt-BR"/>
              </a:p>
            </xdr:txBody>
          </xdr:sp>
          <xdr:sp macro="" textlink="">
            <xdr:nvSpPr>
              <xdr:cNvPr id="53810" name="Line 2047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11" name="Line 2048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41" name="Text Box 2049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10242" name="Text Box 2050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3579" name="Group 2051"/>
          <xdr:cNvGrpSpPr>
            <a:grpSpLocks/>
          </xdr:cNvGrpSpPr>
        </xdr:nvGrpSpPr>
        <xdr:grpSpPr bwMode="auto">
          <a:xfrm>
            <a:off x="5764" y="771"/>
            <a:ext cx="78" cy="93"/>
            <a:chOff x="44" y="337"/>
            <a:chExt cx="78" cy="94"/>
          </a:xfrm>
        </xdr:grpSpPr>
        <xdr:sp macro="" textlink="">
          <xdr:nvSpPr>
            <xdr:cNvPr id="53781" name="Rectangle 2052"/>
            <xdr:cNvSpPr>
              <a:spLocks noChangeArrowheads="1"/>
            </xdr:cNvSpPr>
          </xdr:nvSpPr>
          <xdr:spPr bwMode="auto">
            <a:xfrm>
              <a:off x="60" y="337"/>
              <a:ext cx="51" cy="7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3782" name="Group 2053"/>
            <xdr:cNvGrpSpPr>
              <a:grpSpLocks/>
            </xdr:cNvGrpSpPr>
          </xdr:nvGrpSpPr>
          <xdr:grpSpPr bwMode="auto">
            <a:xfrm>
              <a:off x="63" y="401"/>
              <a:ext cx="46" cy="7"/>
              <a:chOff x="204" y="283"/>
              <a:chExt cx="46" cy="7"/>
            </a:xfrm>
          </xdr:grpSpPr>
          <xdr:sp macro="" textlink="">
            <xdr:nvSpPr>
              <xdr:cNvPr id="53798" name="Line 2054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99" name="Line 2055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00" name="Line 2056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01" name="Line 2057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02" name="Line 2058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803" name="Line 2059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83" name="Group 2060"/>
            <xdr:cNvGrpSpPr>
              <a:grpSpLocks/>
            </xdr:cNvGrpSpPr>
          </xdr:nvGrpSpPr>
          <xdr:grpSpPr bwMode="auto">
            <a:xfrm>
              <a:off x="63" y="337"/>
              <a:ext cx="46" cy="5"/>
              <a:chOff x="204" y="283"/>
              <a:chExt cx="46" cy="7"/>
            </a:xfrm>
          </xdr:grpSpPr>
          <xdr:sp macro="" textlink="">
            <xdr:nvSpPr>
              <xdr:cNvPr id="53792" name="Line 2061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93" name="Line 2062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94" name="Line 2063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95" name="Line 2064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96" name="Line 2065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97" name="Line 2066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59" name="Text Box 2067"/>
            <xdr:cNvSpPr txBox="1">
              <a:spLocks noChangeArrowheads="1"/>
            </xdr:cNvSpPr>
          </xdr:nvSpPr>
          <xdr:spPr bwMode="auto">
            <a:xfrm>
              <a:off x="68" y="409"/>
              <a:ext cx="5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10260" name="Text Box 2068"/>
            <xdr:cNvSpPr txBox="1">
              <a:spLocks noChangeArrowheads="1"/>
            </xdr:cNvSpPr>
          </xdr:nvSpPr>
          <xdr:spPr bwMode="auto">
            <a:xfrm>
              <a:off x="44" y="363"/>
              <a:ext cx="35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3786" name="Group 2069"/>
            <xdr:cNvGrpSpPr>
              <a:grpSpLocks/>
            </xdr:cNvGrpSpPr>
          </xdr:nvGrpSpPr>
          <xdr:grpSpPr bwMode="auto">
            <a:xfrm>
              <a:off x="70" y="346"/>
              <a:ext cx="45" cy="47"/>
              <a:chOff x="70" y="88"/>
              <a:chExt cx="45" cy="47"/>
            </a:xfrm>
          </xdr:grpSpPr>
          <xdr:sp macro="" textlink="">
            <xdr:nvSpPr>
              <xdr:cNvPr id="10262" name="Text Box 2070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endParaRPr lang="pt-BR"/>
              </a:p>
            </xdr:txBody>
          </xdr:sp>
          <xdr:sp macro="" textlink="">
            <xdr:nvSpPr>
              <xdr:cNvPr id="53788" name="Line 2071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89" name="Line 2072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5" name="Text Box 2073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10266" name="Text Box 2074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3580" name="Group 2075"/>
          <xdr:cNvGrpSpPr>
            <a:grpSpLocks/>
          </xdr:cNvGrpSpPr>
        </xdr:nvGrpSpPr>
        <xdr:grpSpPr bwMode="auto">
          <a:xfrm>
            <a:off x="5762" y="979"/>
            <a:ext cx="75" cy="88"/>
            <a:chOff x="45" y="469"/>
            <a:chExt cx="75" cy="89"/>
          </a:xfrm>
        </xdr:grpSpPr>
        <xdr:sp macro="" textlink="">
          <xdr:nvSpPr>
            <xdr:cNvPr id="53761" name="Rectangle 2076"/>
            <xdr:cNvSpPr>
              <a:spLocks noChangeArrowheads="1"/>
            </xdr:cNvSpPr>
          </xdr:nvSpPr>
          <xdr:spPr bwMode="auto">
            <a:xfrm>
              <a:off x="61" y="469"/>
              <a:ext cx="51" cy="6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3762" name="Group 2077"/>
            <xdr:cNvGrpSpPr>
              <a:grpSpLocks/>
            </xdr:cNvGrpSpPr>
          </xdr:nvGrpSpPr>
          <xdr:grpSpPr bwMode="auto">
            <a:xfrm>
              <a:off x="61" y="471"/>
              <a:ext cx="7" cy="63"/>
              <a:chOff x="328" y="213"/>
              <a:chExt cx="7" cy="75"/>
            </a:xfrm>
          </xdr:grpSpPr>
          <xdr:sp macro="" textlink="">
            <xdr:nvSpPr>
              <xdr:cNvPr id="53771" name="Line 2078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72" name="Line 2079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73" name="Line 2080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74" name="Line 2081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75" name="Line 2082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76" name="Line 2083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77" name="Line 2084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78" name="Line 2085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79" name="Line 2086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80" name="Line 2087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80" name="Text Box 2088"/>
            <xdr:cNvSpPr txBox="1">
              <a:spLocks noChangeArrowheads="1"/>
            </xdr:cNvSpPr>
          </xdr:nvSpPr>
          <xdr:spPr bwMode="auto">
            <a:xfrm>
              <a:off x="68" y="538"/>
              <a:ext cx="52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10281" name="Text Box 2089"/>
            <xdr:cNvSpPr txBox="1">
              <a:spLocks noChangeArrowheads="1"/>
            </xdr:cNvSpPr>
          </xdr:nvSpPr>
          <xdr:spPr bwMode="auto">
            <a:xfrm>
              <a:off x="45" y="492"/>
              <a:ext cx="34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3765" name="Group 2090"/>
            <xdr:cNvGrpSpPr>
              <a:grpSpLocks/>
            </xdr:cNvGrpSpPr>
          </xdr:nvGrpSpPr>
          <xdr:grpSpPr bwMode="auto">
            <a:xfrm>
              <a:off x="71" y="476"/>
              <a:ext cx="45" cy="47"/>
              <a:chOff x="70" y="88"/>
              <a:chExt cx="45" cy="47"/>
            </a:xfrm>
          </xdr:grpSpPr>
          <xdr:sp macro="" textlink="">
            <xdr:nvSpPr>
              <xdr:cNvPr id="10283" name="Text Box 2091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4</a:t>
                </a:r>
                <a:endParaRPr lang="pt-BR"/>
              </a:p>
            </xdr:txBody>
          </xdr:sp>
          <xdr:sp macro="" textlink="">
            <xdr:nvSpPr>
              <xdr:cNvPr id="53767" name="Line 2092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68" name="Line 2093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86" name="Text Box 2094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10287" name="Text Box 2095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3581" name="Group 2096"/>
          <xdr:cNvGrpSpPr>
            <a:grpSpLocks/>
          </xdr:cNvGrpSpPr>
        </xdr:nvGrpSpPr>
        <xdr:grpSpPr bwMode="auto">
          <a:xfrm>
            <a:off x="5765" y="1184"/>
            <a:ext cx="76" cy="89"/>
            <a:chOff x="46" y="624"/>
            <a:chExt cx="76" cy="90"/>
          </a:xfrm>
        </xdr:grpSpPr>
        <xdr:sp macro="" textlink="">
          <xdr:nvSpPr>
            <xdr:cNvPr id="53734" name="Rectangle 2097"/>
            <xdr:cNvSpPr>
              <a:spLocks noChangeArrowheads="1"/>
            </xdr:cNvSpPr>
          </xdr:nvSpPr>
          <xdr:spPr bwMode="auto">
            <a:xfrm>
              <a:off x="62" y="624"/>
              <a:ext cx="50" cy="6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3735" name="Group 2098"/>
            <xdr:cNvGrpSpPr>
              <a:grpSpLocks/>
            </xdr:cNvGrpSpPr>
          </xdr:nvGrpSpPr>
          <xdr:grpSpPr bwMode="auto">
            <a:xfrm>
              <a:off x="66" y="686"/>
              <a:ext cx="44" cy="5"/>
              <a:chOff x="204" y="283"/>
              <a:chExt cx="46" cy="7"/>
            </a:xfrm>
          </xdr:grpSpPr>
          <xdr:sp macro="" textlink="">
            <xdr:nvSpPr>
              <xdr:cNvPr id="53755" name="Line 2099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56" name="Line 2100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57" name="Line 2101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58" name="Line 2102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59" name="Line 2103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60" name="Line 2104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36" name="Group 2105"/>
            <xdr:cNvGrpSpPr>
              <a:grpSpLocks/>
            </xdr:cNvGrpSpPr>
          </xdr:nvGrpSpPr>
          <xdr:grpSpPr bwMode="auto">
            <a:xfrm>
              <a:off x="62" y="625"/>
              <a:ext cx="7" cy="64"/>
              <a:chOff x="328" y="213"/>
              <a:chExt cx="7" cy="75"/>
            </a:xfrm>
          </xdr:grpSpPr>
          <xdr:sp macro="" textlink="">
            <xdr:nvSpPr>
              <xdr:cNvPr id="53745" name="Line 2106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46" name="Line 2107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47" name="Line 2108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48" name="Line 2109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49" name="Line 2110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50" name="Line 2111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51" name="Line 2112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52" name="Line 2113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53" name="Line 2114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54" name="Line 2115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08" name="Text Box 2116"/>
            <xdr:cNvSpPr txBox="1">
              <a:spLocks noChangeArrowheads="1"/>
            </xdr:cNvSpPr>
          </xdr:nvSpPr>
          <xdr:spPr bwMode="auto">
            <a:xfrm>
              <a:off x="69" y="693"/>
              <a:ext cx="53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10309" name="Text Box 2117"/>
            <xdr:cNvSpPr txBox="1">
              <a:spLocks noChangeArrowheads="1"/>
            </xdr:cNvSpPr>
          </xdr:nvSpPr>
          <xdr:spPr bwMode="auto">
            <a:xfrm>
              <a:off x="46" y="647"/>
              <a:ext cx="3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3739" name="Group 2118"/>
            <xdr:cNvGrpSpPr>
              <a:grpSpLocks/>
            </xdr:cNvGrpSpPr>
          </xdr:nvGrpSpPr>
          <xdr:grpSpPr bwMode="auto">
            <a:xfrm>
              <a:off x="71" y="631"/>
              <a:ext cx="45" cy="47"/>
              <a:chOff x="70" y="88"/>
              <a:chExt cx="45" cy="47"/>
            </a:xfrm>
          </xdr:grpSpPr>
          <xdr:sp macro="" textlink="">
            <xdr:nvSpPr>
              <xdr:cNvPr id="10311" name="Text Box 2119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5</a:t>
                </a:r>
                <a:endParaRPr lang="pt-BR"/>
              </a:p>
            </xdr:txBody>
          </xdr:sp>
          <xdr:sp macro="" textlink="">
            <xdr:nvSpPr>
              <xdr:cNvPr id="53741" name="Line 2120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42" name="Line 2121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4" name="Text Box 2122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10315" name="Text Box 2123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3582" name="Group 2124"/>
          <xdr:cNvGrpSpPr>
            <a:grpSpLocks/>
          </xdr:cNvGrpSpPr>
        </xdr:nvGrpSpPr>
        <xdr:grpSpPr bwMode="auto">
          <a:xfrm>
            <a:off x="5763" y="1389"/>
            <a:ext cx="74" cy="89"/>
            <a:chOff x="44" y="800"/>
            <a:chExt cx="74" cy="90"/>
          </a:xfrm>
        </xdr:grpSpPr>
        <xdr:sp macro="" textlink="">
          <xdr:nvSpPr>
            <xdr:cNvPr id="53700" name="Rectangle 2125"/>
            <xdr:cNvSpPr>
              <a:spLocks noChangeArrowheads="1"/>
            </xdr:cNvSpPr>
          </xdr:nvSpPr>
          <xdr:spPr bwMode="auto">
            <a:xfrm>
              <a:off x="61" y="800"/>
              <a:ext cx="50" cy="6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3701" name="Group 2126"/>
            <xdr:cNvGrpSpPr>
              <a:grpSpLocks/>
            </xdr:cNvGrpSpPr>
          </xdr:nvGrpSpPr>
          <xdr:grpSpPr bwMode="auto">
            <a:xfrm>
              <a:off x="67" y="863"/>
              <a:ext cx="43" cy="5"/>
              <a:chOff x="204" y="283"/>
              <a:chExt cx="46" cy="7"/>
            </a:xfrm>
          </xdr:grpSpPr>
          <xdr:sp macro="" textlink="">
            <xdr:nvSpPr>
              <xdr:cNvPr id="53728" name="Line 2127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29" name="Line 2128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30" name="Line 2129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31" name="Line 2130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32" name="Line 2131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33" name="Line 2132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02" name="Group 2133"/>
            <xdr:cNvGrpSpPr>
              <a:grpSpLocks/>
            </xdr:cNvGrpSpPr>
          </xdr:nvGrpSpPr>
          <xdr:grpSpPr bwMode="auto">
            <a:xfrm>
              <a:off x="61" y="802"/>
              <a:ext cx="7" cy="64"/>
              <a:chOff x="328" y="213"/>
              <a:chExt cx="7" cy="75"/>
            </a:xfrm>
          </xdr:grpSpPr>
          <xdr:sp macro="" textlink="">
            <xdr:nvSpPr>
              <xdr:cNvPr id="53718" name="Line 2134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19" name="Line 2135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20" name="Line 2136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21" name="Line 2137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22" name="Line 2138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23" name="Line 2139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24" name="Line 2140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25" name="Line 2141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26" name="Line 2142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27" name="Line 2143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03" name="Group 2144"/>
            <xdr:cNvGrpSpPr>
              <a:grpSpLocks/>
            </xdr:cNvGrpSpPr>
          </xdr:nvGrpSpPr>
          <xdr:grpSpPr bwMode="auto">
            <a:xfrm>
              <a:off x="66" y="800"/>
              <a:ext cx="43" cy="5"/>
              <a:chOff x="204" y="283"/>
              <a:chExt cx="46" cy="7"/>
            </a:xfrm>
          </xdr:grpSpPr>
          <xdr:sp macro="" textlink="">
            <xdr:nvSpPr>
              <xdr:cNvPr id="53712" name="Line 2145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13" name="Line 2146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14" name="Line 2147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15" name="Line 2148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16" name="Line 2149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17" name="Line 2150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43" name="Text Box 2151"/>
            <xdr:cNvSpPr txBox="1">
              <a:spLocks noChangeArrowheads="1"/>
            </xdr:cNvSpPr>
          </xdr:nvSpPr>
          <xdr:spPr bwMode="auto">
            <a:xfrm>
              <a:off x="67" y="868"/>
              <a:ext cx="51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10344" name="Text Box 2152"/>
            <xdr:cNvSpPr txBox="1">
              <a:spLocks noChangeArrowheads="1"/>
            </xdr:cNvSpPr>
          </xdr:nvSpPr>
          <xdr:spPr bwMode="auto">
            <a:xfrm>
              <a:off x="44" y="826"/>
              <a:ext cx="33" cy="1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3706" name="Group 2153"/>
            <xdr:cNvGrpSpPr>
              <a:grpSpLocks/>
            </xdr:cNvGrpSpPr>
          </xdr:nvGrpSpPr>
          <xdr:grpSpPr bwMode="auto">
            <a:xfrm>
              <a:off x="70" y="808"/>
              <a:ext cx="45" cy="47"/>
              <a:chOff x="70" y="88"/>
              <a:chExt cx="45" cy="47"/>
            </a:xfrm>
          </xdr:grpSpPr>
          <xdr:sp macro="" textlink="">
            <xdr:nvSpPr>
              <xdr:cNvPr id="10346" name="Text Box 2154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6</a:t>
                </a:r>
                <a:endParaRPr lang="pt-BR"/>
              </a:p>
            </xdr:txBody>
          </xdr:sp>
          <xdr:sp macro="" textlink="">
            <xdr:nvSpPr>
              <xdr:cNvPr id="53708" name="Line 2155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709" name="Line 2156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49" name="Text Box 2157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10350" name="Text Box 2158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3583" name="Group 2159"/>
          <xdr:cNvGrpSpPr>
            <a:grpSpLocks/>
          </xdr:cNvGrpSpPr>
        </xdr:nvGrpSpPr>
        <xdr:grpSpPr bwMode="auto">
          <a:xfrm>
            <a:off x="5759" y="1596"/>
            <a:ext cx="79" cy="93"/>
            <a:chOff x="40" y="938"/>
            <a:chExt cx="79" cy="95"/>
          </a:xfrm>
        </xdr:grpSpPr>
        <xdr:sp macro="" textlink="">
          <xdr:nvSpPr>
            <xdr:cNvPr id="53669" name="Rectangle 2160"/>
            <xdr:cNvSpPr>
              <a:spLocks noChangeArrowheads="1"/>
            </xdr:cNvSpPr>
          </xdr:nvSpPr>
          <xdr:spPr bwMode="auto">
            <a:xfrm>
              <a:off x="58" y="938"/>
              <a:ext cx="53" cy="7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3670" name="Group 2161"/>
            <xdr:cNvGrpSpPr>
              <a:grpSpLocks/>
            </xdr:cNvGrpSpPr>
          </xdr:nvGrpSpPr>
          <xdr:grpSpPr bwMode="auto">
            <a:xfrm>
              <a:off x="104" y="941"/>
              <a:ext cx="7" cy="67"/>
              <a:chOff x="328" y="213"/>
              <a:chExt cx="7" cy="75"/>
            </a:xfrm>
          </xdr:grpSpPr>
          <xdr:sp macro="" textlink="">
            <xdr:nvSpPr>
              <xdr:cNvPr id="53690" name="Line 2162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91" name="Line 2163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92" name="Line 2164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93" name="Line 2165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94" name="Line 2166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95" name="Line 2167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96" name="Line 2168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97" name="Line 2169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98" name="Line 2170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99" name="Line 2171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671" name="Group 2172"/>
            <xdr:cNvGrpSpPr>
              <a:grpSpLocks/>
            </xdr:cNvGrpSpPr>
          </xdr:nvGrpSpPr>
          <xdr:grpSpPr bwMode="auto">
            <a:xfrm>
              <a:off x="58" y="940"/>
              <a:ext cx="7" cy="67"/>
              <a:chOff x="328" y="213"/>
              <a:chExt cx="7" cy="75"/>
            </a:xfrm>
          </xdr:grpSpPr>
          <xdr:sp macro="" textlink="">
            <xdr:nvSpPr>
              <xdr:cNvPr id="53680" name="Line 2173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81" name="Line 2174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82" name="Line 2175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83" name="Line 2176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84" name="Line 2177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85" name="Line 2178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86" name="Line 2179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87" name="Line 2180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88" name="Line 2181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89" name="Line 2182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75" name="Text Box 2183"/>
            <xdr:cNvSpPr txBox="1">
              <a:spLocks noChangeArrowheads="1"/>
            </xdr:cNvSpPr>
          </xdr:nvSpPr>
          <xdr:spPr bwMode="auto">
            <a:xfrm>
              <a:off x="65" y="1011"/>
              <a:ext cx="5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10376" name="Text Box 2184"/>
            <xdr:cNvSpPr txBox="1">
              <a:spLocks noChangeArrowheads="1"/>
            </xdr:cNvSpPr>
          </xdr:nvSpPr>
          <xdr:spPr bwMode="auto">
            <a:xfrm>
              <a:off x="40" y="963"/>
              <a:ext cx="3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3674" name="Group 2185"/>
            <xdr:cNvGrpSpPr>
              <a:grpSpLocks/>
            </xdr:cNvGrpSpPr>
          </xdr:nvGrpSpPr>
          <xdr:grpSpPr bwMode="auto">
            <a:xfrm>
              <a:off x="69" y="948"/>
              <a:ext cx="45" cy="47"/>
              <a:chOff x="70" y="88"/>
              <a:chExt cx="45" cy="47"/>
            </a:xfrm>
          </xdr:grpSpPr>
          <xdr:sp macro="" textlink="">
            <xdr:nvSpPr>
              <xdr:cNvPr id="10378" name="Text Box 2186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7</a:t>
                </a:r>
                <a:endParaRPr lang="pt-BR"/>
              </a:p>
            </xdr:txBody>
          </xdr:sp>
          <xdr:sp macro="" textlink="">
            <xdr:nvSpPr>
              <xdr:cNvPr id="53676" name="Line 2187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77" name="Line 2188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1" name="Text Box 2189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10382" name="Text Box 2190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3584" name="Group 2191"/>
          <xdr:cNvGrpSpPr>
            <a:grpSpLocks/>
          </xdr:cNvGrpSpPr>
        </xdr:nvGrpSpPr>
        <xdr:grpSpPr bwMode="auto">
          <a:xfrm>
            <a:off x="5766" y="1805"/>
            <a:ext cx="73" cy="89"/>
            <a:chOff x="44" y="1078"/>
            <a:chExt cx="73" cy="90"/>
          </a:xfrm>
        </xdr:grpSpPr>
        <xdr:sp macro="" textlink="">
          <xdr:nvSpPr>
            <xdr:cNvPr id="53631" name="Rectangle 2192"/>
            <xdr:cNvSpPr>
              <a:spLocks noChangeArrowheads="1"/>
            </xdr:cNvSpPr>
          </xdr:nvSpPr>
          <xdr:spPr bwMode="auto">
            <a:xfrm>
              <a:off x="59" y="1078"/>
              <a:ext cx="51" cy="6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3632" name="Group 2193"/>
            <xdr:cNvGrpSpPr>
              <a:grpSpLocks/>
            </xdr:cNvGrpSpPr>
          </xdr:nvGrpSpPr>
          <xdr:grpSpPr bwMode="auto">
            <a:xfrm>
              <a:off x="66" y="1140"/>
              <a:ext cx="42" cy="6"/>
              <a:chOff x="204" y="283"/>
              <a:chExt cx="46" cy="7"/>
            </a:xfrm>
          </xdr:grpSpPr>
          <xdr:sp macro="" textlink="">
            <xdr:nvSpPr>
              <xdr:cNvPr id="53663" name="Line 2194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64" name="Line 2195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65" name="Line 2196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66" name="Line 2197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67" name="Line 2198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68" name="Line 2199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633" name="Group 2200"/>
            <xdr:cNvGrpSpPr>
              <a:grpSpLocks/>
            </xdr:cNvGrpSpPr>
          </xdr:nvGrpSpPr>
          <xdr:grpSpPr bwMode="auto">
            <a:xfrm>
              <a:off x="102" y="1081"/>
              <a:ext cx="8" cy="63"/>
              <a:chOff x="328" y="213"/>
              <a:chExt cx="7" cy="75"/>
            </a:xfrm>
          </xdr:grpSpPr>
          <xdr:sp macro="" textlink="">
            <xdr:nvSpPr>
              <xdr:cNvPr id="53653" name="Line 2201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54" name="Line 2202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55" name="Line 2203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56" name="Line 2204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57" name="Line 2205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58" name="Line 2206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59" name="Line 2207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60" name="Line 2208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61" name="Line 2209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62" name="Line 2210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634" name="Group 2211"/>
            <xdr:cNvGrpSpPr>
              <a:grpSpLocks/>
            </xdr:cNvGrpSpPr>
          </xdr:nvGrpSpPr>
          <xdr:grpSpPr bwMode="auto">
            <a:xfrm>
              <a:off x="59" y="1080"/>
              <a:ext cx="7" cy="63"/>
              <a:chOff x="328" y="213"/>
              <a:chExt cx="7" cy="75"/>
            </a:xfrm>
          </xdr:grpSpPr>
          <xdr:sp macro="" textlink="">
            <xdr:nvSpPr>
              <xdr:cNvPr id="53643" name="Line 2212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44" name="Line 2213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45" name="Line 2214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46" name="Line 2215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47" name="Line 2216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48" name="Line 2217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49" name="Line 2218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50" name="Line 2219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51" name="Line 2220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52" name="Line 2221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14" name="Text Box 2222"/>
            <xdr:cNvSpPr txBox="1">
              <a:spLocks noChangeArrowheads="1"/>
            </xdr:cNvSpPr>
          </xdr:nvSpPr>
          <xdr:spPr bwMode="auto">
            <a:xfrm>
              <a:off x="66" y="1147"/>
              <a:ext cx="51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10415" name="Text Box 2223"/>
            <xdr:cNvSpPr txBox="1">
              <a:spLocks noChangeArrowheads="1"/>
            </xdr:cNvSpPr>
          </xdr:nvSpPr>
          <xdr:spPr bwMode="auto">
            <a:xfrm>
              <a:off x="44" y="1105"/>
              <a:ext cx="33" cy="1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3637" name="Group 2224"/>
            <xdr:cNvGrpSpPr>
              <a:grpSpLocks/>
            </xdr:cNvGrpSpPr>
          </xdr:nvGrpSpPr>
          <xdr:grpSpPr bwMode="auto">
            <a:xfrm>
              <a:off x="67" y="1086"/>
              <a:ext cx="45" cy="47"/>
              <a:chOff x="70" y="88"/>
              <a:chExt cx="45" cy="47"/>
            </a:xfrm>
          </xdr:grpSpPr>
          <xdr:sp macro="" textlink="">
            <xdr:nvSpPr>
              <xdr:cNvPr id="10417" name="Text Box 2225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8</a:t>
                </a:r>
                <a:endParaRPr lang="pt-BR"/>
              </a:p>
            </xdr:txBody>
          </xdr:sp>
          <xdr:sp macro="" textlink="">
            <xdr:nvSpPr>
              <xdr:cNvPr id="53639" name="Line 2226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40" name="Line 2227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20" name="Text Box 2228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10421" name="Text Box 2229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3585" name="Group 2230"/>
          <xdr:cNvGrpSpPr>
            <a:grpSpLocks/>
          </xdr:cNvGrpSpPr>
        </xdr:nvGrpSpPr>
        <xdr:grpSpPr bwMode="auto">
          <a:xfrm>
            <a:off x="5765" y="2024"/>
            <a:ext cx="74" cy="87"/>
            <a:chOff x="43" y="1227"/>
            <a:chExt cx="74" cy="89"/>
          </a:xfrm>
        </xdr:grpSpPr>
        <xdr:sp macro="" textlink="">
          <xdr:nvSpPr>
            <xdr:cNvPr id="53586" name="Rectangle 2231"/>
            <xdr:cNvSpPr>
              <a:spLocks noChangeArrowheads="1"/>
            </xdr:cNvSpPr>
          </xdr:nvSpPr>
          <xdr:spPr bwMode="auto">
            <a:xfrm>
              <a:off x="60" y="1227"/>
              <a:ext cx="50" cy="6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3587" name="Group 2232"/>
            <xdr:cNvGrpSpPr>
              <a:grpSpLocks/>
            </xdr:cNvGrpSpPr>
          </xdr:nvGrpSpPr>
          <xdr:grpSpPr bwMode="auto">
            <a:xfrm>
              <a:off x="66" y="1288"/>
              <a:ext cx="42" cy="7"/>
              <a:chOff x="204" y="283"/>
              <a:chExt cx="46" cy="7"/>
            </a:xfrm>
          </xdr:grpSpPr>
          <xdr:sp macro="" textlink="">
            <xdr:nvSpPr>
              <xdr:cNvPr id="53625" name="Line 2233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26" name="Line 2234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27" name="Line 2235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28" name="Line 2236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29" name="Line 2237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30" name="Line 2238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588" name="Group 2239"/>
            <xdr:cNvGrpSpPr>
              <a:grpSpLocks/>
            </xdr:cNvGrpSpPr>
          </xdr:nvGrpSpPr>
          <xdr:grpSpPr bwMode="auto">
            <a:xfrm>
              <a:off x="103" y="1230"/>
              <a:ext cx="7" cy="63"/>
              <a:chOff x="328" y="213"/>
              <a:chExt cx="7" cy="75"/>
            </a:xfrm>
          </xdr:grpSpPr>
          <xdr:sp macro="" textlink="">
            <xdr:nvSpPr>
              <xdr:cNvPr id="53615" name="Line 2240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16" name="Line 2241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17" name="Line 2242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18" name="Line 2243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19" name="Line 2244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20" name="Line 2245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21" name="Line 2246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22" name="Line 2247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23" name="Line 2248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24" name="Line 2249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589" name="Group 2250"/>
            <xdr:cNvGrpSpPr>
              <a:grpSpLocks/>
            </xdr:cNvGrpSpPr>
          </xdr:nvGrpSpPr>
          <xdr:grpSpPr bwMode="auto">
            <a:xfrm>
              <a:off x="61" y="1229"/>
              <a:ext cx="7" cy="62"/>
              <a:chOff x="328" y="213"/>
              <a:chExt cx="7" cy="75"/>
            </a:xfrm>
          </xdr:grpSpPr>
          <xdr:sp macro="" textlink="">
            <xdr:nvSpPr>
              <xdr:cNvPr id="53605" name="Line 2251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06" name="Line 2252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07" name="Line 2253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08" name="Line 2254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09" name="Line 2255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10" name="Line 2256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11" name="Line 2257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12" name="Line 2258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13" name="Line 2259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14" name="Line 2260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590" name="Group 2261"/>
            <xdr:cNvGrpSpPr>
              <a:grpSpLocks/>
            </xdr:cNvGrpSpPr>
          </xdr:nvGrpSpPr>
          <xdr:grpSpPr bwMode="auto">
            <a:xfrm>
              <a:off x="63" y="1227"/>
              <a:ext cx="42" cy="6"/>
              <a:chOff x="204" y="283"/>
              <a:chExt cx="46" cy="7"/>
            </a:xfrm>
          </xdr:grpSpPr>
          <xdr:sp macro="" textlink="">
            <xdr:nvSpPr>
              <xdr:cNvPr id="53599" name="Line 2262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00" name="Line 2263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01" name="Line 2264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02" name="Line 2265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03" name="Line 2266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604" name="Line 2267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60" name="Text Box 2268"/>
            <xdr:cNvSpPr txBox="1">
              <a:spLocks noChangeArrowheads="1"/>
            </xdr:cNvSpPr>
          </xdr:nvSpPr>
          <xdr:spPr bwMode="auto">
            <a:xfrm>
              <a:off x="66" y="1295"/>
              <a:ext cx="51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10461" name="Text Box 2269"/>
            <xdr:cNvSpPr txBox="1">
              <a:spLocks noChangeArrowheads="1"/>
            </xdr:cNvSpPr>
          </xdr:nvSpPr>
          <xdr:spPr bwMode="auto">
            <a:xfrm>
              <a:off x="43" y="1252"/>
              <a:ext cx="33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3593" name="Group 2270"/>
            <xdr:cNvGrpSpPr>
              <a:grpSpLocks/>
            </xdr:cNvGrpSpPr>
          </xdr:nvGrpSpPr>
          <xdr:grpSpPr bwMode="auto">
            <a:xfrm>
              <a:off x="69" y="1234"/>
              <a:ext cx="45" cy="47"/>
              <a:chOff x="70" y="88"/>
              <a:chExt cx="45" cy="47"/>
            </a:xfrm>
          </xdr:grpSpPr>
          <xdr:sp macro="" textlink="">
            <xdr:nvSpPr>
              <xdr:cNvPr id="10463" name="Text Box 2271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9</a:t>
                </a:r>
                <a:endParaRPr lang="pt-BR"/>
              </a:p>
            </xdr:txBody>
          </xdr:sp>
          <xdr:sp macro="" textlink="">
            <xdr:nvSpPr>
              <xdr:cNvPr id="53595" name="Line 2272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96" name="Line 2273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66" name="Text Box 2274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10467" name="Text Box 2275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</xdr:grpSp>
    <xdr:clientData/>
  </xdr:twoCellAnchor>
  <xdr:twoCellAnchor editAs="oneCell">
    <xdr:from>
      <xdr:col>112</xdr:col>
      <xdr:colOff>323850</xdr:colOff>
      <xdr:row>20</xdr:row>
      <xdr:rowOff>114300</xdr:rowOff>
    </xdr:from>
    <xdr:to>
      <xdr:col>113</xdr:col>
      <xdr:colOff>419100</xdr:colOff>
      <xdr:row>130</xdr:row>
      <xdr:rowOff>95250</xdr:rowOff>
    </xdr:to>
    <xdr:grpSp>
      <xdr:nvGrpSpPr>
        <xdr:cNvPr id="53324" name="Group 2789"/>
        <xdr:cNvGrpSpPr>
          <a:grpSpLocks/>
        </xdr:cNvGrpSpPr>
      </xdr:nvGrpSpPr>
      <xdr:grpSpPr bwMode="auto">
        <a:xfrm>
          <a:off x="79209900" y="3448050"/>
          <a:ext cx="809625" cy="16744950"/>
          <a:chOff x="7430" y="353"/>
          <a:chExt cx="85" cy="1758"/>
        </a:xfrm>
      </xdr:grpSpPr>
      <xdr:grpSp>
        <xdr:nvGrpSpPr>
          <xdr:cNvPr id="53325" name="Group 2528"/>
          <xdr:cNvGrpSpPr>
            <a:grpSpLocks/>
          </xdr:cNvGrpSpPr>
        </xdr:nvGrpSpPr>
        <xdr:grpSpPr bwMode="auto">
          <a:xfrm>
            <a:off x="7433" y="353"/>
            <a:ext cx="75" cy="88"/>
            <a:chOff x="44" y="82"/>
            <a:chExt cx="75" cy="90"/>
          </a:xfrm>
        </xdr:grpSpPr>
        <xdr:sp macro="" textlink="">
          <xdr:nvSpPr>
            <xdr:cNvPr id="53568" name="Rectangle 2529"/>
            <xdr:cNvSpPr>
              <a:spLocks noChangeArrowheads="1"/>
            </xdr:cNvSpPr>
          </xdr:nvSpPr>
          <xdr:spPr bwMode="auto">
            <a:xfrm>
              <a:off x="61" y="82"/>
              <a:ext cx="51" cy="6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10722" name="Text Box 2530"/>
            <xdr:cNvSpPr txBox="1">
              <a:spLocks noChangeArrowheads="1"/>
            </xdr:cNvSpPr>
          </xdr:nvSpPr>
          <xdr:spPr bwMode="auto">
            <a:xfrm>
              <a:off x="67" y="150"/>
              <a:ext cx="52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10723" name="Text Box 2531"/>
            <xdr:cNvSpPr txBox="1">
              <a:spLocks noChangeArrowheads="1"/>
            </xdr:cNvSpPr>
          </xdr:nvSpPr>
          <xdr:spPr bwMode="auto">
            <a:xfrm>
              <a:off x="44" y="105"/>
              <a:ext cx="34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3571" name="Group 2532"/>
            <xdr:cNvGrpSpPr>
              <a:grpSpLocks/>
            </xdr:cNvGrpSpPr>
          </xdr:nvGrpSpPr>
          <xdr:grpSpPr bwMode="auto">
            <a:xfrm>
              <a:off x="70" y="88"/>
              <a:ext cx="45" cy="47"/>
              <a:chOff x="70" y="88"/>
              <a:chExt cx="45" cy="47"/>
            </a:xfrm>
          </xdr:grpSpPr>
          <xdr:sp macro="" textlink="">
            <xdr:nvSpPr>
              <xdr:cNvPr id="10725" name="Text Box 2533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1</a:t>
                </a:r>
                <a:endParaRPr lang="pt-BR"/>
              </a:p>
            </xdr:txBody>
          </xdr:sp>
          <xdr:sp macro="" textlink="">
            <xdr:nvSpPr>
              <xdr:cNvPr id="53573" name="Line 2534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74" name="Line 2535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28" name="Text Box 2536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10729" name="Text Box 2537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3326" name="Group 2538"/>
          <xdr:cNvGrpSpPr>
            <a:grpSpLocks/>
          </xdr:cNvGrpSpPr>
        </xdr:nvGrpSpPr>
        <xdr:grpSpPr bwMode="auto">
          <a:xfrm>
            <a:off x="7435" y="558"/>
            <a:ext cx="80" cy="90"/>
            <a:chOff x="43" y="204"/>
            <a:chExt cx="80" cy="92"/>
          </a:xfrm>
        </xdr:grpSpPr>
        <xdr:sp macro="" textlink="">
          <xdr:nvSpPr>
            <xdr:cNvPr id="53552" name="Rectangle 2539"/>
            <xdr:cNvSpPr>
              <a:spLocks noChangeArrowheads="1"/>
            </xdr:cNvSpPr>
          </xdr:nvSpPr>
          <xdr:spPr bwMode="auto">
            <a:xfrm>
              <a:off x="61" y="204"/>
              <a:ext cx="52" cy="7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3553" name="Group 2540"/>
            <xdr:cNvGrpSpPr>
              <a:grpSpLocks/>
            </xdr:cNvGrpSpPr>
          </xdr:nvGrpSpPr>
          <xdr:grpSpPr bwMode="auto">
            <a:xfrm>
              <a:off x="63" y="269"/>
              <a:ext cx="47" cy="5"/>
              <a:chOff x="204" y="283"/>
              <a:chExt cx="46" cy="7"/>
            </a:xfrm>
          </xdr:grpSpPr>
          <xdr:sp macro="" textlink="">
            <xdr:nvSpPr>
              <xdr:cNvPr id="53562" name="Line 2541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63" name="Line 2542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64" name="Line 2543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65" name="Line 2544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66" name="Line 2545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67" name="Line 2546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39" name="Text Box 2547"/>
            <xdr:cNvSpPr txBox="1">
              <a:spLocks noChangeArrowheads="1"/>
            </xdr:cNvSpPr>
          </xdr:nvSpPr>
          <xdr:spPr bwMode="auto">
            <a:xfrm>
              <a:off x="43" y="231"/>
              <a:ext cx="3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sp macro="" textlink="">
          <xdr:nvSpPr>
            <xdr:cNvPr id="10740" name="Text Box 2548"/>
            <xdr:cNvSpPr txBox="1">
              <a:spLocks noChangeArrowheads="1"/>
            </xdr:cNvSpPr>
          </xdr:nvSpPr>
          <xdr:spPr bwMode="auto">
            <a:xfrm>
              <a:off x="68" y="274"/>
              <a:ext cx="5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grpSp>
          <xdr:nvGrpSpPr>
            <xdr:cNvPr id="53556" name="Group 2549"/>
            <xdr:cNvGrpSpPr>
              <a:grpSpLocks/>
            </xdr:cNvGrpSpPr>
          </xdr:nvGrpSpPr>
          <xdr:grpSpPr bwMode="auto">
            <a:xfrm>
              <a:off x="71" y="213"/>
              <a:ext cx="45" cy="47"/>
              <a:chOff x="70" y="88"/>
              <a:chExt cx="45" cy="47"/>
            </a:xfrm>
          </xdr:grpSpPr>
          <xdr:sp macro="" textlink="">
            <xdr:nvSpPr>
              <xdr:cNvPr id="10742" name="Text Box 2550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endParaRPr lang="pt-BR"/>
              </a:p>
            </xdr:txBody>
          </xdr:sp>
          <xdr:sp macro="" textlink="">
            <xdr:nvSpPr>
              <xdr:cNvPr id="53558" name="Line 2551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59" name="Line 2552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45" name="Text Box 2553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10746" name="Text Box 2554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3327" name="Group 2555"/>
          <xdr:cNvGrpSpPr>
            <a:grpSpLocks/>
          </xdr:cNvGrpSpPr>
        </xdr:nvGrpSpPr>
        <xdr:grpSpPr bwMode="auto">
          <a:xfrm>
            <a:off x="7435" y="771"/>
            <a:ext cx="78" cy="93"/>
            <a:chOff x="44" y="337"/>
            <a:chExt cx="78" cy="94"/>
          </a:xfrm>
        </xdr:grpSpPr>
        <xdr:sp macro="" textlink="">
          <xdr:nvSpPr>
            <xdr:cNvPr id="53529" name="Rectangle 2556"/>
            <xdr:cNvSpPr>
              <a:spLocks noChangeArrowheads="1"/>
            </xdr:cNvSpPr>
          </xdr:nvSpPr>
          <xdr:spPr bwMode="auto">
            <a:xfrm>
              <a:off x="60" y="337"/>
              <a:ext cx="51" cy="7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3530" name="Group 2557"/>
            <xdr:cNvGrpSpPr>
              <a:grpSpLocks/>
            </xdr:cNvGrpSpPr>
          </xdr:nvGrpSpPr>
          <xdr:grpSpPr bwMode="auto">
            <a:xfrm>
              <a:off x="63" y="401"/>
              <a:ext cx="46" cy="7"/>
              <a:chOff x="204" y="283"/>
              <a:chExt cx="46" cy="7"/>
            </a:xfrm>
          </xdr:grpSpPr>
          <xdr:sp macro="" textlink="">
            <xdr:nvSpPr>
              <xdr:cNvPr id="53546" name="Line 2558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7" name="Line 2559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8" name="Line 2560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9" name="Line 2561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50" name="Line 2562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51" name="Line 2563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531" name="Group 2564"/>
            <xdr:cNvGrpSpPr>
              <a:grpSpLocks/>
            </xdr:cNvGrpSpPr>
          </xdr:nvGrpSpPr>
          <xdr:grpSpPr bwMode="auto">
            <a:xfrm>
              <a:off x="63" y="337"/>
              <a:ext cx="46" cy="5"/>
              <a:chOff x="204" y="283"/>
              <a:chExt cx="46" cy="7"/>
            </a:xfrm>
          </xdr:grpSpPr>
          <xdr:sp macro="" textlink="">
            <xdr:nvSpPr>
              <xdr:cNvPr id="53540" name="Line 2565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1" name="Line 2566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2" name="Line 2567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3" name="Line 2568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4" name="Line 2569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5" name="Line 2570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63" name="Text Box 2571"/>
            <xdr:cNvSpPr txBox="1">
              <a:spLocks noChangeArrowheads="1"/>
            </xdr:cNvSpPr>
          </xdr:nvSpPr>
          <xdr:spPr bwMode="auto">
            <a:xfrm>
              <a:off x="68" y="409"/>
              <a:ext cx="5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10764" name="Text Box 2572"/>
            <xdr:cNvSpPr txBox="1">
              <a:spLocks noChangeArrowheads="1"/>
            </xdr:cNvSpPr>
          </xdr:nvSpPr>
          <xdr:spPr bwMode="auto">
            <a:xfrm>
              <a:off x="44" y="363"/>
              <a:ext cx="35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3534" name="Group 2573"/>
            <xdr:cNvGrpSpPr>
              <a:grpSpLocks/>
            </xdr:cNvGrpSpPr>
          </xdr:nvGrpSpPr>
          <xdr:grpSpPr bwMode="auto">
            <a:xfrm>
              <a:off x="70" y="346"/>
              <a:ext cx="45" cy="47"/>
              <a:chOff x="70" y="88"/>
              <a:chExt cx="45" cy="47"/>
            </a:xfrm>
          </xdr:grpSpPr>
          <xdr:sp macro="" textlink="">
            <xdr:nvSpPr>
              <xdr:cNvPr id="10766" name="Text Box 2574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endParaRPr lang="pt-BR"/>
              </a:p>
            </xdr:txBody>
          </xdr:sp>
          <xdr:sp macro="" textlink="">
            <xdr:nvSpPr>
              <xdr:cNvPr id="53536" name="Line 2575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37" name="Line 2576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9" name="Text Box 2577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10770" name="Text Box 2578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3328" name="Group 2579"/>
          <xdr:cNvGrpSpPr>
            <a:grpSpLocks/>
          </xdr:cNvGrpSpPr>
        </xdr:nvGrpSpPr>
        <xdr:grpSpPr bwMode="auto">
          <a:xfrm>
            <a:off x="7433" y="979"/>
            <a:ext cx="75" cy="88"/>
            <a:chOff x="45" y="469"/>
            <a:chExt cx="75" cy="89"/>
          </a:xfrm>
        </xdr:grpSpPr>
        <xdr:sp macro="" textlink="">
          <xdr:nvSpPr>
            <xdr:cNvPr id="53509" name="Rectangle 2580"/>
            <xdr:cNvSpPr>
              <a:spLocks noChangeArrowheads="1"/>
            </xdr:cNvSpPr>
          </xdr:nvSpPr>
          <xdr:spPr bwMode="auto">
            <a:xfrm>
              <a:off x="61" y="469"/>
              <a:ext cx="51" cy="6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3510" name="Group 2581"/>
            <xdr:cNvGrpSpPr>
              <a:grpSpLocks/>
            </xdr:cNvGrpSpPr>
          </xdr:nvGrpSpPr>
          <xdr:grpSpPr bwMode="auto">
            <a:xfrm>
              <a:off x="61" y="471"/>
              <a:ext cx="7" cy="63"/>
              <a:chOff x="328" y="213"/>
              <a:chExt cx="7" cy="75"/>
            </a:xfrm>
          </xdr:grpSpPr>
          <xdr:sp macro="" textlink="">
            <xdr:nvSpPr>
              <xdr:cNvPr id="53519" name="Line 2582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0" name="Line 2583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1" name="Line 2584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2" name="Line 2585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3" name="Line 2586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4" name="Line 2587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5" name="Line 2588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6" name="Line 2589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7" name="Line 2590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8" name="Line 2591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84" name="Text Box 2592"/>
            <xdr:cNvSpPr txBox="1">
              <a:spLocks noChangeArrowheads="1"/>
            </xdr:cNvSpPr>
          </xdr:nvSpPr>
          <xdr:spPr bwMode="auto">
            <a:xfrm>
              <a:off x="68" y="538"/>
              <a:ext cx="52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10785" name="Text Box 2593"/>
            <xdr:cNvSpPr txBox="1">
              <a:spLocks noChangeArrowheads="1"/>
            </xdr:cNvSpPr>
          </xdr:nvSpPr>
          <xdr:spPr bwMode="auto">
            <a:xfrm>
              <a:off x="45" y="492"/>
              <a:ext cx="34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3513" name="Group 2594"/>
            <xdr:cNvGrpSpPr>
              <a:grpSpLocks/>
            </xdr:cNvGrpSpPr>
          </xdr:nvGrpSpPr>
          <xdr:grpSpPr bwMode="auto">
            <a:xfrm>
              <a:off x="71" y="476"/>
              <a:ext cx="45" cy="47"/>
              <a:chOff x="70" y="88"/>
              <a:chExt cx="45" cy="47"/>
            </a:xfrm>
          </xdr:grpSpPr>
          <xdr:sp macro="" textlink="">
            <xdr:nvSpPr>
              <xdr:cNvPr id="10787" name="Text Box 2595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4</a:t>
                </a:r>
                <a:endParaRPr lang="pt-BR"/>
              </a:p>
            </xdr:txBody>
          </xdr:sp>
          <xdr:sp macro="" textlink="">
            <xdr:nvSpPr>
              <xdr:cNvPr id="53515" name="Line 2596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16" name="Line 2597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90" name="Text Box 2598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10791" name="Text Box 2599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3329" name="Group 2600"/>
          <xdr:cNvGrpSpPr>
            <a:grpSpLocks/>
          </xdr:cNvGrpSpPr>
        </xdr:nvGrpSpPr>
        <xdr:grpSpPr bwMode="auto">
          <a:xfrm>
            <a:off x="7436" y="1184"/>
            <a:ext cx="76" cy="89"/>
            <a:chOff x="46" y="624"/>
            <a:chExt cx="76" cy="90"/>
          </a:xfrm>
        </xdr:grpSpPr>
        <xdr:sp macro="" textlink="">
          <xdr:nvSpPr>
            <xdr:cNvPr id="53482" name="Rectangle 2601"/>
            <xdr:cNvSpPr>
              <a:spLocks noChangeArrowheads="1"/>
            </xdr:cNvSpPr>
          </xdr:nvSpPr>
          <xdr:spPr bwMode="auto">
            <a:xfrm>
              <a:off x="62" y="624"/>
              <a:ext cx="50" cy="6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3483" name="Group 2602"/>
            <xdr:cNvGrpSpPr>
              <a:grpSpLocks/>
            </xdr:cNvGrpSpPr>
          </xdr:nvGrpSpPr>
          <xdr:grpSpPr bwMode="auto">
            <a:xfrm>
              <a:off x="66" y="686"/>
              <a:ext cx="44" cy="5"/>
              <a:chOff x="204" y="283"/>
              <a:chExt cx="46" cy="7"/>
            </a:xfrm>
          </xdr:grpSpPr>
          <xdr:sp macro="" textlink="">
            <xdr:nvSpPr>
              <xdr:cNvPr id="53503" name="Line 2603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4" name="Line 2604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5" name="Line 2605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6" name="Line 2606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7" name="Line 2607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8" name="Line 2608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484" name="Group 2609"/>
            <xdr:cNvGrpSpPr>
              <a:grpSpLocks/>
            </xdr:cNvGrpSpPr>
          </xdr:nvGrpSpPr>
          <xdr:grpSpPr bwMode="auto">
            <a:xfrm>
              <a:off x="62" y="625"/>
              <a:ext cx="7" cy="64"/>
              <a:chOff x="328" y="213"/>
              <a:chExt cx="7" cy="75"/>
            </a:xfrm>
          </xdr:grpSpPr>
          <xdr:sp macro="" textlink="">
            <xdr:nvSpPr>
              <xdr:cNvPr id="53493" name="Line 2610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94" name="Line 2611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95" name="Line 2612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96" name="Line 2613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97" name="Line 2614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98" name="Line 2615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99" name="Line 2616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0" name="Line 2617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1" name="Line 2618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2" name="Line 2619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12" name="Text Box 2620"/>
            <xdr:cNvSpPr txBox="1">
              <a:spLocks noChangeArrowheads="1"/>
            </xdr:cNvSpPr>
          </xdr:nvSpPr>
          <xdr:spPr bwMode="auto">
            <a:xfrm>
              <a:off x="69" y="693"/>
              <a:ext cx="53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10813" name="Text Box 2621"/>
            <xdr:cNvSpPr txBox="1">
              <a:spLocks noChangeArrowheads="1"/>
            </xdr:cNvSpPr>
          </xdr:nvSpPr>
          <xdr:spPr bwMode="auto">
            <a:xfrm>
              <a:off x="46" y="647"/>
              <a:ext cx="3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3487" name="Group 2622"/>
            <xdr:cNvGrpSpPr>
              <a:grpSpLocks/>
            </xdr:cNvGrpSpPr>
          </xdr:nvGrpSpPr>
          <xdr:grpSpPr bwMode="auto">
            <a:xfrm>
              <a:off x="71" y="631"/>
              <a:ext cx="45" cy="47"/>
              <a:chOff x="70" y="88"/>
              <a:chExt cx="45" cy="47"/>
            </a:xfrm>
          </xdr:grpSpPr>
          <xdr:sp macro="" textlink="">
            <xdr:nvSpPr>
              <xdr:cNvPr id="10815" name="Text Box 2623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5</a:t>
                </a:r>
                <a:endParaRPr lang="pt-BR"/>
              </a:p>
            </xdr:txBody>
          </xdr:sp>
          <xdr:sp macro="" textlink="">
            <xdr:nvSpPr>
              <xdr:cNvPr id="53489" name="Line 2624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90" name="Line 2625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18" name="Text Box 2626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10819" name="Text Box 2627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3330" name="Group 2628"/>
          <xdr:cNvGrpSpPr>
            <a:grpSpLocks/>
          </xdr:cNvGrpSpPr>
        </xdr:nvGrpSpPr>
        <xdr:grpSpPr bwMode="auto">
          <a:xfrm>
            <a:off x="7434" y="1389"/>
            <a:ext cx="74" cy="89"/>
            <a:chOff x="44" y="800"/>
            <a:chExt cx="74" cy="90"/>
          </a:xfrm>
        </xdr:grpSpPr>
        <xdr:sp macro="" textlink="">
          <xdr:nvSpPr>
            <xdr:cNvPr id="53448" name="Rectangle 2629"/>
            <xdr:cNvSpPr>
              <a:spLocks noChangeArrowheads="1"/>
            </xdr:cNvSpPr>
          </xdr:nvSpPr>
          <xdr:spPr bwMode="auto">
            <a:xfrm>
              <a:off x="61" y="800"/>
              <a:ext cx="50" cy="6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3449" name="Group 2630"/>
            <xdr:cNvGrpSpPr>
              <a:grpSpLocks/>
            </xdr:cNvGrpSpPr>
          </xdr:nvGrpSpPr>
          <xdr:grpSpPr bwMode="auto">
            <a:xfrm>
              <a:off x="67" y="863"/>
              <a:ext cx="43" cy="5"/>
              <a:chOff x="204" y="283"/>
              <a:chExt cx="46" cy="7"/>
            </a:xfrm>
          </xdr:grpSpPr>
          <xdr:sp macro="" textlink="">
            <xdr:nvSpPr>
              <xdr:cNvPr id="53476" name="Line 2631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77" name="Line 2632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78" name="Line 2633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79" name="Line 2634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0" name="Line 2635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1" name="Line 2636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450" name="Group 2637"/>
            <xdr:cNvGrpSpPr>
              <a:grpSpLocks/>
            </xdr:cNvGrpSpPr>
          </xdr:nvGrpSpPr>
          <xdr:grpSpPr bwMode="auto">
            <a:xfrm>
              <a:off x="61" y="802"/>
              <a:ext cx="7" cy="64"/>
              <a:chOff x="328" y="213"/>
              <a:chExt cx="7" cy="75"/>
            </a:xfrm>
          </xdr:grpSpPr>
          <xdr:sp macro="" textlink="">
            <xdr:nvSpPr>
              <xdr:cNvPr id="53466" name="Line 2638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7" name="Line 2639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8" name="Line 2640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9" name="Line 2641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70" name="Line 2642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71" name="Line 2643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72" name="Line 2644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73" name="Line 2645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74" name="Line 2646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75" name="Line 2647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451" name="Group 2648"/>
            <xdr:cNvGrpSpPr>
              <a:grpSpLocks/>
            </xdr:cNvGrpSpPr>
          </xdr:nvGrpSpPr>
          <xdr:grpSpPr bwMode="auto">
            <a:xfrm>
              <a:off x="66" y="800"/>
              <a:ext cx="43" cy="5"/>
              <a:chOff x="204" y="283"/>
              <a:chExt cx="46" cy="7"/>
            </a:xfrm>
          </xdr:grpSpPr>
          <xdr:sp macro="" textlink="">
            <xdr:nvSpPr>
              <xdr:cNvPr id="53460" name="Line 2649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1" name="Line 2650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2" name="Line 2651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3" name="Line 2652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4" name="Line 2653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5" name="Line 2654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47" name="Text Box 2655"/>
            <xdr:cNvSpPr txBox="1">
              <a:spLocks noChangeArrowheads="1"/>
            </xdr:cNvSpPr>
          </xdr:nvSpPr>
          <xdr:spPr bwMode="auto">
            <a:xfrm>
              <a:off x="67" y="868"/>
              <a:ext cx="51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10848" name="Text Box 2656"/>
            <xdr:cNvSpPr txBox="1">
              <a:spLocks noChangeArrowheads="1"/>
            </xdr:cNvSpPr>
          </xdr:nvSpPr>
          <xdr:spPr bwMode="auto">
            <a:xfrm>
              <a:off x="44" y="826"/>
              <a:ext cx="33" cy="1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3454" name="Group 2657"/>
            <xdr:cNvGrpSpPr>
              <a:grpSpLocks/>
            </xdr:cNvGrpSpPr>
          </xdr:nvGrpSpPr>
          <xdr:grpSpPr bwMode="auto">
            <a:xfrm>
              <a:off x="70" y="808"/>
              <a:ext cx="45" cy="47"/>
              <a:chOff x="70" y="88"/>
              <a:chExt cx="45" cy="47"/>
            </a:xfrm>
          </xdr:grpSpPr>
          <xdr:sp macro="" textlink="">
            <xdr:nvSpPr>
              <xdr:cNvPr id="10850" name="Text Box 2658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6</a:t>
                </a:r>
                <a:endParaRPr lang="pt-BR"/>
              </a:p>
            </xdr:txBody>
          </xdr:sp>
          <xdr:sp macro="" textlink="">
            <xdr:nvSpPr>
              <xdr:cNvPr id="53456" name="Line 2659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57" name="Line 2660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53" name="Text Box 2661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10854" name="Text Box 2662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3331" name="Group 2663"/>
          <xdr:cNvGrpSpPr>
            <a:grpSpLocks/>
          </xdr:cNvGrpSpPr>
        </xdr:nvGrpSpPr>
        <xdr:grpSpPr bwMode="auto">
          <a:xfrm>
            <a:off x="7430" y="1596"/>
            <a:ext cx="79" cy="93"/>
            <a:chOff x="40" y="938"/>
            <a:chExt cx="79" cy="95"/>
          </a:xfrm>
        </xdr:grpSpPr>
        <xdr:sp macro="" textlink="">
          <xdr:nvSpPr>
            <xdr:cNvPr id="53417" name="Rectangle 2664"/>
            <xdr:cNvSpPr>
              <a:spLocks noChangeArrowheads="1"/>
            </xdr:cNvSpPr>
          </xdr:nvSpPr>
          <xdr:spPr bwMode="auto">
            <a:xfrm>
              <a:off x="58" y="938"/>
              <a:ext cx="53" cy="7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3418" name="Group 2665"/>
            <xdr:cNvGrpSpPr>
              <a:grpSpLocks/>
            </xdr:cNvGrpSpPr>
          </xdr:nvGrpSpPr>
          <xdr:grpSpPr bwMode="auto">
            <a:xfrm>
              <a:off x="104" y="941"/>
              <a:ext cx="7" cy="67"/>
              <a:chOff x="328" y="213"/>
              <a:chExt cx="7" cy="75"/>
            </a:xfrm>
          </xdr:grpSpPr>
          <xdr:sp macro="" textlink="">
            <xdr:nvSpPr>
              <xdr:cNvPr id="53438" name="Line 2666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39" name="Line 2667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0" name="Line 2668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1" name="Line 2669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2" name="Line 2670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3" name="Line 2671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4" name="Line 2672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5" name="Line 2673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6" name="Line 2674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7" name="Line 2675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419" name="Group 2676"/>
            <xdr:cNvGrpSpPr>
              <a:grpSpLocks/>
            </xdr:cNvGrpSpPr>
          </xdr:nvGrpSpPr>
          <xdr:grpSpPr bwMode="auto">
            <a:xfrm>
              <a:off x="58" y="940"/>
              <a:ext cx="7" cy="67"/>
              <a:chOff x="328" y="213"/>
              <a:chExt cx="7" cy="75"/>
            </a:xfrm>
          </xdr:grpSpPr>
          <xdr:sp macro="" textlink="">
            <xdr:nvSpPr>
              <xdr:cNvPr id="53428" name="Line 2677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9" name="Line 2678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30" name="Line 2679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31" name="Line 2680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32" name="Line 2681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33" name="Line 2682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34" name="Line 2683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35" name="Line 2684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36" name="Line 2685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37" name="Line 2686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79" name="Text Box 2687"/>
            <xdr:cNvSpPr txBox="1">
              <a:spLocks noChangeArrowheads="1"/>
            </xdr:cNvSpPr>
          </xdr:nvSpPr>
          <xdr:spPr bwMode="auto">
            <a:xfrm>
              <a:off x="65" y="1011"/>
              <a:ext cx="54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10880" name="Text Box 2688"/>
            <xdr:cNvSpPr txBox="1">
              <a:spLocks noChangeArrowheads="1"/>
            </xdr:cNvSpPr>
          </xdr:nvSpPr>
          <xdr:spPr bwMode="auto">
            <a:xfrm>
              <a:off x="40" y="963"/>
              <a:ext cx="35" cy="2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3422" name="Group 2689"/>
            <xdr:cNvGrpSpPr>
              <a:grpSpLocks/>
            </xdr:cNvGrpSpPr>
          </xdr:nvGrpSpPr>
          <xdr:grpSpPr bwMode="auto">
            <a:xfrm>
              <a:off x="69" y="948"/>
              <a:ext cx="45" cy="47"/>
              <a:chOff x="70" y="88"/>
              <a:chExt cx="45" cy="47"/>
            </a:xfrm>
          </xdr:grpSpPr>
          <xdr:sp macro="" textlink="">
            <xdr:nvSpPr>
              <xdr:cNvPr id="10882" name="Text Box 2690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7</a:t>
                </a:r>
                <a:endParaRPr lang="pt-BR"/>
              </a:p>
            </xdr:txBody>
          </xdr:sp>
          <xdr:sp macro="" textlink="">
            <xdr:nvSpPr>
              <xdr:cNvPr id="53424" name="Line 2691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5" name="Line 2692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5" name="Text Box 2693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10886" name="Text Box 2694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3332" name="Group 2695"/>
          <xdr:cNvGrpSpPr>
            <a:grpSpLocks/>
          </xdr:cNvGrpSpPr>
        </xdr:nvGrpSpPr>
        <xdr:grpSpPr bwMode="auto">
          <a:xfrm>
            <a:off x="7437" y="1805"/>
            <a:ext cx="73" cy="89"/>
            <a:chOff x="44" y="1078"/>
            <a:chExt cx="73" cy="90"/>
          </a:xfrm>
        </xdr:grpSpPr>
        <xdr:sp macro="" textlink="">
          <xdr:nvSpPr>
            <xdr:cNvPr id="53379" name="Rectangle 2696"/>
            <xdr:cNvSpPr>
              <a:spLocks noChangeArrowheads="1"/>
            </xdr:cNvSpPr>
          </xdr:nvSpPr>
          <xdr:spPr bwMode="auto">
            <a:xfrm>
              <a:off x="59" y="1078"/>
              <a:ext cx="51" cy="6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3380" name="Group 2697"/>
            <xdr:cNvGrpSpPr>
              <a:grpSpLocks/>
            </xdr:cNvGrpSpPr>
          </xdr:nvGrpSpPr>
          <xdr:grpSpPr bwMode="auto">
            <a:xfrm>
              <a:off x="66" y="1140"/>
              <a:ext cx="42" cy="6"/>
              <a:chOff x="204" y="283"/>
              <a:chExt cx="46" cy="7"/>
            </a:xfrm>
          </xdr:grpSpPr>
          <xdr:sp macro="" textlink="">
            <xdr:nvSpPr>
              <xdr:cNvPr id="53411" name="Line 2698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12" name="Line 2699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13" name="Line 2700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14" name="Line 2701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15" name="Line 2702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16" name="Line 2703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81" name="Group 2704"/>
            <xdr:cNvGrpSpPr>
              <a:grpSpLocks/>
            </xdr:cNvGrpSpPr>
          </xdr:nvGrpSpPr>
          <xdr:grpSpPr bwMode="auto">
            <a:xfrm>
              <a:off x="102" y="1081"/>
              <a:ext cx="8" cy="63"/>
              <a:chOff x="328" y="213"/>
              <a:chExt cx="7" cy="75"/>
            </a:xfrm>
          </xdr:grpSpPr>
          <xdr:sp macro="" textlink="">
            <xdr:nvSpPr>
              <xdr:cNvPr id="53401" name="Line 2705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2" name="Line 2706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3" name="Line 2707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4" name="Line 2708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5" name="Line 2709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6" name="Line 2710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7" name="Line 2711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8" name="Line 2712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9" name="Line 2713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10" name="Line 2714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82" name="Group 2715"/>
            <xdr:cNvGrpSpPr>
              <a:grpSpLocks/>
            </xdr:cNvGrpSpPr>
          </xdr:nvGrpSpPr>
          <xdr:grpSpPr bwMode="auto">
            <a:xfrm>
              <a:off x="59" y="1080"/>
              <a:ext cx="7" cy="63"/>
              <a:chOff x="328" y="213"/>
              <a:chExt cx="7" cy="75"/>
            </a:xfrm>
          </xdr:grpSpPr>
          <xdr:sp macro="" textlink="">
            <xdr:nvSpPr>
              <xdr:cNvPr id="53391" name="Line 2716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92" name="Line 2717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93" name="Line 2718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94" name="Line 2719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95" name="Line 2720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96" name="Line 2721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97" name="Line 2722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98" name="Line 2723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99" name="Line 2724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0" name="Line 2725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18" name="Text Box 2726"/>
            <xdr:cNvSpPr txBox="1">
              <a:spLocks noChangeArrowheads="1"/>
            </xdr:cNvSpPr>
          </xdr:nvSpPr>
          <xdr:spPr bwMode="auto">
            <a:xfrm>
              <a:off x="66" y="1147"/>
              <a:ext cx="51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10919" name="Text Box 2727"/>
            <xdr:cNvSpPr txBox="1">
              <a:spLocks noChangeArrowheads="1"/>
            </xdr:cNvSpPr>
          </xdr:nvSpPr>
          <xdr:spPr bwMode="auto">
            <a:xfrm>
              <a:off x="44" y="1105"/>
              <a:ext cx="33" cy="1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3385" name="Group 2728"/>
            <xdr:cNvGrpSpPr>
              <a:grpSpLocks/>
            </xdr:cNvGrpSpPr>
          </xdr:nvGrpSpPr>
          <xdr:grpSpPr bwMode="auto">
            <a:xfrm>
              <a:off x="67" y="1086"/>
              <a:ext cx="45" cy="47"/>
              <a:chOff x="70" y="88"/>
              <a:chExt cx="45" cy="47"/>
            </a:xfrm>
          </xdr:grpSpPr>
          <xdr:sp macro="" textlink="">
            <xdr:nvSpPr>
              <xdr:cNvPr id="10921" name="Text Box 2729"/>
              <xdr:cNvSpPr txBox="1">
                <a:spLocks noChangeArrowheads="1"/>
              </xdr:cNvSpPr>
            </xdr:nvSpPr>
            <xdr:spPr bwMode="auto">
              <a:xfrm>
                <a:off x="70" y="105"/>
                <a:ext cx="3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8</a:t>
                </a:r>
                <a:endParaRPr lang="pt-BR"/>
              </a:p>
            </xdr:txBody>
          </xdr:sp>
          <xdr:sp macro="" textlink="">
            <xdr:nvSpPr>
              <xdr:cNvPr id="53387" name="Line 2730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8" name="Line 2731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24" name="Text Box 2732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10925" name="Text Box 2733"/>
              <xdr:cNvSpPr txBox="1">
                <a:spLocks noChangeArrowheads="1"/>
              </xdr:cNvSpPr>
            </xdr:nvSpPr>
            <xdr:spPr bwMode="auto">
              <a:xfrm>
                <a:off x="95" y="111"/>
                <a:ext cx="20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  <xdr:grpSp>
        <xdr:nvGrpSpPr>
          <xdr:cNvPr id="53333" name="Group 2734"/>
          <xdr:cNvGrpSpPr>
            <a:grpSpLocks/>
          </xdr:cNvGrpSpPr>
        </xdr:nvGrpSpPr>
        <xdr:grpSpPr bwMode="auto">
          <a:xfrm>
            <a:off x="7436" y="2024"/>
            <a:ext cx="74" cy="87"/>
            <a:chOff x="43" y="1227"/>
            <a:chExt cx="74" cy="89"/>
          </a:xfrm>
        </xdr:grpSpPr>
        <xdr:sp macro="" textlink="">
          <xdr:nvSpPr>
            <xdr:cNvPr id="53334" name="Rectangle 2735"/>
            <xdr:cNvSpPr>
              <a:spLocks noChangeArrowheads="1"/>
            </xdr:cNvSpPr>
          </xdr:nvSpPr>
          <xdr:spPr bwMode="auto">
            <a:xfrm>
              <a:off x="60" y="1227"/>
              <a:ext cx="50" cy="6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3335" name="Group 2736"/>
            <xdr:cNvGrpSpPr>
              <a:grpSpLocks/>
            </xdr:cNvGrpSpPr>
          </xdr:nvGrpSpPr>
          <xdr:grpSpPr bwMode="auto">
            <a:xfrm>
              <a:off x="66" y="1288"/>
              <a:ext cx="42" cy="7"/>
              <a:chOff x="204" y="283"/>
              <a:chExt cx="46" cy="7"/>
            </a:xfrm>
          </xdr:grpSpPr>
          <xdr:sp macro="" textlink="">
            <xdr:nvSpPr>
              <xdr:cNvPr id="53373" name="Line 2737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74" name="Line 2738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75" name="Line 2739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76" name="Line 2740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77" name="Line 2741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78" name="Line 2742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6" name="Group 2743"/>
            <xdr:cNvGrpSpPr>
              <a:grpSpLocks/>
            </xdr:cNvGrpSpPr>
          </xdr:nvGrpSpPr>
          <xdr:grpSpPr bwMode="auto">
            <a:xfrm>
              <a:off x="103" y="1230"/>
              <a:ext cx="7" cy="63"/>
              <a:chOff x="328" y="213"/>
              <a:chExt cx="7" cy="75"/>
            </a:xfrm>
          </xdr:grpSpPr>
          <xdr:sp macro="" textlink="">
            <xdr:nvSpPr>
              <xdr:cNvPr id="53363" name="Line 2744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4" name="Line 2745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5" name="Line 2746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6" name="Line 2747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7" name="Line 2748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8" name="Line 2749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9" name="Line 2750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70" name="Line 2751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71" name="Line 2752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72" name="Line 2753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7" name="Group 2754"/>
            <xdr:cNvGrpSpPr>
              <a:grpSpLocks/>
            </xdr:cNvGrpSpPr>
          </xdr:nvGrpSpPr>
          <xdr:grpSpPr bwMode="auto">
            <a:xfrm>
              <a:off x="61" y="1229"/>
              <a:ext cx="7" cy="62"/>
              <a:chOff x="328" y="213"/>
              <a:chExt cx="7" cy="75"/>
            </a:xfrm>
          </xdr:grpSpPr>
          <xdr:sp macro="" textlink="">
            <xdr:nvSpPr>
              <xdr:cNvPr id="53353" name="Line 2755"/>
              <xdr:cNvSpPr>
                <a:spLocks noChangeShapeType="1"/>
              </xdr:cNvSpPr>
            </xdr:nvSpPr>
            <xdr:spPr bwMode="auto">
              <a:xfrm rot="5400000" flipH="1" flipV="1">
                <a:off x="328" y="267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54" name="Line 2756"/>
              <xdr:cNvSpPr>
                <a:spLocks noChangeShapeType="1"/>
              </xdr:cNvSpPr>
            </xdr:nvSpPr>
            <xdr:spPr bwMode="auto">
              <a:xfrm rot="5400000" flipH="1" flipV="1">
                <a:off x="328" y="259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55" name="Line 2757"/>
              <xdr:cNvSpPr>
                <a:spLocks noChangeShapeType="1"/>
              </xdr:cNvSpPr>
            </xdr:nvSpPr>
            <xdr:spPr bwMode="auto">
              <a:xfrm rot="5400000" flipH="1" flipV="1">
                <a:off x="328" y="25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56" name="Line 2758"/>
              <xdr:cNvSpPr>
                <a:spLocks noChangeShapeType="1"/>
              </xdr:cNvSpPr>
            </xdr:nvSpPr>
            <xdr:spPr bwMode="auto">
              <a:xfrm rot="5400000" flipH="1" flipV="1">
                <a:off x="328" y="236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57" name="Line 2759"/>
              <xdr:cNvSpPr>
                <a:spLocks noChangeShapeType="1"/>
              </xdr:cNvSpPr>
            </xdr:nvSpPr>
            <xdr:spPr bwMode="auto">
              <a:xfrm rot="5400000" flipH="1" flipV="1">
                <a:off x="328" y="24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58" name="Line 2760"/>
              <xdr:cNvSpPr>
                <a:spLocks noChangeShapeType="1"/>
              </xdr:cNvSpPr>
            </xdr:nvSpPr>
            <xdr:spPr bwMode="auto">
              <a:xfrm rot="5400000" flipH="1" flipV="1">
                <a:off x="328" y="228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59" name="Line 2761"/>
              <xdr:cNvSpPr>
                <a:spLocks noChangeShapeType="1"/>
              </xdr:cNvSpPr>
            </xdr:nvSpPr>
            <xdr:spPr bwMode="auto">
              <a:xfrm rot="5400000" flipH="1" flipV="1">
                <a:off x="328" y="220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0" name="Line 2762"/>
              <xdr:cNvSpPr>
                <a:spLocks noChangeShapeType="1"/>
              </xdr:cNvSpPr>
            </xdr:nvSpPr>
            <xdr:spPr bwMode="auto">
              <a:xfrm rot="5400000" flipH="1" flipV="1">
                <a:off x="328" y="21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1" name="Line 2763"/>
              <xdr:cNvSpPr>
                <a:spLocks noChangeShapeType="1"/>
              </xdr:cNvSpPr>
            </xdr:nvSpPr>
            <xdr:spPr bwMode="auto">
              <a:xfrm rot="5400000" flipH="1" flipV="1">
                <a:off x="328" y="274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2" name="Line 2764"/>
              <xdr:cNvSpPr>
                <a:spLocks noChangeShapeType="1"/>
              </xdr:cNvSpPr>
            </xdr:nvSpPr>
            <xdr:spPr bwMode="auto">
              <a:xfrm rot="5400000" flipH="1" flipV="1">
                <a:off x="328" y="281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8" name="Group 2765"/>
            <xdr:cNvGrpSpPr>
              <a:grpSpLocks/>
            </xdr:cNvGrpSpPr>
          </xdr:nvGrpSpPr>
          <xdr:grpSpPr bwMode="auto">
            <a:xfrm>
              <a:off x="63" y="1227"/>
              <a:ext cx="42" cy="6"/>
              <a:chOff x="204" y="283"/>
              <a:chExt cx="46" cy="7"/>
            </a:xfrm>
          </xdr:grpSpPr>
          <xdr:sp macro="" textlink="">
            <xdr:nvSpPr>
              <xdr:cNvPr id="53347" name="Line 2766"/>
              <xdr:cNvSpPr>
                <a:spLocks noChangeShapeType="1"/>
              </xdr:cNvSpPr>
            </xdr:nvSpPr>
            <xdr:spPr bwMode="auto">
              <a:xfrm flipV="1">
                <a:off x="204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48" name="Line 2767"/>
              <xdr:cNvSpPr>
                <a:spLocks noChangeShapeType="1"/>
              </xdr:cNvSpPr>
            </xdr:nvSpPr>
            <xdr:spPr bwMode="auto">
              <a:xfrm flipV="1">
                <a:off x="212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49" name="Line 2768"/>
              <xdr:cNvSpPr>
                <a:spLocks noChangeShapeType="1"/>
              </xdr:cNvSpPr>
            </xdr:nvSpPr>
            <xdr:spPr bwMode="auto">
              <a:xfrm flipV="1">
                <a:off x="220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50" name="Line 2769"/>
              <xdr:cNvSpPr>
                <a:spLocks noChangeShapeType="1"/>
              </xdr:cNvSpPr>
            </xdr:nvSpPr>
            <xdr:spPr bwMode="auto">
              <a:xfrm flipV="1">
                <a:off x="235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51" name="Line 2770"/>
              <xdr:cNvSpPr>
                <a:spLocks noChangeShapeType="1"/>
              </xdr:cNvSpPr>
            </xdr:nvSpPr>
            <xdr:spPr bwMode="auto">
              <a:xfrm flipV="1">
                <a:off x="227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52" name="Line 2771"/>
              <xdr:cNvSpPr>
                <a:spLocks noChangeShapeType="1"/>
              </xdr:cNvSpPr>
            </xdr:nvSpPr>
            <xdr:spPr bwMode="auto">
              <a:xfrm flipV="1">
                <a:off x="243" y="283"/>
                <a:ext cx="7" cy="7"/>
              </a:xfrm>
              <a:prstGeom prst="line">
                <a:avLst/>
              </a:prstGeom>
              <a:noFill/>
              <a:ln w="19050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4" name="Text Box 2772"/>
            <xdr:cNvSpPr txBox="1">
              <a:spLocks noChangeArrowheads="1"/>
            </xdr:cNvSpPr>
          </xdr:nvSpPr>
          <xdr:spPr bwMode="auto">
            <a:xfrm>
              <a:off x="66" y="1295"/>
              <a:ext cx="51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eolus"/>
                  <a:cs typeface="Arial"/>
                </a:rPr>
                <a:t> </a:t>
              </a:r>
              <a:r>
                <a:rPr lang="pt-BR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</a:t>
              </a: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b</a:t>
              </a:r>
              <a:endParaRPr lang="pt-BR"/>
            </a:p>
          </xdr:txBody>
        </xdr:sp>
        <xdr:sp macro="" textlink="">
          <xdr:nvSpPr>
            <xdr:cNvPr id="10965" name="Text Box 2773"/>
            <xdr:cNvSpPr txBox="1">
              <a:spLocks noChangeArrowheads="1"/>
            </xdr:cNvSpPr>
          </xdr:nvSpPr>
          <xdr:spPr bwMode="auto">
            <a:xfrm>
              <a:off x="43" y="1252"/>
              <a:ext cx="33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</a:t>
              </a:r>
              <a:endParaRPr lang="pt-BR"/>
            </a:p>
          </xdr:txBody>
        </xdr:sp>
        <xdr:grpSp>
          <xdr:nvGrpSpPr>
            <xdr:cNvPr id="53341" name="Group 2774"/>
            <xdr:cNvGrpSpPr>
              <a:grpSpLocks/>
            </xdr:cNvGrpSpPr>
          </xdr:nvGrpSpPr>
          <xdr:grpSpPr bwMode="auto">
            <a:xfrm>
              <a:off x="69" y="1234"/>
              <a:ext cx="45" cy="47"/>
              <a:chOff x="70" y="88"/>
              <a:chExt cx="45" cy="47"/>
            </a:xfrm>
          </xdr:grpSpPr>
          <xdr:sp macro="" textlink="">
            <xdr:nvSpPr>
              <xdr:cNvPr id="10967" name="Text Box 2775"/>
              <xdr:cNvSpPr txBox="1">
                <a:spLocks noChangeArrowheads="1"/>
              </xdr:cNvSpPr>
            </xdr:nvSpPr>
            <xdr:spPr bwMode="auto">
              <a:xfrm>
                <a:off x="70" y="111"/>
                <a:ext cx="32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9</a:t>
                </a:r>
                <a:endParaRPr lang="pt-BR"/>
              </a:p>
            </xdr:txBody>
          </xdr:sp>
          <xdr:sp macro="" textlink="">
            <xdr:nvSpPr>
              <xdr:cNvPr id="53343" name="Line 2776"/>
              <xdr:cNvSpPr>
                <a:spLocks noChangeShapeType="1"/>
              </xdr:cNvSpPr>
            </xdr:nvSpPr>
            <xdr:spPr bwMode="auto">
              <a:xfrm>
                <a:off x="71" y="125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44" name="Line 2777"/>
              <xdr:cNvSpPr>
                <a:spLocks noChangeShapeType="1"/>
              </xdr:cNvSpPr>
            </xdr:nvSpPr>
            <xdr:spPr bwMode="auto">
              <a:xfrm flipV="1">
                <a:off x="77" y="105"/>
                <a:ext cx="0" cy="25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70" name="Text Box 2778"/>
              <xdr:cNvSpPr txBox="1">
                <a:spLocks noChangeArrowheads="1"/>
              </xdr:cNvSpPr>
            </xdr:nvSpPr>
            <xdr:spPr bwMode="auto">
              <a:xfrm>
                <a:off x="72" y="88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endParaRPr lang="pt-BR"/>
              </a:p>
            </xdr:txBody>
          </xdr:sp>
          <xdr:sp macro="" textlink="">
            <xdr:nvSpPr>
              <xdr:cNvPr id="10971" name="Text Box 2779"/>
              <xdr:cNvSpPr txBox="1">
                <a:spLocks noChangeArrowheads="1"/>
              </xdr:cNvSpPr>
            </xdr:nvSpPr>
            <xdr:spPr bwMode="auto">
              <a:xfrm>
                <a:off x="95" y="116"/>
                <a:ext cx="20" cy="1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</a:t>
                </a:r>
                <a:endParaRPr lang="pt-BR"/>
              </a:p>
            </xdr:txBody>
          </xdr:sp>
        </xdr:grpSp>
      </xdr:grp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05"/>
  <sheetViews>
    <sheetView showGridLines="0" tabSelected="1" workbookViewId="0">
      <selection activeCell="Y18" sqref="Y18:Y19"/>
    </sheetView>
  </sheetViews>
  <sheetFormatPr defaultRowHeight="12.75" x14ac:dyDescent="0.2"/>
  <cols>
    <col min="1" max="1" width="3.140625" customWidth="1"/>
    <col min="2" max="2" width="1.7109375" customWidth="1"/>
    <col min="3" max="3" width="10.7109375" customWidth="1"/>
    <col min="4" max="5" width="11" customWidth="1"/>
    <col min="6" max="9" width="10.7109375" customWidth="1"/>
    <col min="10" max="10" width="2.7109375" customWidth="1"/>
    <col min="11" max="11" width="2.42578125" customWidth="1"/>
    <col min="12" max="22" width="3.28515625" customWidth="1"/>
    <col min="23" max="23" width="2.5703125" customWidth="1"/>
    <col min="24" max="24" width="2.140625" customWidth="1"/>
    <col min="25" max="25" width="19.5703125" customWidth="1"/>
    <col min="26" max="26" width="13.42578125" customWidth="1"/>
    <col min="27" max="27" width="5.42578125" customWidth="1"/>
    <col min="28" max="29" width="4.5703125" customWidth="1"/>
    <col min="30" max="30" width="5" customWidth="1"/>
    <col min="31" max="31" width="4.42578125" customWidth="1"/>
    <col min="32" max="40" width="10.7109375" customWidth="1"/>
  </cols>
  <sheetData>
    <row r="1" spans="1:52" ht="12.75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52" ht="12.75" customHeight="1" x14ac:dyDescent="0.2">
      <c r="A2" s="5"/>
      <c r="B2" s="437" t="s">
        <v>674</v>
      </c>
      <c r="C2" s="438"/>
      <c r="D2" s="438"/>
      <c r="E2" s="438"/>
      <c r="F2" s="438"/>
      <c r="G2" s="438"/>
      <c r="H2" s="439"/>
      <c r="I2" s="449" t="s">
        <v>667</v>
      </c>
      <c r="J2" s="450"/>
      <c r="K2" s="450"/>
      <c r="L2" s="450"/>
      <c r="M2" s="450"/>
      <c r="N2" s="450"/>
      <c r="O2" s="450"/>
      <c r="P2" s="450"/>
      <c r="Q2" s="450"/>
      <c r="R2" s="450"/>
      <c r="S2" s="450"/>
      <c r="T2" s="450"/>
      <c r="U2" s="450"/>
      <c r="V2" s="450"/>
      <c r="W2" s="450"/>
      <c r="X2" s="451"/>
    </row>
    <row r="3" spans="1:52" ht="12.75" customHeight="1" x14ac:dyDescent="0.2">
      <c r="A3" s="5"/>
      <c r="B3" s="440"/>
      <c r="C3" s="441"/>
      <c r="D3" s="441"/>
      <c r="E3" s="441"/>
      <c r="F3" s="441"/>
      <c r="G3" s="441"/>
      <c r="H3" s="442"/>
      <c r="I3" s="446" t="s">
        <v>6</v>
      </c>
      <c r="J3" s="447"/>
      <c r="K3" s="448"/>
      <c r="L3" s="390" t="s">
        <v>670</v>
      </c>
      <c r="M3" s="391"/>
      <c r="N3" s="391"/>
      <c r="O3" s="391"/>
      <c r="P3" s="391"/>
      <c r="Q3" s="391"/>
      <c r="R3" s="391"/>
      <c r="S3" s="391"/>
      <c r="T3" s="392"/>
      <c r="U3" s="388" t="s">
        <v>4</v>
      </c>
      <c r="V3" s="388"/>
      <c r="W3" s="388"/>
      <c r="X3" s="388"/>
    </row>
    <row r="4" spans="1:52" ht="12.75" customHeight="1" x14ac:dyDescent="0.2">
      <c r="A4" s="5"/>
      <c r="B4" s="440"/>
      <c r="C4" s="441"/>
      <c r="D4" s="441"/>
      <c r="E4" s="441"/>
      <c r="F4" s="441"/>
      <c r="G4" s="441"/>
      <c r="H4" s="442"/>
      <c r="I4" s="446" t="s">
        <v>7</v>
      </c>
      <c r="J4" s="447"/>
      <c r="K4" s="448"/>
      <c r="L4" s="393"/>
      <c r="M4" s="394"/>
      <c r="N4" s="394"/>
      <c r="O4" s="394"/>
      <c r="P4" s="394"/>
      <c r="Q4" s="394"/>
      <c r="R4" s="394"/>
      <c r="S4" s="394"/>
      <c r="T4" s="395"/>
      <c r="U4" s="389">
        <f ca="1">TODAY()</f>
        <v>43339</v>
      </c>
      <c r="V4" s="389"/>
      <c r="W4" s="389"/>
      <c r="X4" s="389"/>
    </row>
    <row r="5" spans="1:52" ht="12.75" customHeight="1" x14ac:dyDescent="0.2">
      <c r="A5" s="5"/>
      <c r="B5" s="440"/>
      <c r="C5" s="441"/>
      <c r="D5" s="441"/>
      <c r="E5" s="441"/>
      <c r="F5" s="441"/>
      <c r="G5" s="441"/>
      <c r="H5" s="442"/>
      <c r="I5" s="430" t="s">
        <v>8</v>
      </c>
      <c r="J5" s="431"/>
      <c r="K5" s="432"/>
      <c r="L5" s="424" t="s">
        <v>671</v>
      </c>
      <c r="M5" s="425"/>
      <c r="N5" s="425"/>
      <c r="O5" s="425"/>
      <c r="P5" s="425"/>
      <c r="Q5" s="425"/>
      <c r="R5" s="425"/>
      <c r="S5" s="425"/>
      <c r="T5" s="426"/>
      <c r="U5" s="388" t="s">
        <v>5</v>
      </c>
      <c r="V5" s="388"/>
      <c r="W5" s="388"/>
      <c r="X5" s="388"/>
    </row>
    <row r="6" spans="1:52" ht="12.75" customHeight="1" x14ac:dyDescent="0.2">
      <c r="A6" s="5"/>
      <c r="B6" s="443"/>
      <c r="C6" s="444"/>
      <c r="D6" s="444"/>
      <c r="E6" s="444"/>
      <c r="F6" s="444"/>
      <c r="G6" s="444"/>
      <c r="H6" s="445"/>
      <c r="I6" s="433"/>
      <c r="J6" s="434"/>
      <c r="K6" s="435"/>
      <c r="L6" s="427"/>
      <c r="M6" s="428"/>
      <c r="N6" s="428"/>
      <c r="O6" s="428"/>
      <c r="P6" s="428"/>
      <c r="Q6" s="428"/>
      <c r="R6" s="428"/>
      <c r="S6" s="428"/>
      <c r="T6" s="429"/>
      <c r="U6" s="398"/>
      <c r="V6" s="398"/>
      <c r="W6" s="398"/>
      <c r="X6" s="398"/>
    </row>
    <row r="7" spans="1:52" ht="13.5" customHeight="1" x14ac:dyDescent="0.2">
      <c r="A7" s="5"/>
      <c r="B7" s="106"/>
      <c r="C7" s="107" t="s">
        <v>672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108" t="s">
        <v>673</v>
      </c>
      <c r="X7" s="109"/>
      <c r="AZ7" s="2"/>
    </row>
    <row r="8" spans="1:52" ht="13.5" customHeight="1" x14ac:dyDescent="0.3">
      <c r="A8" s="5"/>
      <c r="B8" s="106"/>
      <c r="C8" s="66"/>
      <c r="D8" s="66"/>
      <c r="E8" s="66"/>
      <c r="F8" s="66"/>
      <c r="G8" s="66"/>
      <c r="H8" s="66"/>
      <c r="I8" s="66"/>
      <c r="J8" s="66"/>
      <c r="K8" s="66"/>
      <c r="L8" s="401" t="str">
        <f>IF(AA13&lt;=2,"Laje em 2 direções","Laje em 1 direção")</f>
        <v>Laje em 2 direções</v>
      </c>
      <c r="M8" s="401"/>
      <c r="N8" s="401"/>
      <c r="O8" s="401"/>
      <c r="P8" s="401"/>
      <c r="Q8" s="401"/>
      <c r="R8" s="401"/>
      <c r="S8" s="401"/>
      <c r="T8" s="401"/>
      <c r="U8" s="401"/>
      <c r="V8" s="401"/>
      <c r="W8" s="66"/>
      <c r="X8" s="109"/>
      <c r="Z8" s="333" t="s">
        <v>281</v>
      </c>
      <c r="AA8" s="144">
        <f>IF(AA10=1,R12,R16)</f>
        <v>12</v>
      </c>
    </row>
    <row r="9" spans="1:52" ht="13.5" customHeight="1" thickBot="1" x14ac:dyDescent="0.25">
      <c r="A9" s="5"/>
      <c r="B9" s="106"/>
      <c r="C9" s="416" t="s">
        <v>0</v>
      </c>
      <c r="D9" s="416"/>
      <c r="E9" s="66"/>
      <c r="F9" s="119"/>
      <c r="G9" s="119"/>
      <c r="H9" s="66"/>
      <c r="I9" s="66"/>
      <c r="J9" s="66"/>
      <c r="K9" s="66"/>
      <c r="L9" s="190" t="str">
        <f>IF($AD$17=2,"x","")</f>
        <v>x</v>
      </c>
      <c r="M9" s="190" t="str">
        <f t="shared" ref="M9:V9" si="0">IF($AD$17=2,"x","")</f>
        <v>x</v>
      </c>
      <c r="N9" s="190" t="str">
        <f t="shared" si="0"/>
        <v>x</v>
      </c>
      <c r="O9" s="190" t="str">
        <f t="shared" si="0"/>
        <v>x</v>
      </c>
      <c r="P9" s="190" t="str">
        <f t="shared" si="0"/>
        <v>x</v>
      </c>
      <c r="Q9" s="190" t="str">
        <f t="shared" si="0"/>
        <v>x</v>
      </c>
      <c r="R9" s="190" t="str">
        <f t="shared" si="0"/>
        <v>x</v>
      </c>
      <c r="S9" s="190" t="str">
        <f t="shared" si="0"/>
        <v>x</v>
      </c>
      <c r="T9" s="190" t="str">
        <f t="shared" si="0"/>
        <v>x</v>
      </c>
      <c r="U9" s="190" t="str">
        <f t="shared" si="0"/>
        <v>x</v>
      </c>
      <c r="V9" s="190" t="str">
        <f t="shared" si="0"/>
        <v>x</v>
      </c>
      <c r="W9" s="66"/>
      <c r="X9" s="109"/>
      <c r="AB9" s="332"/>
      <c r="AO9" s="4"/>
    </row>
    <row r="10" spans="1:52" ht="13.5" customHeight="1" thickTop="1" thickBot="1" x14ac:dyDescent="0.25">
      <c r="A10" s="5"/>
      <c r="B10" s="110"/>
      <c r="C10" s="160" t="s">
        <v>11</v>
      </c>
      <c r="D10" s="89">
        <v>25</v>
      </c>
      <c r="E10" s="66"/>
      <c r="F10" s="66"/>
      <c r="G10" s="66"/>
      <c r="H10" s="66"/>
      <c r="I10" s="66"/>
      <c r="J10" s="66"/>
      <c r="K10" s="79" t="str">
        <f>IF($AA$17=2,"x","")</f>
        <v/>
      </c>
      <c r="L10" s="111"/>
      <c r="M10" s="112"/>
      <c r="N10" s="112"/>
      <c r="O10" s="112"/>
      <c r="P10" s="112"/>
      <c r="Q10" s="112"/>
      <c r="R10" s="112"/>
      <c r="S10" s="112"/>
      <c r="T10" s="112"/>
      <c r="U10" s="112"/>
      <c r="V10" s="113"/>
      <c r="W10" s="79" t="str">
        <f>IF($AB$17=2,"x","")</f>
        <v/>
      </c>
      <c r="X10" s="114"/>
      <c r="Z10" s="4" t="s">
        <v>615</v>
      </c>
      <c r="AA10" s="11">
        <v>1</v>
      </c>
    </row>
    <row r="11" spans="1:52" ht="13.5" customHeight="1" thickTop="1" thickBot="1" x14ac:dyDescent="0.25">
      <c r="A11" s="5"/>
      <c r="B11" s="110"/>
      <c r="C11" s="159" t="s">
        <v>154</v>
      </c>
      <c r="D11" s="194">
        <f>IF($H$12="NBR",4760*SQRT(D10),22000*((D10+8)/10)^0.3)</f>
        <v>23800</v>
      </c>
      <c r="E11" s="66"/>
      <c r="F11" s="104"/>
      <c r="G11" s="104"/>
      <c r="H11" s="1"/>
      <c r="I11" s="1"/>
      <c r="J11" s="66"/>
      <c r="K11" s="79" t="str">
        <f t="shared" ref="K11:K24" si="1">IF($AA$17=2,"x","")</f>
        <v/>
      </c>
      <c r="L11" s="106"/>
      <c r="M11" s="66"/>
      <c r="N11" s="66"/>
      <c r="O11" s="66"/>
      <c r="P11" s="66"/>
      <c r="Q11" s="66"/>
      <c r="R11" s="66"/>
      <c r="S11" s="66"/>
      <c r="T11" s="66"/>
      <c r="U11" s="66"/>
      <c r="V11" s="109"/>
      <c r="W11" s="79" t="str">
        <f t="shared" ref="W11:W24" si="2">IF($AB$17=2,"x","")</f>
        <v/>
      </c>
      <c r="X11" s="114"/>
      <c r="Z11" s="4" t="s">
        <v>133</v>
      </c>
      <c r="AA11" s="11">
        <v>1</v>
      </c>
    </row>
    <row r="12" spans="1:52" ht="13.5" customHeight="1" thickTop="1" thickBot="1" x14ac:dyDescent="0.25">
      <c r="A12" s="5"/>
      <c r="B12" s="110"/>
      <c r="C12" s="1"/>
      <c r="D12" s="1"/>
      <c r="E12" s="66"/>
      <c r="F12" s="460" t="s">
        <v>536</v>
      </c>
      <c r="G12" s="461"/>
      <c r="H12" s="414" t="s">
        <v>512</v>
      </c>
      <c r="I12" s="415"/>
      <c r="J12" s="66"/>
      <c r="K12" s="79" t="str">
        <f t="shared" si="1"/>
        <v/>
      </c>
      <c r="L12" s="115"/>
      <c r="M12" s="116"/>
      <c r="N12" s="117" t="s">
        <v>33</v>
      </c>
      <c r="O12" s="66"/>
      <c r="P12" s="117"/>
      <c r="Q12" s="116" t="s">
        <v>43</v>
      </c>
      <c r="R12" s="422">
        <v>12</v>
      </c>
      <c r="S12" s="423"/>
      <c r="T12" s="119" t="s">
        <v>19</v>
      </c>
      <c r="U12" s="66"/>
      <c r="V12" s="109"/>
      <c r="W12" s="79" t="str">
        <f t="shared" si="2"/>
        <v/>
      </c>
      <c r="X12" s="114"/>
      <c r="Y12" s="5"/>
      <c r="Z12" s="88" t="s">
        <v>34</v>
      </c>
      <c r="AA12" s="101">
        <f>INDEX($Z$18:$Z$33,MATCH(0,$AE$18:$AE$33,0))</f>
        <v>2</v>
      </c>
    </row>
    <row r="13" spans="1:52" ht="13.5" customHeight="1" thickTop="1" thickBot="1" x14ac:dyDescent="0.25">
      <c r="A13" s="5"/>
      <c r="B13" s="110"/>
      <c r="C13" s="416" t="s">
        <v>1</v>
      </c>
      <c r="D13" s="416"/>
      <c r="E13" s="66"/>
      <c r="F13" s="104"/>
      <c r="G13" s="1"/>
      <c r="H13" s="1"/>
      <c r="I13" s="1"/>
      <c r="J13" s="66"/>
      <c r="K13" s="79" t="str">
        <f t="shared" si="1"/>
        <v/>
      </c>
      <c r="L13" s="106"/>
      <c r="M13" s="66"/>
      <c r="N13" s="418">
        <v>5</v>
      </c>
      <c r="O13" s="66"/>
      <c r="P13" s="118"/>
      <c r="Q13" s="66"/>
      <c r="R13" s="66"/>
      <c r="S13" s="66"/>
      <c r="T13" s="66"/>
      <c r="U13" s="66"/>
      <c r="V13" s="109"/>
      <c r="W13" s="79" t="str">
        <f t="shared" si="2"/>
        <v/>
      </c>
      <c r="X13" s="114"/>
      <c r="Y13" s="5"/>
      <c r="Z13" s="102" t="s">
        <v>93</v>
      </c>
      <c r="AA13" s="103">
        <f>$N$13/$R$22</f>
        <v>1.4285714285714286</v>
      </c>
    </row>
    <row r="14" spans="1:52" ht="13.5" customHeight="1" thickTop="1" thickBot="1" x14ac:dyDescent="0.3">
      <c r="A14" s="5"/>
      <c r="B14" s="110"/>
      <c r="C14" s="160" t="s">
        <v>13</v>
      </c>
      <c r="D14" s="328">
        <v>500</v>
      </c>
      <c r="E14" s="66"/>
      <c r="F14" s="458" t="s">
        <v>616</v>
      </c>
      <c r="G14" s="458"/>
      <c r="H14" s="154" t="s">
        <v>45</v>
      </c>
      <c r="I14" s="154" t="s">
        <v>169</v>
      </c>
      <c r="J14" s="66"/>
      <c r="K14" s="79" t="str">
        <f t="shared" si="1"/>
        <v/>
      </c>
      <c r="L14" s="106"/>
      <c r="M14" s="66"/>
      <c r="N14" s="419"/>
      <c r="O14" s="66"/>
      <c r="P14" s="143"/>
      <c r="Q14" s="279" t="s">
        <v>463</v>
      </c>
      <c r="R14" s="452">
        <f>(($R$18^2*$R$12)-($R$18-$R$17)^2*($R$12-$AA$8))/$R$18^2</f>
        <v>12</v>
      </c>
      <c r="S14" s="452"/>
      <c r="T14" s="1" t="s">
        <v>19</v>
      </c>
      <c r="U14" s="66"/>
      <c r="V14" s="109"/>
      <c r="W14" s="79" t="str">
        <f t="shared" si="2"/>
        <v/>
      </c>
      <c r="X14" s="114"/>
      <c r="Y14" s="5"/>
      <c r="Z14" s="4" t="s">
        <v>617</v>
      </c>
      <c r="AA14" s="11">
        <f>IF(AA13&lt;=2,2,1)</f>
        <v>2</v>
      </c>
    </row>
    <row r="15" spans="1:52" ht="13.5" customHeight="1" thickTop="1" thickBot="1" x14ac:dyDescent="0.25">
      <c r="A15" s="5"/>
      <c r="B15" s="110"/>
      <c r="C15" s="159" t="s">
        <v>155</v>
      </c>
      <c r="D15" s="163">
        <f>IF($H$12="NBR",210000,200000)</f>
        <v>210000</v>
      </c>
      <c r="E15" s="187"/>
      <c r="F15" s="459" t="s">
        <v>604</v>
      </c>
      <c r="G15" s="459"/>
      <c r="H15" s="154" t="str">
        <f>IF($I15&lt;=1,"OK!","NÃO!")</f>
        <v>OK!</v>
      </c>
      <c r="I15" s="188">
        <f>MAX(E45,F45,G45,H45)</f>
        <v>0.37264197530864196</v>
      </c>
      <c r="J15" s="66"/>
      <c r="K15" s="79" t="str">
        <f t="shared" si="1"/>
        <v/>
      </c>
      <c r="L15" s="106"/>
      <c r="M15" s="66"/>
      <c r="N15" s="420"/>
      <c r="O15" s="66"/>
      <c r="P15" s="1"/>
      <c r="Q15" s="279" t="s">
        <v>539</v>
      </c>
      <c r="R15" s="436">
        <f>R12-(R20+1)</f>
        <v>9</v>
      </c>
      <c r="S15" s="436"/>
      <c r="T15" s="1" t="s">
        <v>19</v>
      </c>
      <c r="U15" s="66"/>
      <c r="V15" s="109"/>
      <c r="W15" s="79" t="str">
        <f t="shared" si="2"/>
        <v/>
      </c>
      <c r="X15" s="114"/>
      <c r="Y15" s="5"/>
    </row>
    <row r="16" spans="1:52" ht="13.5" customHeight="1" thickTop="1" thickBot="1" x14ac:dyDescent="0.3">
      <c r="B16" s="106"/>
      <c r="C16" s="1"/>
      <c r="D16" s="1"/>
      <c r="E16" s="66"/>
      <c r="F16" s="459" t="s">
        <v>605</v>
      </c>
      <c r="G16" s="459"/>
      <c r="H16" s="154" t="str">
        <f>IF($I16&lt;=1,"OK!","NÃO!")</f>
        <v>OK!</v>
      </c>
      <c r="I16" s="188">
        <f>IF($I$15&gt;1,"",MAX(E55:H55))</f>
        <v>0.26210819301515675</v>
      </c>
      <c r="J16" s="66"/>
      <c r="K16" s="79" t="str">
        <f t="shared" si="1"/>
        <v/>
      </c>
      <c r="L16" s="106"/>
      <c r="M16" s="66"/>
      <c r="N16" s="421" t="s">
        <v>166</v>
      </c>
      <c r="O16" s="66"/>
      <c r="P16" s="118"/>
      <c r="Q16" s="279" t="s">
        <v>459</v>
      </c>
      <c r="R16" s="412">
        <v>5</v>
      </c>
      <c r="S16" s="413"/>
      <c r="T16" s="119" t="s">
        <v>19</v>
      </c>
      <c r="U16" s="66"/>
      <c r="V16" s="109"/>
      <c r="W16" s="79" t="str">
        <f t="shared" si="2"/>
        <v/>
      </c>
      <c r="X16" s="120"/>
      <c r="Y16" s="5"/>
      <c r="AA16" s="4" t="s">
        <v>39</v>
      </c>
      <c r="AB16" s="4" t="s">
        <v>40</v>
      </c>
      <c r="AC16" s="4" t="s">
        <v>41</v>
      </c>
      <c r="AD16" s="4" t="s">
        <v>42</v>
      </c>
    </row>
    <row r="17" spans="1:38" ht="13.5" customHeight="1" thickTop="1" thickBot="1" x14ac:dyDescent="0.3">
      <c r="B17" s="106"/>
      <c r="C17" s="475" t="s">
        <v>140</v>
      </c>
      <c r="D17" s="476"/>
      <c r="E17" s="66"/>
      <c r="F17" s="459" t="s">
        <v>606</v>
      </c>
      <c r="G17" s="459"/>
      <c r="H17" s="154" t="str">
        <f>IF($I17&lt;=1,"OK!","NÃO!")</f>
        <v>OK!</v>
      </c>
      <c r="I17" s="188">
        <f>IF($I$15&gt;1,"",MAX(E66:H66))</f>
        <v>0.78342323082980481</v>
      </c>
      <c r="J17" s="66"/>
      <c r="K17" s="79" t="str">
        <f t="shared" si="1"/>
        <v/>
      </c>
      <c r="L17" s="106"/>
      <c r="M17" s="66"/>
      <c r="N17" s="421"/>
      <c r="O17" s="66"/>
      <c r="P17" s="118"/>
      <c r="Q17" s="279" t="s">
        <v>614</v>
      </c>
      <c r="R17" s="412">
        <v>13</v>
      </c>
      <c r="S17" s="413"/>
      <c r="T17" s="119" t="s">
        <v>19</v>
      </c>
      <c r="U17" s="66"/>
      <c r="V17" s="109"/>
      <c r="W17" s="79" t="str">
        <f t="shared" si="2"/>
        <v/>
      </c>
      <c r="X17" s="120"/>
      <c r="Y17" s="5"/>
      <c r="Z17" s="4" t="s">
        <v>34</v>
      </c>
      <c r="AA17" s="11">
        <v>1</v>
      </c>
      <c r="AB17" s="11">
        <v>1</v>
      </c>
      <c r="AC17" s="11">
        <v>1</v>
      </c>
      <c r="AD17" s="11">
        <v>2</v>
      </c>
    </row>
    <row r="18" spans="1:38" ht="13.5" customHeight="1" thickTop="1" thickBot="1" x14ac:dyDescent="0.3">
      <c r="B18" s="106"/>
      <c r="C18" s="479" t="s">
        <v>665</v>
      </c>
      <c r="D18" s="480"/>
      <c r="E18" s="66"/>
      <c r="F18" s="459" t="s">
        <v>607</v>
      </c>
      <c r="G18" s="459"/>
      <c r="H18" s="154" t="str">
        <f>IF($I18&lt;=1,"OK!","NÃO!")</f>
        <v>NÃO!</v>
      </c>
      <c r="I18" s="188">
        <f>IF($I$15&gt;1,"",G78)</f>
        <v>1.0112996246396604</v>
      </c>
      <c r="J18" s="66"/>
      <c r="K18" s="79" t="str">
        <f t="shared" si="1"/>
        <v/>
      </c>
      <c r="L18" s="106"/>
      <c r="M18" s="66"/>
      <c r="N18" s="421"/>
      <c r="O18" s="66"/>
      <c r="P18" s="118"/>
      <c r="Q18" s="279" t="s">
        <v>462</v>
      </c>
      <c r="R18" s="422">
        <v>60</v>
      </c>
      <c r="S18" s="423"/>
      <c r="T18" s="119" t="s">
        <v>19</v>
      </c>
      <c r="U18" s="1"/>
      <c r="V18" s="109"/>
      <c r="W18" s="79" t="str">
        <f t="shared" si="2"/>
        <v/>
      </c>
      <c r="X18" s="120"/>
      <c r="Y18" s="5"/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11">
        <f t="shared" ref="AE18:AE33" si="3">IF(AND(AND(AND($AA$17-AA18=0,$AB$17-AB18=0),$AC$17-AC18=0),$AD$17-AD18=0),0,1)</f>
        <v>1</v>
      </c>
    </row>
    <row r="19" spans="1:38" ht="13.5" customHeight="1" thickTop="1" thickBot="1" x14ac:dyDescent="0.3">
      <c r="B19" s="121"/>
      <c r="C19" s="243" t="s">
        <v>475</v>
      </c>
      <c r="D19" s="229">
        <f>IF($I$15&gt;1,"",AH43)</f>
        <v>95.438858011809373</v>
      </c>
      <c r="E19" s="66"/>
      <c r="F19" s="66"/>
      <c r="G19" s="66"/>
      <c r="H19" s="1"/>
      <c r="I19" s="1"/>
      <c r="J19" s="66"/>
      <c r="K19" s="79" t="str">
        <f t="shared" si="1"/>
        <v/>
      </c>
      <c r="L19" s="106"/>
      <c r="M19" s="66"/>
      <c r="N19" s="421"/>
      <c r="O19" s="66"/>
      <c r="P19" s="1"/>
      <c r="Q19" s="279" t="s">
        <v>460</v>
      </c>
      <c r="R19" s="467">
        <f>IF(AA10=1,100,(100/R18)*R17)</f>
        <v>100</v>
      </c>
      <c r="S19" s="467"/>
      <c r="T19" s="1" t="s">
        <v>19</v>
      </c>
      <c r="U19" s="66"/>
      <c r="V19" s="109"/>
      <c r="W19" s="79" t="str">
        <f t="shared" si="2"/>
        <v/>
      </c>
      <c r="X19" s="122"/>
      <c r="Y19" s="5"/>
      <c r="Z19" s="4">
        <v>2</v>
      </c>
      <c r="AA19" s="4">
        <v>1</v>
      </c>
      <c r="AB19" s="4">
        <v>1</v>
      </c>
      <c r="AC19" s="4">
        <v>2</v>
      </c>
      <c r="AD19" s="4">
        <v>1</v>
      </c>
      <c r="AE19" s="11">
        <f t="shared" si="3"/>
        <v>1</v>
      </c>
    </row>
    <row r="20" spans="1:38" ht="13.5" customHeight="1" thickTop="1" thickBot="1" x14ac:dyDescent="0.25">
      <c r="A20" s="5"/>
      <c r="B20" s="123"/>
      <c r="C20" s="159" t="s">
        <v>476</v>
      </c>
      <c r="D20" s="227">
        <f>IF($I$15&gt;1,"",AJ43)</f>
        <v>2.1</v>
      </c>
      <c r="E20" s="66"/>
      <c r="F20" s="66"/>
      <c r="G20" s="66"/>
      <c r="H20" s="478" t="s">
        <v>20</v>
      </c>
      <c r="I20" s="478"/>
      <c r="J20" s="66"/>
      <c r="K20" s="79" t="str">
        <f t="shared" si="1"/>
        <v/>
      </c>
      <c r="L20" s="106"/>
      <c r="M20" s="66"/>
      <c r="N20" s="421"/>
      <c r="O20" s="66"/>
      <c r="P20" s="66"/>
      <c r="Q20" s="116" t="s">
        <v>44</v>
      </c>
      <c r="R20" s="412">
        <v>2</v>
      </c>
      <c r="S20" s="413"/>
      <c r="T20" s="119" t="s">
        <v>19</v>
      </c>
      <c r="U20" s="66"/>
      <c r="V20" s="109"/>
      <c r="W20" s="79" t="str">
        <f t="shared" si="2"/>
        <v/>
      </c>
      <c r="X20" s="122"/>
      <c r="Y20" s="5"/>
      <c r="Z20" s="4">
        <v>2</v>
      </c>
      <c r="AA20" s="4">
        <v>1</v>
      </c>
      <c r="AB20" s="4">
        <v>1</v>
      </c>
      <c r="AC20" s="4">
        <v>1</v>
      </c>
      <c r="AD20" s="4">
        <v>2</v>
      </c>
      <c r="AE20" s="11">
        <f t="shared" si="3"/>
        <v>0</v>
      </c>
      <c r="AJ20" s="6"/>
      <c r="AK20" s="6"/>
      <c r="AL20" s="6"/>
    </row>
    <row r="21" spans="1:38" ht="13.5" customHeight="1" thickTop="1" thickBot="1" x14ac:dyDescent="0.25">
      <c r="A21" s="5"/>
      <c r="B21" s="123"/>
      <c r="C21" s="159" t="s">
        <v>663</v>
      </c>
      <c r="D21" s="363">
        <f>IF($I$15&gt;1,"",R22*N13)</f>
        <v>17.5</v>
      </c>
      <c r="E21" s="66"/>
      <c r="F21" s="1"/>
      <c r="G21" s="1"/>
      <c r="H21" s="159" t="s">
        <v>53</v>
      </c>
      <c r="I21" s="280">
        <f>25*(($R$18^2*$R$12)-($R$18-$R$17)^2*($R$12-$AA$8))/$R$18^2/100</f>
        <v>3</v>
      </c>
      <c r="J21" s="66"/>
      <c r="K21" s="79" t="str">
        <f t="shared" si="1"/>
        <v/>
      </c>
      <c r="L21" s="106"/>
      <c r="M21" s="66"/>
      <c r="N21" s="421"/>
      <c r="O21" s="66"/>
      <c r="P21" s="66"/>
      <c r="Q21" s="124" t="str">
        <f>IF(R22&gt;N13,"vão menor !","")</f>
        <v/>
      </c>
      <c r="R21" s="66"/>
      <c r="S21" s="66"/>
      <c r="T21" s="66"/>
      <c r="U21" s="66"/>
      <c r="V21" s="109"/>
      <c r="W21" s="79" t="str">
        <f t="shared" si="2"/>
        <v/>
      </c>
      <c r="X21" s="122"/>
      <c r="Y21" s="5"/>
      <c r="Z21" s="4">
        <v>3</v>
      </c>
      <c r="AA21" s="4">
        <v>1</v>
      </c>
      <c r="AB21" s="4">
        <v>1</v>
      </c>
      <c r="AC21" s="4">
        <v>2</v>
      </c>
      <c r="AD21" s="4">
        <v>2</v>
      </c>
      <c r="AE21" s="11">
        <f t="shared" si="3"/>
        <v>1</v>
      </c>
      <c r="AJ21" s="7"/>
      <c r="AK21" s="8"/>
      <c r="AL21" s="5"/>
    </row>
    <row r="22" spans="1:38" ht="13.5" customHeight="1" thickTop="1" thickBot="1" x14ac:dyDescent="0.25">
      <c r="B22" s="123"/>
      <c r="C22" s="281" t="s">
        <v>165</v>
      </c>
      <c r="D22" s="247">
        <f>IF($I$15&gt;1,"",AN43)</f>
        <v>45.44707524371875</v>
      </c>
      <c r="E22" s="66"/>
      <c r="F22" s="1"/>
      <c r="G22" s="1"/>
      <c r="H22" s="160" t="s">
        <v>54</v>
      </c>
      <c r="I22" s="161">
        <v>8</v>
      </c>
      <c r="J22" s="66"/>
      <c r="K22" s="79" t="str">
        <f t="shared" si="1"/>
        <v/>
      </c>
      <c r="L22" s="106"/>
      <c r="M22" s="116"/>
      <c r="N22" s="116"/>
      <c r="O22" s="116"/>
      <c r="P22" s="116"/>
      <c r="Q22" s="116" t="s">
        <v>167</v>
      </c>
      <c r="R22" s="465">
        <v>3.5</v>
      </c>
      <c r="S22" s="466"/>
      <c r="T22" s="125" t="s">
        <v>33</v>
      </c>
      <c r="U22" s="66"/>
      <c r="V22" s="109"/>
      <c r="W22" s="79" t="str">
        <f t="shared" si="2"/>
        <v/>
      </c>
      <c r="X22" s="122"/>
      <c r="Y22" s="5"/>
      <c r="Z22" s="4">
        <v>4</v>
      </c>
      <c r="AA22" s="4">
        <v>2</v>
      </c>
      <c r="AB22" s="4">
        <v>1</v>
      </c>
      <c r="AC22" s="4">
        <v>1</v>
      </c>
      <c r="AD22" s="4">
        <v>1</v>
      </c>
      <c r="AE22" s="11">
        <f t="shared" si="3"/>
        <v>1</v>
      </c>
      <c r="AJ22" s="7"/>
    </row>
    <row r="23" spans="1:38" ht="13.5" customHeight="1" thickTop="1" thickBot="1" x14ac:dyDescent="0.25">
      <c r="B23" s="123"/>
      <c r="C23" s="172" t="s">
        <v>629</v>
      </c>
      <c r="D23" s="203">
        <f>IF($I$15&gt;1,"",D19/(R22*N13))</f>
        <v>5.4536490292462503</v>
      </c>
      <c r="E23" s="66"/>
      <c r="F23" s="1"/>
      <c r="G23" s="1"/>
      <c r="H23" s="160" t="s">
        <v>17</v>
      </c>
      <c r="I23" s="161">
        <v>0</v>
      </c>
      <c r="J23" s="66"/>
      <c r="K23" s="79" t="str">
        <f t="shared" si="1"/>
        <v/>
      </c>
      <c r="L23" s="106"/>
      <c r="M23" s="66"/>
      <c r="N23" s="66"/>
      <c r="O23" s="66"/>
      <c r="P23" s="66"/>
      <c r="Q23" s="66"/>
      <c r="R23" s="66"/>
      <c r="S23" s="66"/>
      <c r="T23" s="66"/>
      <c r="U23" s="66"/>
      <c r="V23" s="109"/>
      <c r="W23" s="79" t="str">
        <f t="shared" si="2"/>
        <v/>
      </c>
      <c r="X23" s="122"/>
      <c r="Y23" s="5"/>
      <c r="Z23" s="4">
        <v>4</v>
      </c>
      <c r="AA23" s="4">
        <v>1</v>
      </c>
      <c r="AB23" s="4">
        <v>2</v>
      </c>
      <c r="AC23" s="4">
        <v>1</v>
      </c>
      <c r="AD23" s="4">
        <v>1</v>
      </c>
      <c r="AE23" s="11">
        <f t="shared" si="3"/>
        <v>1</v>
      </c>
      <c r="AJ23" s="5"/>
    </row>
    <row r="24" spans="1:38" ht="13.5" customHeight="1" thickTop="1" thickBot="1" x14ac:dyDescent="0.25">
      <c r="B24" s="123"/>
      <c r="C24" s="172" t="s">
        <v>630</v>
      </c>
      <c r="D24" s="348">
        <f>IF($I$15&gt;1,"",D20/(R22*N13))</f>
        <v>0.12000000000000001</v>
      </c>
      <c r="E24" s="66"/>
      <c r="F24" s="1"/>
      <c r="G24" s="1"/>
      <c r="H24" s="1"/>
      <c r="I24" s="1"/>
      <c r="J24" s="66"/>
      <c r="K24" s="79" t="str">
        <f t="shared" si="1"/>
        <v/>
      </c>
      <c r="L24" s="126"/>
      <c r="M24" s="104"/>
      <c r="N24" s="104"/>
      <c r="O24" s="104"/>
      <c r="P24" s="104"/>
      <c r="Q24" s="104"/>
      <c r="R24" s="104"/>
      <c r="S24" s="104"/>
      <c r="T24" s="104"/>
      <c r="U24" s="104"/>
      <c r="V24" s="127"/>
      <c r="W24" s="79" t="str">
        <f t="shared" si="2"/>
        <v/>
      </c>
      <c r="X24" s="122"/>
      <c r="Y24" s="5"/>
      <c r="Z24" s="4">
        <v>5</v>
      </c>
      <c r="AA24" s="4">
        <v>2</v>
      </c>
      <c r="AB24" s="4">
        <v>1</v>
      </c>
      <c r="AC24" s="4">
        <v>2</v>
      </c>
      <c r="AD24" s="4">
        <v>1</v>
      </c>
      <c r="AE24" s="11">
        <f t="shared" si="3"/>
        <v>1</v>
      </c>
      <c r="AJ24" s="5"/>
    </row>
    <row r="25" spans="1:38" ht="13.5" customHeight="1" thickTop="1" thickBot="1" x14ac:dyDescent="0.25">
      <c r="B25" s="123"/>
      <c r="C25" s="360" t="s">
        <v>624</v>
      </c>
      <c r="D25" s="161">
        <v>6.5</v>
      </c>
      <c r="E25" s="1"/>
      <c r="F25" s="477" t="s">
        <v>21</v>
      </c>
      <c r="G25" s="477"/>
      <c r="H25" s="477"/>
      <c r="I25" s="477"/>
      <c r="J25" s="66"/>
      <c r="K25" s="66"/>
      <c r="L25" s="178" t="str">
        <f t="shared" ref="L25:U25" si="4">IF($AC$17=2,"x","")</f>
        <v/>
      </c>
      <c r="M25" s="178" t="str">
        <f t="shared" si="4"/>
        <v/>
      </c>
      <c r="N25" s="178" t="str">
        <f t="shared" si="4"/>
        <v/>
      </c>
      <c r="O25" s="178" t="str">
        <f t="shared" si="4"/>
        <v/>
      </c>
      <c r="P25" s="178" t="str">
        <f t="shared" si="4"/>
        <v/>
      </c>
      <c r="Q25" s="178" t="str">
        <f t="shared" si="4"/>
        <v/>
      </c>
      <c r="R25" s="178" t="str">
        <f t="shared" si="4"/>
        <v/>
      </c>
      <c r="S25" s="178" t="str">
        <f t="shared" si="4"/>
        <v/>
      </c>
      <c r="T25" s="178" t="str">
        <f t="shared" si="4"/>
        <v/>
      </c>
      <c r="U25" s="178" t="str">
        <f t="shared" si="4"/>
        <v/>
      </c>
      <c r="V25" s="178" t="str">
        <f>IF($AC$17=2,"x","")</f>
        <v/>
      </c>
      <c r="W25" s="66"/>
      <c r="X25" s="122"/>
      <c r="Y25" s="5"/>
      <c r="Z25" s="4">
        <v>5</v>
      </c>
      <c r="AA25" s="4">
        <v>2</v>
      </c>
      <c r="AB25" s="4">
        <v>1</v>
      </c>
      <c r="AC25" s="4">
        <v>1</v>
      </c>
      <c r="AD25" s="4">
        <v>2</v>
      </c>
      <c r="AE25" s="11">
        <f t="shared" si="3"/>
        <v>1</v>
      </c>
      <c r="AJ25" s="5"/>
    </row>
    <row r="26" spans="1:38" ht="13.5" customHeight="1" thickTop="1" thickBot="1" x14ac:dyDescent="0.25">
      <c r="B26" s="123"/>
      <c r="C26" s="361" t="s">
        <v>625</v>
      </c>
      <c r="D26" s="350">
        <v>450</v>
      </c>
      <c r="E26" s="1"/>
      <c r="F26" s="172"/>
      <c r="G26" s="159" t="s">
        <v>611</v>
      </c>
      <c r="H26" s="163" t="s">
        <v>612</v>
      </c>
      <c r="I26" s="163" t="s">
        <v>613</v>
      </c>
      <c r="J26" s="66"/>
      <c r="K26" s="66"/>
      <c r="L26" s="66"/>
      <c r="M26" s="66" t="s">
        <v>627</v>
      </c>
      <c r="N26" s="66"/>
      <c r="O26" s="66"/>
      <c r="P26" s="66"/>
      <c r="Q26" s="1"/>
      <c r="R26" s="1"/>
      <c r="S26" s="66" t="s">
        <v>626</v>
      </c>
      <c r="T26" s="66"/>
      <c r="U26" s="66"/>
      <c r="V26" s="66"/>
      <c r="W26" s="66"/>
      <c r="X26" s="128"/>
      <c r="Y26" s="5"/>
      <c r="Z26" s="4">
        <v>5</v>
      </c>
      <c r="AA26" s="4">
        <v>1</v>
      </c>
      <c r="AB26" s="4">
        <v>2</v>
      </c>
      <c r="AC26" s="4">
        <v>2</v>
      </c>
      <c r="AD26" s="4">
        <v>1</v>
      </c>
      <c r="AE26" s="11">
        <f t="shared" si="3"/>
        <v>1</v>
      </c>
    </row>
    <row r="27" spans="1:38" ht="13.5" customHeight="1" thickTop="1" thickBot="1" x14ac:dyDescent="0.25">
      <c r="B27" s="129"/>
      <c r="C27" s="361" t="s">
        <v>664</v>
      </c>
      <c r="D27" s="350">
        <v>65</v>
      </c>
      <c r="E27" s="1"/>
      <c r="F27" s="186" t="s">
        <v>50</v>
      </c>
      <c r="G27" s="372">
        <v>1</v>
      </c>
      <c r="H27" s="164">
        <v>1</v>
      </c>
      <c r="I27" s="164">
        <v>1</v>
      </c>
      <c r="J27" s="66"/>
      <c r="K27" s="66"/>
      <c r="L27" s="190" t="str">
        <f>IF($AD$17=2,"x","")</f>
        <v>x</v>
      </c>
      <c r="M27" s="190" t="str">
        <f t="shared" ref="M27:V27" si="5">IF($AD$17=2,"x","")</f>
        <v>x</v>
      </c>
      <c r="N27" s="190" t="str">
        <f t="shared" si="5"/>
        <v>x</v>
      </c>
      <c r="O27" s="190" t="str">
        <f t="shared" si="5"/>
        <v>x</v>
      </c>
      <c r="P27" s="190" t="str">
        <f t="shared" si="5"/>
        <v>x</v>
      </c>
      <c r="Q27" s="190" t="str">
        <f t="shared" si="5"/>
        <v>x</v>
      </c>
      <c r="R27" s="190" t="str">
        <f t="shared" si="5"/>
        <v>x</v>
      </c>
      <c r="S27" s="190" t="str">
        <f t="shared" si="5"/>
        <v>x</v>
      </c>
      <c r="T27" s="190" t="str">
        <f t="shared" si="5"/>
        <v>x</v>
      </c>
      <c r="U27" s="190" t="str">
        <f t="shared" si="5"/>
        <v>x</v>
      </c>
      <c r="V27" s="190" t="str">
        <f t="shared" si="5"/>
        <v>x</v>
      </c>
      <c r="W27" s="66"/>
      <c r="X27" s="128"/>
      <c r="Y27" s="5" t="s">
        <v>187</v>
      </c>
      <c r="Z27" s="4">
        <v>5</v>
      </c>
      <c r="AA27" s="4">
        <v>1</v>
      </c>
      <c r="AB27" s="4">
        <v>2</v>
      </c>
      <c r="AC27" s="4">
        <v>1</v>
      </c>
      <c r="AD27" s="4">
        <v>2</v>
      </c>
      <c r="AE27" s="11">
        <f t="shared" si="3"/>
        <v>1</v>
      </c>
    </row>
    <row r="28" spans="1:38" ht="13.5" customHeight="1" thickTop="1" thickBot="1" x14ac:dyDescent="0.25">
      <c r="B28" s="129"/>
      <c r="C28" s="351" t="s">
        <v>631</v>
      </c>
      <c r="D28" s="356">
        <f>IF($I$15&gt;1,"",D19*D25+D20*D26+D21*D27)</f>
        <v>2702.852577076761</v>
      </c>
      <c r="E28" s="1"/>
      <c r="F28" s="186" t="s">
        <v>51</v>
      </c>
      <c r="G28" s="373">
        <v>1</v>
      </c>
      <c r="H28" s="162">
        <v>0.4</v>
      </c>
      <c r="I28" s="162">
        <v>0.3</v>
      </c>
      <c r="J28" s="66"/>
      <c r="K28" s="79" t="str">
        <f>IF($AA$17=2,"x","")</f>
        <v/>
      </c>
      <c r="L28" s="130"/>
      <c r="M28" s="131"/>
      <c r="N28" s="131"/>
      <c r="O28" s="408" t="str">
        <f>IF($AD$17=2,IF($AA$10=1,TRUNC($N$13*100/$H$34)&amp;"Ø"&amp;$H$33&amp;"c"&amp;$H$34&amp;"-"&amp;TRUNC(0.25*$R$22*100),TRUNC($N$13*100/$R$18)&amp;"x"&amp;H34&amp;"Ø"&amp;$H$33&amp;"c"&amp;$R$18&amp;"-"&amp;TRUNC(0.25*$R$22*100)),"")</f>
        <v>23Ø12.5c21-87</v>
      </c>
      <c r="P28" s="132"/>
      <c r="Q28" s="408" t="str">
        <f>IF($AA$10=1,TRUNC($R$22*100/$G$34)&amp;"Ø"&amp;$G$33&amp;"c"&amp;$G$34&amp;"-"&amp;$N$13*100,TRUNC($R$22*100/$R$18)&amp;"x"&amp;$G$34&amp;"Ø"&amp;G33&amp;"c"&amp;$R$18&amp;"-"&amp;$N$13*100)</f>
        <v>25Ø6.3c14-500</v>
      </c>
      <c r="R28" s="131"/>
      <c r="S28" s="456" t="str">
        <f>IF(AA10=1,"",TRUNC($R$22*100/$H$47)&amp;"Ø"&amp;$F$47&amp;"c"&amp;$H$47&amp;"-"&amp;$N$13*100)</f>
        <v/>
      </c>
      <c r="T28" s="112"/>
      <c r="U28" s="131"/>
      <c r="V28" s="133"/>
      <c r="W28" s="79" t="str">
        <f>IF($AB$17=2,"x","")</f>
        <v/>
      </c>
      <c r="X28" s="134"/>
      <c r="Y28" s="5"/>
      <c r="Z28" s="4">
        <v>6</v>
      </c>
      <c r="AA28" s="4">
        <v>2</v>
      </c>
      <c r="AB28" s="4">
        <v>1</v>
      </c>
      <c r="AC28" s="4">
        <v>2</v>
      </c>
      <c r="AD28" s="4">
        <v>2</v>
      </c>
      <c r="AE28" s="11">
        <f t="shared" si="3"/>
        <v>1</v>
      </c>
    </row>
    <row r="29" spans="1:38" ht="13.5" customHeight="1" x14ac:dyDescent="0.2">
      <c r="B29" s="135"/>
      <c r="C29" s="66"/>
      <c r="D29" s="1"/>
      <c r="E29" s="1"/>
      <c r="F29" s="1"/>
      <c r="G29" s="1"/>
      <c r="H29" s="1"/>
      <c r="I29" s="66"/>
      <c r="J29" s="66"/>
      <c r="K29" s="79" t="str">
        <f t="shared" ref="K29:K42" si="6">IF($AA$17=2,"x","")</f>
        <v/>
      </c>
      <c r="L29" s="136"/>
      <c r="M29" s="137"/>
      <c r="N29" s="137"/>
      <c r="O29" s="409"/>
      <c r="P29" s="138"/>
      <c r="Q29" s="409"/>
      <c r="R29" s="139"/>
      <c r="S29" s="457"/>
      <c r="T29" s="66"/>
      <c r="U29" s="139"/>
      <c r="V29" s="140"/>
      <c r="W29" s="79" t="str">
        <f t="shared" ref="W29:W42" si="7">IF($AB$17=2,"x","")</f>
        <v/>
      </c>
      <c r="X29" s="134"/>
      <c r="Y29" s="5"/>
      <c r="Z29" s="4">
        <v>6</v>
      </c>
      <c r="AA29" s="4">
        <v>1</v>
      </c>
      <c r="AB29" s="4">
        <v>2</v>
      </c>
      <c r="AC29" s="4">
        <v>2</v>
      </c>
      <c r="AD29" s="4">
        <v>2</v>
      </c>
      <c r="AE29" s="11">
        <f t="shared" si="3"/>
        <v>1</v>
      </c>
    </row>
    <row r="30" spans="1:38" ht="13.5" customHeight="1" x14ac:dyDescent="0.2">
      <c r="B30" s="135"/>
      <c r="C30" s="66"/>
      <c r="D30" s="1"/>
      <c r="E30" s="1"/>
      <c r="F30" s="1"/>
      <c r="G30" s="1"/>
      <c r="H30" s="1"/>
      <c r="I30" s="66"/>
      <c r="J30" s="66"/>
      <c r="K30" s="79" t="str">
        <f t="shared" si="6"/>
        <v/>
      </c>
      <c r="L30" s="141"/>
      <c r="M30" s="139"/>
      <c r="N30" s="142"/>
      <c r="O30" s="409"/>
      <c r="P30" s="138"/>
      <c r="Q30" s="409"/>
      <c r="R30" s="139"/>
      <c r="S30" s="457"/>
      <c r="T30" s="66"/>
      <c r="U30" s="139"/>
      <c r="V30" s="140"/>
      <c r="W30" s="79" t="str">
        <f t="shared" si="7"/>
        <v/>
      </c>
      <c r="X30" s="128"/>
      <c r="Y30" s="5"/>
      <c r="Z30" s="4">
        <v>7</v>
      </c>
      <c r="AA30" s="4">
        <v>2</v>
      </c>
      <c r="AB30" s="4">
        <v>2</v>
      </c>
      <c r="AC30" s="4">
        <v>1</v>
      </c>
      <c r="AD30" s="4">
        <v>1</v>
      </c>
      <c r="AE30" s="11">
        <f t="shared" si="3"/>
        <v>1</v>
      </c>
    </row>
    <row r="31" spans="1:38" ht="13.5" customHeight="1" x14ac:dyDescent="0.2">
      <c r="B31" s="129"/>
      <c r="C31" s="66"/>
      <c r="D31" s="462" t="s">
        <v>608</v>
      </c>
      <c r="E31" s="463"/>
      <c r="F31" s="463"/>
      <c r="G31" s="463"/>
      <c r="H31" s="464"/>
      <c r="I31" s="66"/>
      <c r="J31" s="66"/>
      <c r="K31" s="79" t="str">
        <f t="shared" si="6"/>
        <v/>
      </c>
      <c r="L31" s="141"/>
      <c r="M31" s="139"/>
      <c r="N31" s="143"/>
      <c r="O31" s="409"/>
      <c r="P31" s="138"/>
      <c r="Q31" s="409"/>
      <c r="R31" s="139"/>
      <c r="S31" s="457"/>
      <c r="T31" s="66"/>
      <c r="U31" s="139"/>
      <c r="V31" s="140"/>
      <c r="W31" s="79" t="str">
        <f t="shared" si="7"/>
        <v/>
      </c>
      <c r="X31" s="128"/>
      <c r="Z31" s="4">
        <v>8</v>
      </c>
      <c r="AA31" s="4">
        <v>2</v>
      </c>
      <c r="AB31" s="4">
        <v>2</v>
      </c>
      <c r="AC31" s="4">
        <v>2</v>
      </c>
      <c r="AD31" s="4">
        <v>1</v>
      </c>
      <c r="AE31" s="11">
        <f t="shared" si="3"/>
        <v>1</v>
      </c>
      <c r="AJ31" s="5"/>
      <c r="AK31" s="5"/>
      <c r="AL31" s="5"/>
    </row>
    <row r="32" spans="1:38" ht="13.5" customHeight="1" thickBot="1" x14ac:dyDescent="0.25">
      <c r="B32" s="129"/>
      <c r="C32" s="66"/>
      <c r="D32" s="320"/>
      <c r="E32" s="321" t="s">
        <v>2</v>
      </c>
      <c r="F32" s="321" t="s">
        <v>134</v>
      </c>
      <c r="G32" s="321" t="s">
        <v>95</v>
      </c>
      <c r="H32" s="321" t="s">
        <v>135</v>
      </c>
      <c r="I32" s="1"/>
      <c r="J32" s="66"/>
      <c r="K32" s="79" t="str">
        <f t="shared" si="6"/>
        <v/>
      </c>
      <c r="L32" s="141"/>
      <c r="M32" s="139"/>
      <c r="N32" s="143"/>
      <c r="O32" s="409"/>
      <c r="P32" s="138"/>
      <c r="Q32" s="409"/>
      <c r="R32" s="144"/>
      <c r="S32" s="457"/>
      <c r="T32" s="66"/>
      <c r="U32" s="145"/>
      <c r="V32" s="140"/>
      <c r="W32" s="79" t="str">
        <f t="shared" si="7"/>
        <v/>
      </c>
      <c r="X32" s="128"/>
      <c r="Z32" s="4">
        <v>8</v>
      </c>
      <c r="AA32" s="4">
        <v>2</v>
      </c>
      <c r="AB32" s="4">
        <v>2</v>
      </c>
      <c r="AC32" s="4">
        <v>1</v>
      </c>
      <c r="AD32" s="4">
        <v>2</v>
      </c>
      <c r="AE32" s="11">
        <f t="shared" si="3"/>
        <v>1</v>
      </c>
      <c r="AJ32" s="5"/>
      <c r="AK32" s="5"/>
      <c r="AL32" s="5"/>
    </row>
    <row r="33" spans="1:40" ht="13.5" customHeight="1" thickTop="1" thickBot="1" x14ac:dyDescent="0.25">
      <c r="A33" s="5"/>
      <c r="B33" s="129"/>
      <c r="C33" s="66"/>
      <c r="D33" s="352" t="s">
        <v>558</v>
      </c>
      <c r="E33" s="355">
        <v>8</v>
      </c>
      <c r="F33" s="355">
        <v>10</v>
      </c>
      <c r="G33" s="355">
        <v>6.3</v>
      </c>
      <c r="H33" s="355">
        <v>12.5</v>
      </c>
      <c r="I33" s="66"/>
      <c r="J33" s="66"/>
      <c r="K33" s="79" t="str">
        <f t="shared" si="6"/>
        <v/>
      </c>
      <c r="L33" s="141"/>
      <c r="M33" s="139"/>
      <c r="N33" s="143"/>
      <c r="O33" s="409"/>
      <c r="P33" s="143"/>
      <c r="Q33" s="409"/>
      <c r="R33" s="139"/>
      <c r="S33" s="457"/>
      <c r="T33" s="66"/>
      <c r="U33" s="139"/>
      <c r="V33" s="140"/>
      <c r="W33" s="79" t="str">
        <f t="shared" si="7"/>
        <v/>
      </c>
      <c r="X33" s="128"/>
      <c r="Z33" s="4">
        <v>9</v>
      </c>
      <c r="AA33" s="4">
        <v>2</v>
      </c>
      <c r="AB33" s="4">
        <v>2</v>
      </c>
      <c r="AC33" s="4">
        <v>2</v>
      </c>
      <c r="AD33" s="4">
        <v>2</v>
      </c>
      <c r="AE33" s="11">
        <f t="shared" si="3"/>
        <v>1</v>
      </c>
      <c r="AJ33" s="5"/>
      <c r="AK33" s="5"/>
      <c r="AL33" s="5"/>
    </row>
    <row r="34" spans="1:40" ht="13.5" customHeight="1" thickTop="1" thickBot="1" x14ac:dyDescent="0.25">
      <c r="B34" s="129"/>
      <c r="C34" s="66"/>
      <c r="D34" s="331" t="str">
        <f>IF(AA10=1,"e  cm","q/nerv")</f>
        <v>e  cm</v>
      </c>
      <c r="E34" s="353">
        <f>IF($AA$10=1,TRUNC(100/(E38/(PI()*(E33/10)^2/4))),CEILING(E41/(PI()*(E33/10)^2/4),1))</f>
        <v>15</v>
      </c>
      <c r="F34" s="353" t="str">
        <f>IF(F$35=0,"",IF($AA$10=1,TRUNC(100/(F38/(PI()*(F33/10)^2/4))),CEILING(F41/(PI()*(F33/10)^2/4),1)))</f>
        <v/>
      </c>
      <c r="G34" s="353">
        <f>IF($AA$10=1,TRUNC(100/(G38/(PI()*(G33/10)^2/4))),CEILING(G41/(PI()*(G33/10)^2/4),1))</f>
        <v>14</v>
      </c>
      <c r="H34" s="354">
        <f>IF(H$35=0,"",IF($AA$10=1,TRUNC(100/(H38/(PI()*(H33/10)^2/4))),CEILING(H41/(PI()*(H33/10)^2/4),1)))</f>
        <v>21</v>
      </c>
      <c r="I34" s="66"/>
      <c r="J34" s="66"/>
      <c r="K34" s="79" t="str">
        <f t="shared" si="6"/>
        <v/>
      </c>
      <c r="L34" s="195" t="str">
        <f>IF($AA$17=2,IF($AA$10=1,TRUNC($N$13*100/$F$34)&amp;"Ø"&amp;$F$33&amp;"c"&amp;$F$34&amp;"-"&amp;TRUNC(0.25*$R$22*100),TRUNC($N$13*100/$R$18)&amp;"x"&amp;F34&amp;"Ø"&amp;$F$33&amp;"c"&amp;$R$18&amp;"-"&amp;TRUNC(0.25*$R$22*100)),"")</f>
        <v/>
      </c>
      <c r="M34" s="145"/>
      <c r="N34" s="142"/>
      <c r="O34" s="142"/>
      <c r="P34" s="142"/>
      <c r="Q34" s="409"/>
      <c r="R34" s="139"/>
      <c r="S34" s="139"/>
      <c r="T34" s="139"/>
      <c r="U34" s="145"/>
      <c r="V34" s="196" t="str">
        <f>IF($AB$17=2,IF($AA$10=1,TRUNC($N$13*100/$F$34)&amp;"Ø"&amp;$F$33&amp;"c"&amp;$F$34&amp;"-"&amp;TRUNC(0.25*$R$22*100),TRUNC($N$13*100/$R$18)&amp;"x"&amp;F34&amp;"Ø"&amp;$F$33&amp;"c"&amp;$R$18&amp;"-"&amp;TRUNC(0.25*$R$22*100)),"")</f>
        <v/>
      </c>
      <c r="W34" s="79" t="str">
        <f t="shared" si="7"/>
        <v/>
      </c>
      <c r="X34" s="128"/>
      <c r="AJ34" s="5"/>
      <c r="AK34" s="5"/>
      <c r="AL34" s="5"/>
    </row>
    <row r="35" spans="1:40" ht="13.5" customHeight="1" x14ac:dyDescent="0.2">
      <c r="B35" s="129"/>
      <c r="C35" s="66"/>
      <c r="D35" s="376" t="s">
        <v>179</v>
      </c>
      <c r="E35" s="377">
        <f>Esforços!$J$4</f>
        <v>8.4549850000000006</v>
      </c>
      <c r="F35" s="377">
        <f>Esforços!$K$4</f>
        <v>0</v>
      </c>
      <c r="G35" s="377">
        <f>Esforços!$L$4</f>
        <v>5.8288999999999991</v>
      </c>
      <c r="H35" s="377">
        <f>Esforços!$M$4</f>
        <v>14.660800000000002</v>
      </c>
      <c r="I35" s="66"/>
      <c r="J35" s="66"/>
      <c r="K35" s="79" t="str">
        <f t="shared" si="6"/>
        <v/>
      </c>
      <c r="L35" s="141"/>
      <c r="M35" s="139"/>
      <c r="N35" s="142"/>
      <c r="O35" s="187" t="str">
        <f>IF($AA$10=1,TRUNC($N$13*100/$E$34)&amp;"Ø"&amp;$E$33&amp;"c"&amp;$E$34&amp;"-"&amp;$R$22*100,TRUNC($N$13*100/$R$18)&amp;"x"&amp;E34&amp;"Ø"&amp;$E$33&amp;"c"&amp;$R$18&amp;"-"&amp;$R$22*100)</f>
        <v>33Ø8c15-350</v>
      </c>
      <c r="P35" s="142"/>
      <c r="Q35" s="139"/>
      <c r="R35" s="139"/>
      <c r="S35" s="139"/>
      <c r="T35" s="139"/>
      <c r="U35" s="139"/>
      <c r="V35" s="140"/>
      <c r="W35" s="79" t="str">
        <f t="shared" si="7"/>
        <v/>
      </c>
      <c r="X35" s="128"/>
      <c r="AJ35" s="5"/>
      <c r="AK35" s="5"/>
      <c r="AL35" s="5"/>
    </row>
    <row r="36" spans="1:40" ht="13.5" customHeight="1" x14ac:dyDescent="0.2">
      <c r="B36" s="129"/>
      <c r="C36" s="66"/>
      <c r="D36" s="159" t="s">
        <v>180</v>
      </c>
      <c r="E36" s="167">
        <f>Esforços!$J$5</f>
        <v>0</v>
      </c>
      <c r="F36" s="167">
        <f>Esforços!$K$5</f>
        <v>0</v>
      </c>
      <c r="G36" s="167">
        <f>Esforços!$L$5</f>
        <v>0</v>
      </c>
      <c r="H36" s="167">
        <f>Esforços!$M$5</f>
        <v>0</v>
      </c>
      <c r="I36" s="1"/>
      <c r="J36" s="66"/>
      <c r="K36" s="79" t="str">
        <f t="shared" si="6"/>
        <v/>
      </c>
      <c r="L36" s="141"/>
      <c r="M36" s="139"/>
      <c r="N36" s="142"/>
      <c r="O36" s="409" t="str">
        <f>IF($AC$17=2,IF($AA$10=1,TRUNC($N$13*100/$H$34)&amp;"Ø"&amp;$H$33&amp;"c"&amp;$H$34&amp;"-"&amp;TRUNC(0.25*$R$22*100),TRUNC($N$13*100/$R$18)&amp;"x"&amp;H34&amp;"Ø"&amp;$H$33&amp;"c"&amp;$R$18&amp;"-"&amp;TRUNC(0.25*$R$22*100)),"")</f>
        <v/>
      </c>
      <c r="P36" s="138"/>
      <c r="Q36" s="138"/>
      <c r="R36" s="139"/>
      <c r="S36" s="139"/>
      <c r="T36" s="139"/>
      <c r="U36" s="139"/>
      <c r="V36" s="140"/>
      <c r="W36" s="79" t="str">
        <f t="shared" si="7"/>
        <v/>
      </c>
      <c r="X36" s="128"/>
      <c r="Z36" s="4"/>
      <c r="AA36" s="4"/>
      <c r="AB36" s="4"/>
      <c r="AC36" s="4"/>
      <c r="AD36" s="4"/>
      <c r="AF36" s="462" t="s">
        <v>140</v>
      </c>
      <c r="AG36" s="463"/>
      <c r="AH36" s="463"/>
      <c r="AI36" s="463"/>
      <c r="AJ36" s="463"/>
      <c r="AK36" s="463"/>
      <c r="AL36" s="463"/>
      <c r="AM36" s="463"/>
      <c r="AN36" s="464"/>
    </row>
    <row r="37" spans="1:40" ht="13.5" customHeight="1" thickBot="1" x14ac:dyDescent="0.25">
      <c r="B37" s="129"/>
      <c r="C37" s="66"/>
      <c r="D37" s="308" t="s">
        <v>181</v>
      </c>
      <c r="E37" s="182">
        <f>E35*$G$27+E36*$G$28</f>
        <v>8.4549850000000006</v>
      </c>
      <c r="F37" s="182" t="str">
        <f>IF(F$35=0,"",F35*$G$27+F36*$G$28)</f>
        <v/>
      </c>
      <c r="G37" s="182">
        <f>G35*$G$27+G36*$G$28</f>
        <v>5.8288999999999991</v>
      </c>
      <c r="H37" s="182">
        <f>IF($H$35=0,"",H35*$G$27+H36*$G$28)</f>
        <v>14.660800000000002</v>
      </c>
      <c r="I37" s="1"/>
      <c r="J37" s="66"/>
      <c r="K37" s="79" t="str">
        <f t="shared" si="6"/>
        <v/>
      </c>
      <c r="L37" s="141"/>
      <c r="M37" s="66"/>
      <c r="N37" s="142"/>
      <c r="O37" s="409"/>
      <c r="P37" s="119" t="s">
        <v>174</v>
      </c>
      <c r="Q37" s="66"/>
      <c r="R37" s="139"/>
      <c r="S37" s="139"/>
      <c r="T37" s="139"/>
      <c r="U37" s="139"/>
      <c r="V37" s="140"/>
      <c r="W37" s="79" t="str">
        <f t="shared" si="7"/>
        <v/>
      </c>
      <c r="X37" s="128"/>
      <c r="Y37" s="5"/>
      <c r="Z37" s="4"/>
      <c r="AA37" s="4"/>
      <c r="AB37" s="4"/>
      <c r="AC37" s="4"/>
      <c r="AD37" s="4"/>
      <c r="AF37" s="165"/>
      <c r="AG37" s="165" t="s">
        <v>136</v>
      </c>
      <c r="AH37" s="165" t="s">
        <v>2</v>
      </c>
      <c r="AI37" s="165" t="s">
        <v>137</v>
      </c>
      <c r="AJ37" s="165" t="s">
        <v>454</v>
      </c>
      <c r="AK37" s="165" t="s">
        <v>95</v>
      </c>
      <c r="AL37" s="165" t="s">
        <v>455</v>
      </c>
      <c r="AM37" s="165" t="s">
        <v>473</v>
      </c>
      <c r="AN37" s="165" t="s">
        <v>474</v>
      </c>
    </row>
    <row r="38" spans="1:40" ht="13.5" customHeight="1" x14ac:dyDescent="0.2">
      <c r="B38" s="129"/>
      <c r="C38" s="66"/>
      <c r="D38" s="341" t="s">
        <v>32</v>
      </c>
      <c r="E38" s="342">
        <f>IF($H$12="NBR",'ELUM-Pos'!B82,'ELUM-Pos'!D82)</f>
        <v>3.1865991493187171</v>
      </c>
      <c r="F38" s="343" t="str">
        <f>IF(F$35=0,"",IF($H$12="NBR",'ELUM-Neg'!B57,'ELUM-Neg'!D57))</f>
        <v/>
      </c>
      <c r="G38" s="342">
        <f>IF($H$12="NBR",'ELUM-Pos'!C82,'ELUM-Pos'!E82)</f>
        <v>2.1596751021980762</v>
      </c>
      <c r="H38" s="344">
        <f>IF(H$35=0,"",IF($H$12="NBR",'ELUM-Neg'!C57,'ELUM-Neg'!E57))</f>
        <v>5.7762709792012163</v>
      </c>
      <c r="I38" s="190"/>
      <c r="J38" s="66"/>
      <c r="K38" s="79" t="str">
        <f t="shared" si="6"/>
        <v/>
      </c>
      <c r="L38" s="141"/>
      <c r="M38" s="139"/>
      <c r="N38" s="142"/>
      <c r="O38" s="409"/>
      <c r="P38" s="142"/>
      <c r="Q38" s="139"/>
      <c r="R38" s="139"/>
      <c r="S38" s="139"/>
      <c r="T38" s="66"/>
      <c r="U38" s="139"/>
      <c r="V38" s="196" t="str">
        <f>IF(AA10=1,"",TRUNC($N$13*100/$H$47)&amp;"Ø"&amp;$F$47&amp;"c"&amp;$H$47&amp;"-"&amp;$R$22*100)</f>
        <v/>
      </c>
      <c r="W38" s="79" t="str">
        <f t="shared" si="7"/>
        <v/>
      </c>
      <c r="X38" s="128"/>
      <c r="Y38" s="5"/>
      <c r="AF38" s="170" t="s">
        <v>46</v>
      </c>
      <c r="AG38" s="171" t="str">
        <f>IF($AA$17=2,$F$33,"")</f>
        <v/>
      </c>
      <c r="AH38" s="177">
        <f>E33</f>
        <v>8</v>
      </c>
      <c r="AI38" s="171" t="str">
        <f>IF($AB$17=2,$F$33,"")</f>
        <v/>
      </c>
      <c r="AJ38" s="171" t="str">
        <f>IF($AC$17=2,$H$33,"")</f>
        <v/>
      </c>
      <c r="AK38" s="177">
        <f>G33</f>
        <v>6.3</v>
      </c>
      <c r="AL38" s="171">
        <f>IF($AD$17=2,$H$33,"")</f>
        <v>12.5</v>
      </c>
      <c r="AM38" s="177">
        <f>F47</f>
        <v>4.2</v>
      </c>
      <c r="AN38" s="177">
        <f>F47</f>
        <v>4.2</v>
      </c>
    </row>
    <row r="39" spans="1:40" ht="13.5" customHeight="1" thickBot="1" x14ac:dyDescent="0.25">
      <c r="B39" s="129"/>
      <c r="C39" s="66"/>
      <c r="D39" s="345" t="s">
        <v>453</v>
      </c>
      <c r="E39" s="346">
        <f>IF($AA$10=1,(100/E34)*PI()*(E33/10)^2/4,(100/$R$18)*E34*PI()*(E33/10)^2/4)</f>
        <v>3.3510321638291134</v>
      </c>
      <c r="F39" s="346" t="str">
        <f>IF(F$35=0,"",IF($AA$10=1,(100/F34)*PI()*(F33/10)^2/4,(100/$R$18)*F34*PI()*(F33/10)^2/4))</f>
        <v/>
      </c>
      <c r="G39" s="346">
        <f>IF($AA$10=1,(100/G34)*PI()*(G33/10)^2/4,(100/$R$18)*G34*PI()*(G33/10)^2/4)</f>
        <v>2.2266037932317659</v>
      </c>
      <c r="H39" s="347">
        <f>IF(H$35=0,"",IF($AA$10=1,(100/H34)*PI()*(H33/10)^2/4,(100/$R$18)*H34*PI()*(H33/10)^2/4))</f>
        <v>5.8437363348024425</v>
      </c>
      <c r="I39" s="66"/>
      <c r="J39" s="66"/>
      <c r="K39" s="79" t="str">
        <f t="shared" si="6"/>
        <v/>
      </c>
      <c r="L39" s="136"/>
      <c r="M39" s="137"/>
      <c r="N39" s="137"/>
      <c r="O39" s="409"/>
      <c r="P39" s="137"/>
      <c r="Q39" s="137"/>
      <c r="R39" s="146"/>
      <c r="S39" s="146"/>
      <c r="T39" s="66"/>
      <c r="U39" s="139"/>
      <c r="V39" s="140"/>
      <c r="W39" s="79" t="str">
        <f t="shared" si="7"/>
        <v/>
      </c>
      <c r="X39" s="128"/>
      <c r="AF39" s="172" t="s">
        <v>57</v>
      </c>
      <c r="AG39" s="172" t="str">
        <f>IF($AA$17=2,IF($AA$10=1,TRUNC($N$13*100/$F$34),$F$34*TRUNC($N$13*100/$R$18)),"")</f>
        <v/>
      </c>
      <c r="AH39" s="172">
        <f>IF($AA$10=1,TRUNC($N$13*100/$E$34),$E$34*TRUNC($N$13*100/$R$18))</f>
        <v>33</v>
      </c>
      <c r="AI39" s="172" t="str">
        <f>IF($AB$17=2,IF($AA$10=1,TRUNC($N$13*100/$F$34),$F$34*TRUNC($N$13*100/$R$18)),"")</f>
        <v/>
      </c>
      <c r="AJ39" s="172" t="str">
        <f>IF($AC$17=2,IF($AA$10=1,TRUNC($N$13*100/$H$34),$H$34*TRUNC($R$22*100/$R$18)),"")</f>
        <v/>
      </c>
      <c r="AK39" s="172">
        <f>IF($AA$10=1,TRUNC($R$22*100/$G$34),$G$34*TRUNC($R$22*100/$R$18))</f>
        <v>25</v>
      </c>
      <c r="AL39" s="172">
        <f>IF($AD$17=2,IF($AA$10=1,TRUNC($N$13*100/$H$34),$H$34*TRUNC($R$22*100/$R$18)),"")</f>
        <v>23</v>
      </c>
      <c r="AM39" s="172">
        <f>IF($AA$10=1,0,TRUNC($N$13*100/$H$47))</f>
        <v>0</v>
      </c>
      <c r="AN39" s="172">
        <f>IF($AA$10=1,0,TRUNC($R$22*100/$H$47))</f>
        <v>0</v>
      </c>
    </row>
    <row r="40" spans="1:40" ht="13.5" customHeight="1" x14ac:dyDescent="0.2">
      <c r="B40" s="129"/>
      <c r="C40" s="66"/>
      <c r="D40" s="309" t="s">
        <v>451</v>
      </c>
      <c r="E40" s="337">
        <f>IF($H$12="NBR",'ELUM-Pos'!B78,'ELUM-Pos'!D78)</f>
        <v>0</v>
      </c>
      <c r="F40" s="338" t="str">
        <f>IF(F$35=0,"",IF($H$12="NBR",'ELUM-Neg'!B53,'ELUM-Neg'!D53))</f>
        <v/>
      </c>
      <c r="G40" s="339">
        <f>IF($H$12="NBR",'ELUM-Pos'!C78,'ELUM-Pos'!E78)</f>
        <v>0</v>
      </c>
      <c r="H40" s="338">
        <f>IF(H$35=0,"",IF($H$12="NBR",'ELUM-Neg'!C53,'ELUM-Neg'!E53))</f>
        <v>0</v>
      </c>
      <c r="I40" s="66"/>
      <c r="J40" s="66"/>
      <c r="K40" s="79" t="str">
        <f t="shared" si="6"/>
        <v/>
      </c>
      <c r="L40" s="136"/>
      <c r="M40" s="137"/>
      <c r="N40" s="137"/>
      <c r="O40" s="409"/>
      <c r="P40" s="137"/>
      <c r="Q40" s="137"/>
      <c r="R40" s="146"/>
      <c r="S40" s="146"/>
      <c r="T40" s="66"/>
      <c r="U40" s="139"/>
      <c r="V40" s="140"/>
      <c r="W40" s="79" t="str">
        <f t="shared" si="7"/>
        <v/>
      </c>
      <c r="X40" s="128"/>
      <c r="AF40" s="172" t="s">
        <v>59</v>
      </c>
      <c r="AG40" s="172" t="str">
        <f>IF($AA$17=2,TRUNC(0.25*$R$22*100),"")</f>
        <v/>
      </c>
      <c r="AH40" s="172">
        <f>$R$22*100</f>
        <v>350</v>
      </c>
      <c r="AI40" s="172" t="str">
        <f>IF($AB$17=2,TRUNC(0.25*$R$22*100),"")</f>
        <v/>
      </c>
      <c r="AJ40" s="172" t="str">
        <f>IF($AC$17=2,TRUNC(0.25*$R$22*100),"")</f>
        <v/>
      </c>
      <c r="AK40" s="172">
        <f>$N$13*100</f>
        <v>500</v>
      </c>
      <c r="AL40" s="172">
        <f>IF($AD$17=2,TRUNC(0.25*$R$22*100),"")</f>
        <v>87</v>
      </c>
      <c r="AM40" s="172">
        <f>$R$22*100</f>
        <v>350</v>
      </c>
      <c r="AN40" s="172">
        <f>$N$13*100</f>
        <v>500</v>
      </c>
    </row>
    <row r="41" spans="1:40" ht="13.5" customHeight="1" x14ac:dyDescent="0.2">
      <c r="B41" s="129"/>
      <c r="C41" s="66"/>
      <c r="D41" s="159" t="s">
        <v>184</v>
      </c>
      <c r="E41" s="203" t="str">
        <f>IF($AA$10=1,"",E38/(100/$R$18))</f>
        <v/>
      </c>
      <c r="F41" s="203" t="str">
        <f>IF($AA$10=1,"",IF(F$35=0,"",F38/(100/$R$18)))</f>
        <v/>
      </c>
      <c r="G41" s="203" t="str">
        <f>IF($AA$10=1,"",G38/(100/$R$18))</f>
        <v/>
      </c>
      <c r="H41" s="203" t="str">
        <f>IF($AA$10=1,"",IF(H$35=0,"",H38/(100/$R$18)))</f>
        <v/>
      </c>
      <c r="I41" s="66"/>
      <c r="J41" s="66"/>
      <c r="K41" s="79" t="str">
        <f t="shared" si="6"/>
        <v/>
      </c>
      <c r="L41" s="141"/>
      <c r="M41" s="139"/>
      <c r="N41" s="139"/>
      <c r="O41" s="409"/>
      <c r="P41" s="139"/>
      <c r="Q41" s="139"/>
      <c r="R41" s="139"/>
      <c r="S41" s="139"/>
      <c r="T41" s="139"/>
      <c r="U41" s="139"/>
      <c r="V41" s="140"/>
      <c r="W41" s="79" t="str">
        <f t="shared" si="7"/>
        <v/>
      </c>
      <c r="X41" s="128"/>
      <c r="AF41" s="172" t="s">
        <v>58</v>
      </c>
      <c r="AG41" s="189" t="str">
        <f>IF($AA$17=2,7850*PI()*($AG$38/1000)^2/4,"")</f>
        <v/>
      </c>
      <c r="AH41" s="189">
        <f>7850*PI()*(AH38/1000)^2/4</f>
        <v>0.39458403729087799</v>
      </c>
      <c r="AI41" s="189" t="str">
        <f>IF($AB$17=2,7850*PI()*($AI$38/1000)^2/4,"")</f>
        <v/>
      </c>
      <c r="AJ41" s="189" t="str">
        <f>IF($AC$17=2,7850*PI()*($AJ$38/1000)^2/4,"")</f>
        <v/>
      </c>
      <c r="AK41" s="189">
        <f>7850*PI()*(AK38/1000)^2/4</f>
        <v>0.24470375687617107</v>
      </c>
      <c r="AL41" s="189">
        <f>IF($AD$17=2,7850*PI()*($AL$38/1000)^2/4,"")</f>
        <v>0.96333993479218283</v>
      </c>
      <c r="AM41" s="189">
        <f>7850*PI()*(AM38/1000)^2/4</f>
        <v>0.10875722527829827</v>
      </c>
      <c r="AN41" s="189">
        <f>7850*PI()*(AM38/1000)^2/4</f>
        <v>0.10875722527829827</v>
      </c>
    </row>
    <row r="42" spans="1:40" ht="13.5" customHeight="1" x14ac:dyDescent="0.2">
      <c r="B42" s="129"/>
      <c r="C42" s="66"/>
      <c r="D42" s="175" t="s">
        <v>480</v>
      </c>
      <c r="E42" s="340">
        <f>E39/($R$19*$R$15)</f>
        <v>3.723369070921237E-3</v>
      </c>
      <c r="F42" s="340" t="str">
        <f>IF(F$35=0,"",F39/($R$19*$R$15))</f>
        <v/>
      </c>
      <c r="G42" s="340">
        <f>G39/($R$19*$R$15)</f>
        <v>2.4740042147019621E-3</v>
      </c>
      <c r="H42" s="340">
        <f>IF(H$35=0,"",H39/($R$19*$R$15))</f>
        <v>6.4930403720027136E-3</v>
      </c>
      <c r="I42" s="66"/>
      <c r="J42" s="66"/>
      <c r="K42" s="79" t="str">
        <f t="shared" si="6"/>
        <v/>
      </c>
      <c r="L42" s="147"/>
      <c r="M42" s="148"/>
      <c r="N42" s="148"/>
      <c r="O42" s="417"/>
      <c r="P42" s="148"/>
      <c r="Q42" s="148"/>
      <c r="R42" s="148"/>
      <c r="S42" s="148"/>
      <c r="T42" s="148"/>
      <c r="U42" s="148"/>
      <c r="V42" s="149"/>
      <c r="W42" s="79" t="str">
        <f t="shared" si="7"/>
        <v/>
      </c>
      <c r="X42" s="128"/>
      <c r="Z42" s="187" t="s">
        <v>478</v>
      </c>
      <c r="AF42" s="172" t="s">
        <v>60</v>
      </c>
      <c r="AG42" s="177" t="str">
        <f>IF($AA$17=2,AG39*AG40/100*AG41,"")</f>
        <v/>
      </c>
      <c r="AH42" s="177">
        <f>AH39*AH40/100*AH41</f>
        <v>45.574456307096405</v>
      </c>
      <c r="AI42" s="177" t="str">
        <f>IF($AB$17=2,AI39*AI40/100*AI41,"")</f>
        <v/>
      </c>
      <c r="AJ42" s="177" t="str">
        <f>IF($AC$17=2,AJ39*AJ40/100*AJ41,"")</f>
        <v/>
      </c>
      <c r="AK42" s="177">
        <f>AK39*AK40/100*AK41</f>
        <v>30.587969609521384</v>
      </c>
      <c r="AL42" s="177">
        <f>IF($AD$17=2,AL39*AL40/100*AL41,"")</f>
        <v>19.276432095191581</v>
      </c>
      <c r="AM42" s="177">
        <f>AM39*AM40/100*AM41</f>
        <v>0</v>
      </c>
      <c r="AN42" s="177" t="str">
        <f>IF($AB$17=2,AN39*AN40/100*AN41,"")</f>
        <v/>
      </c>
    </row>
    <row r="43" spans="1:40" ht="13.5" customHeight="1" x14ac:dyDescent="0.2">
      <c r="B43" s="129"/>
      <c r="C43" s="66"/>
      <c r="D43" s="334" t="s">
        <v>618</v>
      </c>
      <c r="E43" s="348">
        <f>IF($H$12="NBR",'ELUM-Pos'!B77,'ELUM-Pos'!D77)</f>
        <v>0.91278543407594981</v>
      </c>
      <c r="F43" s="288" t="str">
        <f>IF(F$35=0,"",IF($H$12="NBR",'ELUM-Neg'!B52,'ELUM-Neg'!D52))</f>
        <v/>
      </c>
      <c r="G43" s="348">
        <f>IF($H$12="NBR",'ELUM-Pos'!C77,'ELUM-Pos'!E77)</f>
        <v>0.61862816226645667</v>
      </c>
      <c r="H43" s="288">
        <f>IF(H$35=0,"",IF($H$12="NBR",'ELUM-Neg'!C52,'ELUM-Neg'!E52))</f>
        <v>1.6545840145026505</v>
      </c>
      <c r="I43" s="66"/>
      <c r="J43" s="66"/>
      <c r="K43" s="66"/>
      <c r="L43" s="178" t="str">
        <f t="shared" ref="L43:U43" si="8">IF($AC$17=2,"x","")</f>
        <v/>
      </c>
      <c r="M43" s="178" t="str">
        <f t="shared" si="8"/>
        <v/>
      </c>
      <c r="N43" s="178" t="str">
        <f t="shared" si="8"/>
        <v/>
      </c>
      <c r="O43" s="178" t="str">
        <f t="shared" si="8"/>
        <v/>
      </c>
      <c r="P43" s="178" t="str">
        <f t="shared" si="8"/>
        <v/>
      </c>
      <c r="Q43" s="178" t="str">
        <f t="shared" si="8"/>
        <v/>
      </c>
      <c r="R43" s="178" t="str">
        <f t="shared" si="8"/>
        <v/>
      </c>
      <c r="S43" s="178" t="str">
        <f t="shared" si="8"/>
        <v/>
      </c>
      <c r="T43" s="178" t="str">
        <f t="shared" si="8"/>
        <v/>
      </c>
      <c r="U43" s="178" t="str">
        <f t="shared" si="8"/>
        <v/>
      </c>
      <c r="V43" s="178" t="str">
        <f>IF($AC$17=2,"x","")</f>
        <v/>
      </c>
      <c r="W43" s="66"/>
      <c r="X43" s="128"/>
      <c r="Z43" s="327">
        <f>IF(AA10=1,0,MAX(0.0015,0.035*(D10/1.4)/(D14/1.15))*100*AA8)</f>
        <v>0</v>
      </c>
      <c r="AA43" t="s">
        <v>512</v>
      </c>
      <c r="AF43" s="172" t="s">
        <v>162</v>
      </c>
      <c r="AG43" s="172" t="s">
        <v>163</v>
      </c>
      <c r="AH43" s="185">
        <f>SUM($AG$42:$AN$42)</f>
        <v>95.438858011809373</v>
      </c>
      <c r="AI43" s="172" t="s">
        <v>164</v>
      </c>
      <c r="AJ43" s="184">
        <f>$R$22*$N$13*$R$14/100</f>
        <v>2.1</v>
      </c>
      <c r="AK43" s="453" t="s">
        <v>168</v>
      </c>
      <c r="AL43" s="454"/>
      <c r="AM43" s="455"/>
      <c r="AN43" s="183">
        <f>$AH$43/$AJ$43</f>
        <v>45.44707524371875</v>
      </c>
    </row>
    <row r="44" spans="1:40" ht="13.5" customHeight="1" thickBot="1" x14ac:dyDescent="0.25">
      <c r="A44" s="5"/>
      <c r="B44" s="129"/>
      <c r="C44" s="66"/>
      <c r="D44" s="308" t="s">
        <v>254</v>
      </c>
      <c r="E44" s="182">
        <f>IF($H$12="NBR",'ELUM-Pos'!B49,'ELUM-Pos'!D49)</f>
        <v>39.342857142857149</v>
      </c>
      <c r="F44" s="288" t="str">
        <f>IF(F$35=0,"",IF($H$12="NBR",'ELUM-Neg'!B45,'ELUM-Neg'!D45))</f>
        <v/>
      </c>
      <c r="G44" s="182">
        <f>IF($H$12="NBR",'ELUM-Pos'!C49,'ELUM-Pos'!E49)</f>
        <v>39.342857142857149</v>
      </c>
      <c r="H44" s="288">
        <f>IF(H$35=0,"",IF($H$12="NBR",'ELUM-Neg'!C45,'ELUM-Neg'!E45))</f>
        <v>39.342857142857149</v>
      </c>
      <c r="I44" s="178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128"/>
      <c r="Z44" s="327">
        <f>IF(AA10=1,0,MAX(0.0013,0.26*(0.3*D10^(2/3)/D14))*100*AA8)</f>
        <v>0</v>
      </c>
      <c r="AA44" t="s">
        <v>513</v>
      </c>
    </row>
    <row r="45" spans="1:40" ht="13.5" customHeight="1" thickBot="1" x14ac:dyDescent="0.35">
      <c r="B45" s="129"/>
      <c r="C45" s="66"/>
      <c r="D45" s="365" t="s">
        <v>255</v>
      </c>
      <c r="E45" s="366">
        <f>E37/E44</f>
        <v>0.21490521060275961</v>
      </c>
      <c r="F45" s="367" t="str">
        <f>IF(F$35=0,"",F37/F44)</f>
        <v/>
      </c>
      <c r="G45" s="366">
        <f>G37/G44</f>
        <v>0.14815649963689176</v>
      </c>
      <c r="H45" s="368">
        <f>IF(H$35=0,"",H37/H44)</f>
        <v>0.37264197530864196</v>
      </c>
      <c r="I45" s="178"/>
      <c r="J45" s="66"/>
      <c r="K45" s="66"/>
      <c r="L45" s="190" t="str">
        <f>IF($AD$17=2,"x","")</f>
        <v>x</v>
      </c>
      <c r="M45" s="190" t="str">
        <f t="shared" ref="M45:V45" si="9">IF($AD$17=2,"x","")</f>
        <v>x</v>
      </c>
      <c r="N45" s="190" t="str">
        <f t="shared" si="9"/>
        <v>x</v>
      </c>
      <c r="O45" s="190" t="str">
        <f t="shared" si="9"/>
        <v>x</v>
      </c>
      <c r="P45" s="190" t="str">
        <f t="shared" si="9"/>
        <v>x</v>
      </c>
      <c r="Q45" s="190" t="str">
        <f t="shared" si="9"/>
        <v>x</v>
      </c>
      <c r="R45" s="190" t="str">
        <f t="shared" si="9"/>
        <v>x</v>
      </c>
      <c r="S45" s="190" t="str">
        <f t="shared" si="9"/>
        <v>x</v>
      </c>
      <c r="T45" s="190" t="str">
        <f t="shared" si="9"/>
        <v>x</v>
      </c>
      <c r="U45" s="190" t="str">
        <f t="shared" si="9"/>
        <v>x</v>
      </c>
      <c r="V45" s="190" t="str">
        <f t="shared" si="9"/>
        <v>x</v>
      </c>
      <c r="W45" s="66"/>
      <c r="X45" s="128"/>
      <c r="AF45" s="1" t="s">
        <v>69</v>
      </c>
      <c r="AG45" s="11" t="s">
        <v>70</v>
      </c>
      <c r="AH45" s="11" t="s">
        <v>80</v>
      </c>
      <c r="AI45" s="11" t="s">
        <v>82</v>
      </c>
      <c r="AJ45" s="11" t="s">
        <v>81</v>
      </c>
    </row>
    <row r="46" spans="1:40" ht="13.5" customHeight="1" thickBot="1" x14ac:dyDescent="0.25">
      <c r="B46" s="129"/>
      <c r="C46" s="66"/>
      <c r="D46" s="309" t="s">
        <v>45</v>
      </c>
      <c r="E46" s="310" t="str">
        <f>IF(E45&lt;=1,"OK!","NÃO!")</f>
        <v>OK!</v>
      </c>
      <c r="F46" s="364" t="str">
        <f>IF(F$35=0,"",IF(F45&lt;=1,"OK!","NÃO!"))</f>
        <v/>
      </c>
      <c r="G46" s="310" t="str">
        <f>IF(G45&lt;=1,"OK!","NÃO!")</f>
        <v>OK!</v>
      </c>
      <c r="H46" s="310" t="str">
        <f>IF(H$35=0,"",IF(H45&lt;=1,"OK!","NÃO!"))</f>
        <v>OK!</v>
      </c>
      <c r="I46" s="178"/>
      <c r="J46" s="66"/>
      <c r="K46" s="79" t="str">
        <f>IF($AA$17=2,"x","")</f>
        <v/>
      </c>
      <c r="L46" s="130"/>
      <c r="M46" s="131"/>
      <c r="N46" s="131"/>
      <c r="O46" s="131"/>
      <c r="P46" s="131"/>
      <c r="Q46" s="396">
        <f>IF($AD$17=2,$H$37,0)</f>
        <v>14.660800000000002</v>
      </c>
      <c r="R46" s="131"/>
      <c r="S46" s="131"/>
      <c r="T46" s="131"/>
      <c r="U46" s="131"/>
      <c r="V46" s="133"/>
      <c r="W46" s="79" t="str">
        <f>IF($AB$17=2,"x","")</f>
        <v/>
      </c>
      <c r="X46" s="134"/>
      <c r="AF46" s="1" t="s">
        <v>71</v>
      </c>
      <c r="AG46" s="4" t="s">
        <v>72</v>
      </c>
      <c r="AH46" s="4">
        <v>0.4</v>
      </c>
      <c r="AI46" s="4">
        <v>1.5</v>
      </c>
      <c r="AJ46" s="4">
        <v>20</v>
      </c>
    </row>
    <row r="47" spans="1:40" ht="13.5" customHeight="1" thickTop="1" thickBot="1" x14ac:dyDescent="0.25">
      <c r="B47" s="135"/>
      <c r="C47" s="66"/>
      <c r="D47" s="159" t="s">
        <v>477</v>
      </c>
      <c r="E47" s="357" t="s">
        <v>46</v>
      </c>
      <c r="F47" s="355">
        <v>4.2</v>
      </c>
      <c r="G47" s="358" t="s">
        <v>3</v>
      </c>
      <c r="H47" s="172" t="str">
        <f>IF(AA10=1,"",TRUNC(100/(IF($H$12="NBR",Z43,Z44)/(PI()*(F47/10)^2/4))))</f>
        <v/>
      </c>
      <c r="I47" s="178"/>
      <c r="J47" s="66"/>
      <c r="K47" s="79" t="str">
        <f t="shared" ref="K47:K60" si="10">IF($AA$17=2,"x","")</f>
        <v/>
      </c>
      <c r="L47" s="136"/>
      <c r="M47" s="137"/>
      <c r="N47" s="137"/>
      <c r="O47" s="137"/>
      <c r="P47" s="137"/>
      <c r="Q47" s="397"/>
      <c r="R47" s="139"/>
      <c r="S47" s="139"/>
      <c r="T47" s="139"/>
      <c r="U47" s="139"/>
      <c r="V47" s="140"/>
      <c r="W47" s="79" t="str">
        <f t="shared" ref="W47:W60" si="11">IF($AB$17=2,"x","")</f>
        <v/>
      </c>
      <c r="X47" s="134"/>
      <c r="AF47" s="1" t="s">
        <v>73</v>
      </c>
      <c r="AG47" s="4" t="s">
        <v>74</v>
      </c>
      <c r="AH47" s="4">
        <v>0.3</v>
      </c>
      <c r="AI47" s="4">
        <v>2</v>
      </c>
      <c r="AJ47" s="4">
        <v>25</v>
      </c>
    </row>
    <row r="48" spans="1:40" ht="13.5" customHeight="1" thickTop="1" x14ac:dyDescent="0.2">
      <c r="B48" s="135"/>
      <c r="C48" s="66"/>
      <c r="D48" s="1"/>
      <c r="E48" s="1"/>
      <c r="F48" s="1"/>
      <c r="G48" s="1"/>
      <c r="H48" s="1"/>
      <c r="I48" s="66"/>
      <c r="J48" s="66"/>
      <c r="K48" s="79" t="str">
        <f t="shared" si="10"/>
        <v/>
      </c>
      <c r="L48" s="141"/>
      <c r="M48" s="139"/>
      <c r="N48" s="142"/>
      <c r="O48" s="142"/>
      <c r="P48" s="142"/>
      <c r="Q48" s="397"/>
      <c r="R48" s="139"/>
      <c r="S48" s="139"/>
      <c r="T48" s="139"/>
      <c r="U48" s="139"/>
      <c r="V48" s="140"/>
      <c r="W48" s="79" t="str">
        <f t="shared" si="11"/>
        <v/>
      </c>
      <c r="X48" s="134"/>
      <c r="AF48" s="1" t="s">
        <v>75</v>
      </c>
      <c r="AG48" s="4" t="s">
        <v>76</v>
      </c>
      <c r="AH48" s="4">
        <v>0.3</v>
      </c>
      <c r="AI48" s="4">
        <v>3</v>
      </c>
      <c r="AJ48" s="4">
        <v>30</v>
      </c>
    </row>
    <row r="49" spans="1:42" ht="13.5" customHeight="1" x14ac:dyDescent="0.2">
      <c r="B49" s="135"/>
      <c r="C49" s="66"/>
      <c r="D49" s="471" t="s">
        <v>609</v>
      </c>
      <c r="E49" s="471"/>
      <c r="F49" s="471"/>
      <c r="G49" s="471"/>
      <c r="H49" s="471"/>
      <c r="I49" s="66"/>
      <c r="J49" s="66"/>
      <c r="K49" s="79" t="str">
        <f t="shared" si="10"/>
        <v/>
      </c>
      <c r="L49" s="141"/>
      <c r="M49" s="139"/>
      <c r="N49" s="143"/>
      <c r="O49" s="143"/>
      <c r="P49" s="143"/>
      <c r="Q49" s="139"/>
      <c r="R49" s="139"/>
      <c r="S49" s="139"/>
      <c r="T49" s="139"/>
      <c r="U49" s="139"/>
      <c r="V49" s="140"/>
      <c r="W49" s="79" t="str">
        <f t="shared" si="11"/>
        <v/>
      </c>
      <c r="X49" s="134"/>
      <c r="Y49" s="5"/>
      <c r="AF49" s="1" t="s">
        <v>77</v>
      </c>
      <c r="AG49" s="4" t="s">
        <v>78</v>
      </c>
      <c r="AH49" s="4">
        <v>0.2</v>
      </c>
      <c r="AI49" s="4">
        <v>4</v>
      </c>
      <c r="AJ49" s="4">
        <v>40</v>
      </c>
    </row>
    <row r="50" spans="1:42" ht="13.5" customHeight="1" x14ac:dyDescent="0.2">
      <c r="B50" s="135"/>
      <c r="C50" s="66"/>
      <c r="D50" s="165"/>
      <c r="E50" s="165" t="s">
        <v>2</v>
      </c>
      <c r="F50" s="165" t="s">
        <v>134</v>
      </c>
      <c r="G50" s="165" t="s">
        <v>95</v>
      </c>
      <c r="H50" s="165" t="s">
        <v>135</v>
      </c>
      <c r="I50" s="66"/>
      <c r="J50" s="66"/>
      <c r="K50" s="79" t="str">
        <f t="shared" si="10"/>
        <v/>
      </c>
      <c r="L50" s="141"/>
      <c r="M50" s="139"/>
      <c r="N50" s="143"/>
      <c r="O50" s="143"/>
      <c r="P50" s="143"/>
      <c r="Q50" s="406">
        <f>$G$37</f>
        <v>5.8288999999999991</v>
      </c>
      <c r="R50" s="144"/>
      <c r="S50" s="144"/>
      <c r="T50" s="138"/>
      <c r="U50" s="145"/>
      <c r="V50" s="140"/>
      <c r="W50" s="79" t="str">
        <f t="shared" si="11"/>
        <v/>
      </c>
      <c r="X50" s="134"/>
      <c r="Y50" s="5"/>
      <c r="AG50" s="4"/>
      <c r="AI50" s="10" t="s">
        <v>79</v>
      </c>
      <c r="AO50" s="51"/>
      <c r="AP50" s="53"/>
    </row>
    <row r="51" spans="1:42" ht="13.5" customHeight="1" x14ac:dyDescent="0.2">
      <c r="B51" s="135"/>
      <c r="C51" s="66"/>
      <c r="D51" s="159" t="s">
        <v>47</v>
      </c>
      <c r="E51" s="167">
        <f>Esforços!$J$6</f>
        <v>10.037459628048996</v>
      </c>
      <c r="F51" s="167">
        <f>Esforços!$K$6</f>
        <v>0</v>
      </c>
      <c r="G51" s="167">
        <f>Esforços!$L$6</f>
        <v>9.625</v>
      </c>
      <c r="H51" s="167">
        <f>Esforços!$M$6</f>
        <v>16.670989022850442</v>
      </c>
      <c r="I51" s="1"/>
      <c r="J51" s="66"/>
      <c r="K51" s="79" t="str">
        <f t="shared" si="10"/>
        <v/>
      </c>
      <c r="L51" s="141"/>
      <c r="M51" s="139"/>
      <c r="N51" s="143"/>
      <c r="O51" s="143"/>
      <c r="P51" s="143"/>
      <c r="Q51" s="406"/>
      <c r="R51" s="139"/>
      <c r="S51" s="139"/>
      <c r="T51" s="138"/>
      <c r="U51" s="139"/>
      <c r="V51" s="140"/>
      <c r="W51" s="79" t="str">
        <f t="shared" si="11"/>
        <v/>
      </c>
      <c r="X51" s="134"/>
      <c r="AD51" s="26"/>
      <c r="AO51" s="51"/>
      <c r="AP51" s="53"/>
    </row>
    <row r="52" spans="1:42" ht="13.5" customHeight="1" x14ac:dyDescent="0.2">
      <c r="B52" s="135"/>
      <c r="C52" s="66"/>
      <c r="D52" s="159" t="s">
        <v>48</v>
      </c>
      <c r="E52" s="167">
        <f>Esforços!$J$7</f>
        <v>0</v>
      </c>
      <c r="F52" s="167">
        <f>Esforços!$K$7</f>
        <v>0</v>
      </c>
      <c r="G52" s="167">
        <f>Esforços!$L$7</f>
        <v>0</v>
      </c>
      <c r="H52" s="167">
        <f>Esforços!$M$7</f>
        <v>0</v>
      </c>
      <c r="I52" s="1"/>
      <c r="J52" s="66"/>
      <c r="K52" s="79" t="str">
        <f t="shared" si="10"/>
        <v/>
      </c>
      <c r="L52" s="141"/>
      <c r="M52" s="139"/>
      <c r="N52" s="142"/>
      <c r="O52" s="142"/>
      <c r="P52" s="142"/>
      <c r="Q52" s="406"/>
      <c r="R52" s="139"/>
      <c r="S52" s="139"/>
      <c r="T52" s="138"/>
      <c r="U52" s="139"/>
      <c r="V52" s="140"/>
      <c r="W52" s="79" t="str">
        <f t="shared" si="11"/>
        <v/>
      </c>
      <c r="X52" s="134"/>
      <c r="AD52" s="26"/>
      <c r="AF52" s="51"/>
      <c r="AG52" s="270"/>
      <c r="AO52" s="51"/>
      <c r="AP52" s="53"/>
    </row>
    <row r="53" spans="1:42" ht="13.5" customHeight="1" thickBot="1" x14ac:dyDescent="0.25">
      <c r="B53" s="135"/>
      <c r="C53" s="66"/>
      <c r="D53" s="308" t="s">
        <v>49</v>
      </c>
      <c r="E53" s="280">
        <f>IF(E$51=0,"",E51*$G$27+E52*$G$28)</f>
        <v>10.037459628048996</v>
      </c>
      <c r="F53" s="280" t="str">
        <f>IF(F$51=0,"",F51*$G$27+F52*$G$28)</f>
        <v/>
      </c>
      <c r="G53" s="280">
        <f>IF(G$51=0,"",G51*$G$27+G52*$G$28)</f>
        <v>9.625</v>
      </c>
      <c r="H53" s="280">
        <f>IF(H$51=0,"",H51*$G$27+H52*$G$28)</f>
        <v>16.670989022850442</v>
      </c>
      <c r="I53" s="1"/>
      <c r="J53" s="66"/>
      <c r="K53" s="79" t="str">
        <f t="shared" si="10"/>
        <v/>
      </c>
      <c r="L53" s="404">
        <f>IF($AA$17=2,$F$37,0)</f>
        <v>0</v>
      </c>
      <c r="M53" s="405"/>
      <c r="N53" s="405"/>
      <c r="O53" s="142"/>
      <c r="P53" s="381">
        <f>$E$37</f>
        <v>8.4549850000000006</v>
      </c>
      <c r="Q53" s="381"/>
      <c r="R53" s="381"/>
      <c r="S53" s="139"/>
      <c r="T53" s="384">
        <f>IF($AB$17=2,$F$37,0)</f>
        <v>0</v>
      </c>
      <c r="U53" s="384"/>
      <c r="V53" s="385"/>
      <c r="W53" s="79" t="str">
        <f t="shared" si="11"/>
        <v/>
      </c>
      <c r="X53" s="134"/>
      <c r="AD53" s="265"/>
      <c r="AF53" s="51"/>
      <c r="AG53" s="271"/>
      <c r="AO53" s="51"/>
      <c r="AP53" s="53"/>
    </row>
    <row r="54" spans="1:42" ht="13.5" customHeight="1" x14ac:dyDescent="0.2">
      <c r="A54" s="5"/>
      <c r="B54" s="135"/>
      <c r="C54" s="66"/>
      <c r="D54" s="315" t="s">
        <v>556</v>
      </c>
      <c r="E54" s="316">
        <f>IF(E$51=0,"",IF($H$12="NBR",ELUV!B36,ELUV!F36))</f>
        <v>58.776223338755557</v>
      </c>
      <c r="F54" s="316" t="str">
        <f>IF(F$51=0,"",IF($H$12="NBR",ELUV!C36,ELUV!G36))</f>
        <v/>
      </c>
      <c r="G54" s="316">
        <f>IF(G$51=0,"",IF($H$12="NBR",ELUV!D36,ELUV!H36))</f>
        <v>56.598714096831813</v>
      </c>
      <c r="H54" s="317">
        <f>IF(H$51=0,"",IF($H$12="NBR",ELUV!E36,ELUV!I36))</f>
        <v>63.603464016427829</v>
      </c>
      <c r="I54" s="1"/>
      <c r="J54" s="66"/>
      <c r="K54" s="79" t="str">
        <f t="shared" si="10"/>
        <v/>
      </c>
      <c r="L54" s="150"/>
      <c r="M54" s="138"/>
      <c r="N54" s="138"/>
      <c r="O54" s="138"/>
      <c r="P54" s="138"/>
      <c r="Q54" s="138"/>
      <c r="R54" s="138"/>
      <c r="S54" s="138"/>
      <c r="T54" s="138"/>
      <c r="U54" s="138"/>
      <c r="V54" s="151"/>
      <c r="W54" s="79" t="str">
        <f t="shared" si="11"/>
        <v/>
      </c>
      <c r="X54" s="134"/>
      <c r="AD54" s="26"/>
      <c r="AF54" s="51"/>
      <c r="AG54" s="265"/>
    </row>
    <row r="55" spans="1:42" ht="13.5" customHeight="1" thickBot="1" x14ac:dyDescent="0.3">
      <c r="B55" s="135"/>
      <c r="C55" s="66"/>
      <c r="D55" s="312" t="s">
        <v>557</v>
      </c>
      <c r="E55" s="318">
        <f>IF(E$51=0,"",E53/E54)</f>
        <v>0.17077415080241382</v>
      </c>
      <c r="F55" s="318" t="str">
        <f>IF(F$51=0,"",F53/F54)</f>
        <v/>
      </c>
      <c r="G55" s="318">
        <f>IF(G$51=0,"",G53/G54)</f>
        <v>0.17005686707887188</v>
      </c>
      <c r="H55" s="319">
        <f>IF(H$51=0,"",H53/H54)</f>
        <v>0.26210819301515675</v>
      </c>
      <c r="I55" s="1"/>
      <c r="J55" s="66"/>
      <c r="K55" s="79" t="str">
        <f t="shared" si="10"/>
        <v/>
      </c>
      <c r="L55" s="141"/>
      <c r="M55" s="401" t="s">
        <v>52</v>
      </c>
      <c r="N55" s="401"/>
      <c r="O55" s="401"/>
      <c r="P55" s="401"/>
      <c r="Q55" s="401"/>
      <c r="R55" s="401"/>
      <c r="S55" s="401"/>
      <c r="T55" s="401"/>
      <c r="U55" s="401"/>
      <c r="V55" s="140"/>
      <c r="W55" s="79" t="str">
        <f t="shared" si="11"/>
        <v/>
      </c>
      <c r="X55" s="134"/>
      <c r="AD55" s="266"/>
      <c r="AF55" s="4" t="s">
        <v>479</v>
      </c>
      <c r="AG55" s="270">
        <v>1</v>
      </c>
    </row>
    <row r="56" spans="1:42" ht="13.5" customHeight="1" x14ac:dyDescent="0.2">
      <c r="B56" s="135"/>
      <c r="C56" s="66"/>
      <c r="D56" s="309" t="s">
        <v>45</v>
      </c>
      <c r="E56" s="310" t="str">
        <f>IF(E$51=0,"",IF(E55&lt;=1,"OK!","NÃO!"))</f>
        <v>OK!</v>
      </c>
      <c r="F56" s="310" t="str">
        <f>IF(F$51=0,"",IF(F55&lt;=1,"OK!","NÃO!"))</f>
        <v/>
      </c>
      <c r="G56" s="310" t="str">
        <f>IF(G$51=0,"",IF(G55&lt;=1,"OK!","NÃO!"))</f>
        <v>OK!</v>
      </c>
      <c r="H56" s="310" t="str">
        <f>IF(H$51=0,"",IF(H55&lt;=1,"OK!","NÃO!"))</f>
        <v>OK!</v>
      </c>
      <c r="I56" s="1"/>
      <c r="J56" s="66"/>
      <c r="K56" s="79" t="str">
        <f t="shared" si="10"/>
        <v/>
      </c>
      <c r="L56" s="141"/>
      <c r="M56" s="139"/>
      <c r="N56" s="142"/>
      <c r="O56" s="142"/>
      <c r="P56" s="400" t="s">
        <v>62</v>
      </c>
      <c r="Q56" s="400"/>
      <c r="R56" s="400"/>
      <c r="S56" s="139"/>
      <c r="T56" s="139"/>
      <c r="U56" s="139"/>
      <c r="V56" s="140"/>
      <c r="W56" s="79" t="str">
        <f t="shared" si="11"/>
        <v/>
      </c>
      <c r="X56" s="134"/>
      <c r="AD56" s="26"/>
      <c r="AE56" s="192"/>
      <c r="AF56" s="272" t="s">
        <v>232</v>
      </c>
      <c r="AG56" s="291">
        <f>D10</f>
        <v>25</v>
      </c>
      <c r="AH56" s="272"/>
      <c r="AI56" s="272"/>
    </row>
    <row r="57" spans="1:42" ht="13.5" customHeight="1" x14ac:dyDescent="0.2">
      <c r="B57" s="135"/>
      <c r="C57" s="66"/>
      <c r="D57" s="1"/>
      <c r="E57" s="1"/>
      <c r="F57" s="1"/>
      <c r="G57" s="1"/>
      <c r="H57" s="1"/>
      <c r="I57" s="1"/>
      <c r="J57" s="66"/>
      <c r="K57" s="79" t="str">
        <f t="shared" si="10"/>
        <v/>
      </c>
      <c r="L57" s="141"/>
      <c r="M57" s="139"/>
      <c r="N57" s="142"/>
      <c r="O57" s="142"/>
      <c r="P57" s="142"/>
      <c r="Q57" s="139"/>
      <c r="R57" s="139"/>
      <c r="S57" s="139"/>
      <c r="T57" s="139"/>
      <c r="U57" s="139"/>
      <c r="V57" s="140"/>
      <c r="W57" s="79" t="str">
        <f t="shared" si="11"/>
        <v/>
      </c>
      <c r="X57" s="134"/>
      <c r="AD57" s="26"/>
      <c r="AE57" s="192"/>
      <c r="AF57" s="289" t="s">
        <v>483</v>
      </c>
      <c r="AG57" s="325">
        <f>SQRT(AG56)/1000</f>
        <v>5.0000000000000001E-3</v>
      </c>
      <c r="AH57" s="273"/>
      <c r="AI57" s="273"/>
    </row>
    <row r="58" spans="1:42" ht="13.5" customHeight="1" x14ac:dyDescent="0.2">
      <c r="B58" s="135"/>
      <c r="C58" s="66"/>
      <c r="D58" s="471" t="s">
        <v>610</v>
      </c>
      <c r="E58" s="471"/>
      <c r="F58" s="471"/>
      <c r="G58" s="471"/>
      <c r="H58" s="471"/>
      <c r="I58" s="1"/>
      <c r="J58" s="66"/>
      <c r="K58" s="79" t="str">
        <f t="shared" si="10"/>
        <v/>
      </c>
      <c r="L58" s="136"/>
      <c r="M58" s="137"/>
      <c r="N58" s="137"/>
      <c r="O58" s="137"/>
      <c r="P58" s="137"/>
      <c r="Q58" s="406">
        <f>IF($AC$17=2,$H$37,0)</f>
        <v>0</v>
      </c>
      <c r="R58" s="146"/>
      <c r="S58" s="146"/>
      <c r="T58" s="139"/>
      <c r="U58" s="139"/>
      <c r="V58" s="140"/>
      <c r="W58" s="79" t="str">
        <f t="shared" si="11"/>
        <v/>
      </c>
      <c r="X58" s="134"/>
      <c r="AD58" s="26"/>
      <c r="AE58" s="274"/>
      <c r="AF58" s="290" t="s">
        <v>480</v>
      </c>
      <c r="AG58" s="325">
        <f>E42</f>
        <v>3.723369070921237E-3</v>
      </c>
      <c r="AH58" s="275"/>
      <c r="AI58" s="275"/>
    </row>
    <row r="59" spans="1:42" ht="13.5" customHeight="1" x14ac:dyDescent="0.2">
      <c r="B59" s="135"/>
      <c r="C59" s="66"/>
      <c r="D59" s="165"/>
      <c r="E59" s="165" t="s">
        <v>2</v>
      </c>
      <c r="F59" s="165" t="s">
        <v>134</v>
      </c>
      <c r="G59" s="165" t="s">
        <v>95</v>
      </c>
      <c r="H59" s="165" t="s">
        <v>135</v>
      </c>
      <c r="I59" s="1"/>
      <c r="J59" s="66"/>
      <c r="K59" s="79" t="str">
        <f t="shared" si="10"/>
        <v/>
      </c>
      <c r="L59" s="141"/>
      <c r="M59" s="139"/>
      <c r="N59" s="139"/>
      <c r="O59" s="139"/>
      <c r="P59" s="139"/>
      <c r="Q59" s="406"/>
      <c r="R59" s="139"/>
      <c r="S59" s="139"/>
      <c r="T59" s="139"/>
      <c r="U59" s="139"/>
      <c r="V59" s="140"/>
      <c r="W59" s="79" t="str">
        <f t="shared" si="11"/>
        <v/>
      </c>
      <c r="X59" s="134"/>
      <c r="AD59" s="26"/>
      <c r="AE59" s="274"/>
      <c r="AF59" s="290" t="s">
        <v>354</v>
      </c>
      <c r="AG59" s="325">
        <f>0</f>
        <v>0</v>
      </c>
      <c r="AH59" s="276"/>
      <c r="AI59" s="276"/>
    </row>
    <row r="60" spans="1:42" ht="13.5" customHeight="1" x14ac:dyDescent="0.3">
      <c r="B60" s="135"/>
      <c r="C60" s="66"/>
      <c r="D60" s="159" t="s">
        <v>182</v>
      </c>
      <c r="E60" s="169">
        <f>E35*$H$27+E36*$H$28</f>
        <v>8.4549850000000006</v>
      </c>
      <c r="F60" s="169" t="str">
        <f>IF(F$35=0,"",F35*$H$27+F36*$H$28)</f>
        <v/>
      </c>
      <c r="G60" s="169">
        <f>G35*$H$27+G36*$H$28</f>
        <v>5.8288999999999991</v>
      </c>
      <c r="H60" s="169">
        <f>IF(H$35=0,"",H35*$H$27+H36*$H$28)</f>
        <v>14.660800000000002</v>
      </c>
      <c r="I60" s="1"/>
      <c r="J60" s="66"/>
      <c r="K60" s="79" t="str">
        <f t="shared" si="10"/>
        <v/>
      </c>
      <c r="L60" s="105"/>
      <c r="M60" s="152"/>
      <c r="N60" s="152"/>
      <c r="O60" s="152"/>
      <c r="P60" s="152"/>
      <c r="Q60" s="407"/>
      <c r="R60" s="152"/>
      <c r="S60" s="152"/>
      <c r="T60" s="152"/>
      <c r="U60" s="152"/>
      <c r="V60" s="153"/>
      <c r="W60" s="79" t="str">
        <f t="shared" si="11"/>
        <v/>
      </c>
      <c r="X60" s="134"/>
      <c r="AD60" s="26"/>
      <c r="AE60" s="88"/>
      <c r="AF60" s="51" t="s">
        <v>481</v>
      </c>
      <c r="AG60" s="299">
        <f>AG55*(11+1.5*SQRT(AG56)*AG57/AG58+3.2*SQRT(AG56)*(AG57/AG58-1)^(3/2))</f>
        <v>24.283807451924375</v>
      </c>
      <c r="AH60" s="277"/>
      <c r="AI60" s="277"/>
    </row>
    <row r="61" spans="1:42" ht="13.5" customHeight="1" x14ac:dyDescent="0.3">
      <c r="B61" s="135"/>
      <c r="C61" s="66"/>
      <c r="D61" s="159" t="s">
        <v>668</v>
      </c>
      <c r="E61" s="179">
        <f>IF($H$12="NBR",'ELSW-Pos'!B68,'ELSW-Pos'!D68)</f>
        <v>6.1559134080361062</v>
      </c>
      <c r="F61" s="179" t="str">
        <f>IF(F$35=0,"",IF($H$12="NBR",'ELSW-Neg'!B58,'ELSW-Neg'!D58))</f>
        <v/>
      </c>
      <c r="G61" s="179">
        <f>IF($H$12="NBR",'ELSW-Pos'!C68,'ELSW-Pos'!E68)</f>
        <v>6.1559134080361062</v>
      </c>
      <c r="H61" s="179">
        <f>IF(H$35=0,"",IF($H$12="NBR",'ELSW-Neg'!C58,'ELSW-Neg'!E58))</f>
        <v>6.1559134080361062</v>
      </c>
      <c r="I61" s="1"/>
      <c r="J61" s="66"/>
      <c r="K61" s="66"/>
      <c r="L61" s="178" t="str">
        <f t="shared" ref="L61:U61" si="12">IF($AC$17=2,"x","")</f>
        <v/>
      </c>
      <c r="M61" s="178" t="str">
        <f t="shared" si="12"/>
        <v/>
      </c>
      <c r="N61" s="178" t="str">
        <f t="shared" si="12"/>
        <v/>
      </c>
      <c r="O61" s="178" t="str">
        <f t="shared" si="12"/>
        <v/>
      </c>
      <c r="P61" s="178" t="str">
        <f t="shared" si="12"/>
        <v/>
      </c>
      <c r="Q61" s="178" t="str">
        <f t="shared" si="12"/>
        <v/>
      </c>
      <c r="R61" s="178" t="str">
        <f t="shared" si="12"/>
        <v/>
      </c>
      <c r="S61" s="178" t="str">
        <f t="shared" si="12"/>
        <v/>
      </c>
      <c r="T61" s="178" t="str">
        <f t="shared" si="12"/>
        <v/>
      </c>
      <c r="U61" s="178" t="str">
        <f t="shared" si="12"/>
        <v/>
      </c>
      <c r="V61" s="178" t="str">
        <f>IF($AC$17=2,"x","")</f>
        <v/>
      </c>
      <c r="W61" s="66"/>
      <c r="X61" s="134"/>
      <c r="AD61" s="26"/>
      <c r="AE61" s="88"/>
      <c r="AF61" s="51" t="s">
        <v>482</v>
      </c>
      <c r="AG61" s="299">
        <f>AG55*(11+1.5*SQRT(AG56)*AG57/(AG58-AG59)+(1/12)*SQRT(AG56)*SQRT(AG59/AG57))</f>
        <v>21.071523742533998</v>
      </c>
      <c r="AH61" s="277"/>
      <c r="AI61" s="277"/>
    </row>
    <row r="62" spans="1:42" ht="13.5" customHeight="1" x14ac:dyDescent="0.2">
      <c r="B62" s="135"/>
      <c r="C62" s="66"/>
      <c r="D62" s="159" t="s">
        <v>461</v>
      </c>
      <c r="E62" s="203">
        <f>IF($H$12="NBR",'ELSW-Pos'!B63,'ELSW-Pos'!D63)</f>
        <v>2.0301869403403803</v>
      </c>
      <c r="F62" s="182" t="str">
        <f>IF(F$35=0,"",IF($H$12="NBR",'ELSW-Neg'!B53,'ELSW-Neg'!D53))</f>
        <v/>
      </c>
      <c r="G62" s="203">
        <f>IF($H$12="NBR",'ELSW-Pos'!C63,'ELSW-Pos'!E63)</f>
        <v>1.6942938659439082</v>
      </c>
      <c r="H62" s="182">
        <f>IF(H$35=0,"",IF($H$12="NBR",'ELSW-Neg'!C53,'ELSW-Neg'!E53))</f>
        <v>2.5742137732706194</v>
      </c>
      <c r="I62" s="1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134"/>
      <c r="AD62" s="26"/>
      <c r="AF62" s="51" t="s">
        <v>600</v>
      </c>
      <c r="AG62" s="262">
        <f>IF(AG58&lt;=AG57,AG60,AG61)</f>
        <v>24.283807451924375</v>
      </c>
    </row>
    <row r="63" spans="1:42" ht="13.5" customHeight="1" x14ac:dyDescent="0.2">
      <c r="B63" s="135"/>
      <c r="C63" s="66"/>
      <c r="D63" s="159" t="s">
        <v>666</v>
      </c>
      <c r="E63" s="278">
        <f>IF($H$12="NBR",'ELSW-Pos'!B64,'ELSW-Pos'!D64)</f>
        <v>1715.2842507249202</v>
      </c>
      <c r="F63" s="285" t="str">
        <f>IF(F$35=0,"",IF($H$12="NBR",'ELSW-Neg'!B54,'ELSW-Neg'!D54))</f>
        <v/>
      </c>
      <c r="G63" s="278">
        <f>IF($H$12="NBR",'ELSW-Pos'!C64,'ELSW-Pos'!E64)</f>
        <v>1210.722705416018</v>
      </c>
      <c r="H63" s="285">
        <f>IF(H$35=0,"",IF($H$12="NBR",'ELSW-Neg'!C54,'ELSW-Neg'!E54))</f>
        <v>2697.6557039579493</v>
      </c>
      <c r="I63" s="1"/>
      <c r="J63" s="66"/>
      <c r="K63" s="66"/>
      <c r="L63" s="190" t="str">
        <f>IF($AD$17=2,"x","")</f>
        <v>x</v>
      </c>
      <c r="M63" s="190" t="str">
        <f t="shared" ref="M63:V63" si="13">IF($AD$17=2,"x","")</f>
        <v>x</v>
      </c>
      <c r="N63" s="190" t="str">
        <f t="shared" si="13"/>
        <v>x</v>
      </c>
      <c r="O63" s="190" t="str">
        <f t="shared" si="13"/>
        <v>x</v>
      </c>
      <c r="P63" s="190" t="str">
        <f t="shared" si="13"/>
        <v>x</v>
      </c>
      <c r="Q63" s="190" t="str">
        <f t="shared" si="13"/>
        <v>x</v>
      </c>
      <c r="R63" s="190" t="str">
        <f t="shared" si="13"/>
        <v>x</v>
      </c>
      <c r="S63" s="190" t="str">
        <f t="shared" si="13"/>
        <v>x</v>
      </c>
      <c r="T63" s="190" t="str">
        <f t="shared" si="13"/>
        <v>x</v>
      </c>
      <c r="U63" s="190" t="str">
        <f t="shared" si="13"/>
        <v>x</v>
      </c>
      <c r="V63" s="190" t="str">
        <f t="shared" si="13"/>
        <v>x</v>
      </c>
      <c r="W63" s="66"/>
      <c r="X63" s="134"/>
      <c r="AF63" s="51" t="s">
        <v>601</v>
      </c>
      <c r="AG63" s="326">
        <f>R22*100/R15</f>
        <v>38.888888888888886</v>
      </c>
    </row>
    <row r="64" spans="1:42" ht="13.5" customHeight="1" thickBot="1" x14ac:dyDescent="0.25">
      <c r="B64" s="135"/>
      <c r="C64" s="66"/>
      <c r="D64" s="308" t="s">
        <v>83</v>
      </c>
      <c r="E64" s="267">
        <f>IF($H$12="NBR",'ELSW-Pos'!B87,'ELSW-Pos'!D87)</f>
        <v>0.1455789468284211</v>
      </c>
      <c r="F64" s="267" t="str">
        <f>IF(F$35=0,"",IF($H$12="NBR",'ELSW-Neg'!B77,'ELSW-Neg'!D77))</f>
        <v/>
      </c>
      <c r="G64" s="267">
        <f>IF($H$12="NBR",'ELSW-Pos'!C87,'ELSW-Pos'!E87)</f>
        <v>0</v>
      </c>
      <c r="H64" s="267">
        <f>IF(H$35=0,"",IF($H$12="NBR",'ELSW-Neg'!C77,'ELSW-Neg'!E77))</f>
        <v>0.23502696924894143</v>
      </c>
      <c r="I64" s="1"/>
      <c r="J64" s="66"/>
      <c r="K64" s="79" t="str">
        <f>IF($AA$17=2,"x","")</f>
        <v/>
      </c>
      <c r="L64" s="130"/>
      <c r="M64" s="131"/>
      <c r="N64" s="131"/>
      <c r="O64" s="132"/>
      <c r="P64" s="198" t="s">
        <v>66</v>
      </c>
      <c r="Q64" s="383">
        <f>IF($AD$17=2,$H$51,$G$51)</f>
        <v>16.670989022850442</v>
      </c>
      <c r="R64" s="383"/>
      <c r="S64" s="383"/>
      <c r="T64" s="131"/>
      <c r="U64" s="131"/>
      <c r="V64" s="133"/>
      <c r="W64" s="79" t="str">
        <f>IF($AB$17=2,"x","")</f>
        <v/>
      </c>
      <c r="X64" s="134"/>
      <c r="AF64" s="4"/>
    </row>
    <row r="65" spans="2:26" ht="13.5" customHeight="1" thickTop="1" thickBot="1" x14ac:dyDescent="0.25">
      <c r="B65" s="135"/>
      <c r="C65" s="1"/>
      <c r="D65" s="311" t="s">
        <v>554</v>
      </c>
      <c r="E65" s="472">
        <v>0.3</v>
      </c>
      <c r="F65" s="473"/>
      <c r="G65" s="473"/>
      <c r="H65" s="474"/>
      <c r="I65" s="296"/>
      <c r="J65" s="66"/>
      <c r="K65" s="79" t="str">
        <f t="shared" ref="K65:K78" si="14">IF($AA$17=2,"x","")</f>
        <v/>
      </c>
      <c r="L65" s="136"/>
      <c r="M65" s="137"/>
      <c r="N65" s="137"/>
      <c r="O65" s="138"/>
      <c r="P65" s="193" t="s">
        <v>67</v>
      </c>
      <c r="Q65" s="387">
        <f>IF($AD$17=2,$H$52,$G$52)</f>
        <v>0</v>
      </c>
      <c r="R65" s="387"/>
      <c r="S65" s="387"/>
      <c r="T65" s="139"/>
      <c r="U65" s="139"/>
      <c r="V65" s="140"/>
      <c r="W65" s="79" t="str">
        <f t="shared" ref="W65:W78" si="15">IF($AB$17=2,"x","")</f>
        <v/>
      </c>
      <c r="X65" s="134"/>
    </row>
    <row r="66" spans="2:26" ht="13.5" customHeight="1" thickTop="1" thickBot="1" x14ac:dyDescent="0.25">
      <c r="B66" s="135"/>
      <c r="C66" s="1"/>
      <c r="D66" s="312" t="s">
        <v>555</v>
      </c>
      <c r="E66" s="313">
        <f>E64/$E$65</f>
        <v>0.48526315609473702</v>
      </c>
      <c r="F66" s="313" t="str">
        <f>IF(F$35=0,"",F64/$E$65)</f>
        <v/>
      </c>
      <c r="G66" s="313">
        <f>G64/$E$65</f>
        <v>0</v>
      </c>
      <c r="H66" s="314">
        <f>IF(H$35=0,"",H64/$E$65)</f>
        <v>0.78342323082980481</v>
      </c>
      <c r="I66" s="66"/>
      <c r="J66" s="66"/>
      <c r="K66" s="79" t="str">
        <f t="shared" si="14"/>
        <v/>
      </c>
      <c r="L66" s="141"/>
      <c r="M66" s="139"/>
      <c r="N66" s="137"/>
      <c r="O66" s="138"/>
      <c r="P66" s="137"/>
      <c r="Q66" s="410">
        <f>$Q$64+$Q$65</f>
        <v>16.670989022850442</v>
      </c>
      <c r="R66" s="410"/>
      <c r="S66" s="410"/>
      <c r="T66" s="139"/>
      <c r="U66" s="139"/>
      <c r="V66" s="140"/>
      <c r="W66" s="79" t="str">
        <f t="shared" si="15"/>
        <v/>
      </c>
      <c r="X66" s="134"/>
    </row>
    <row r="67" spans="2:26" ht="13.5" customHeight="1" x14ac:dyDescent="0.2">
      <c r="B67" s="135"/>
      <c r="C67" s="1"/>
      <c r="D67" s="309" t="s">
        <v>45</v>
      </c>
      <c r="E67" s="310" t="str">
        <f>IF(E66&lt;=1,"OK!","NÃO!")</f>
        <v>OK!</v>
      </c>
      <c r="F67" s="310" t="str">
        <f>IF(F$35=0,"",IF(F66&lt;=1,"OK!","NÃO!"))</f>
        <v/>
      </c>
      <c r="G67" s="310" t="str">
        <f>IF(G66&lt;=1,"OK!","NÃO!")</f>
        <v>OK!</v>
      </c>
      <c r="H67" s="310" t="str">
        <f>IF(H$35=0,"",IF(H66&lt;=1,"OK!","NÃO!"))</f>
        <v>OK!</v>
      </c>
      <c r="I67" s="297"/>
      <c r="J67" s="66"/>
      <c r="K67" s="79" t="str">
        <f t="shared" si="14"/>
        <v/>
      </c>
      <c r="L67" s="150"/>
      <c r="M67" s="139"/>
      <c r="N67" s="66"/>
      <c r="O67" s="66"/>
      <c r="P67" s="66"/>
      <c r="Q67" s="66"/>
      <c r="R67" s="66"/>
      <c r="S67" s="66"/>
      <c r="T67" s="66"/>
      <c r="U67" s="139"/>
      <c r="V67" s="140"/>
      <c r="W67" s="79" t="str">
        <f t="shared" si="15"/>
        <v/>
      </c>
      <c r="X67" s="134"/>
    </row>
    <row r="68" spans="2:26" ht="13.5" customHeight="1" x14ac:dyDescent="0.2">
      <c r="B68" s="135"/>
      <c r="C68" s="1"/>
      <c r="D68" s="1"/>
      <c r="E68" s="1"/>
      <c r="F68" s="1"/>
      <c r="G68" s="1"/>
      <c r="H68" s="1"/>
      <c r="I68" s="298"/>
      <c r="J68" s="66"/>
      <c r="K68" s="79" t="str">
        <f t="shared" si="14"/>
        <v/>
      </c>
      <c r="L68" s="150"/>
      <c r="M68" s="139"/>
      <c r="N68" s="66"/>
      <c r="O68" s="66"/>
      <c r="P68" s="66"/>
      <c r="Q68" s="66"/>
      <c r="R68" s="66"/>
      <c r="S68" s="66"/>
      <c r="T68" s="66"/>
      <c r="U68" s="145"/>
      <c r="V68" s="140"/>
      <c r="W68" s="79" t="str">
        <f t="shared" si="15"/>
        <v/>
      </c>
      <c r="X68" s="134"/>
    </row>
    <row r="69" spans="2:26" ht="13.5" customHeight="1" x14ac:dyDescent="0.3">
      <c r="B69" s="135"/>
      <c r="C69" s="66"/>
      <c r="D69" s="462" t="s">
        <v>607</v>
      </c>
      <c r="E69" s="463"/>
      <c r="F69" s="463"/>
      <c r="G69" s="463"/>
      <c r="H69" s="464"/>
      <c r="I69" s="66"/>
      <c r="J69" s="66"/>
      <c r="K69" s="79" t="str">
        <f t="shared" si="14"/>
        <v/>
      </c>
      <c r="L69" s="468">
        <f>IF($AA$17=2,$F$51,$E$51)</f>
        <v>10.037459628048996</v>
      </c>
      <c r="M69" s="379">
        <f>IF($AA$17=2,$F$52,$E$52)</f>
        <v>0</v>
      </c>
      <c r="N69" s="386">
        <f>$L$69+$M$69</f>
        <v>10.037459628048996</v>
      </c>
      <c r="O69" s="402" t="s">
        <v>68</v>
      </c>
      <c r="P69" s="403"/>
      <c r="Q69" s="381">
        <f>$E$78</f>
        <v>14.158194744955244</v>
      </c>
      <c r="R69" s="381"/>
      <c r="S69" s="139"/>
      <c r="T69" s="379">
        <f>$V$69+$U$69</f>
        <v>10.037459628048996</v>
      </c>
      <c r="U69" s="386">
        <f>IF($AB$17=2,$F$51,$E$51)</f>
        <v>10.037459628048996</v>
      </c>
      <c r="V69" s="378">
        <f>IF($AB$17=2,$F$52,$E$52)</f>
        <v>0</v>
      </c>
      <c r="W69" s="79" t="str">
        <f t="shared" si="15"/>
        <v/>
      </c>
      <c r="X69" s="134"/>
    </row>
    <row r="70" spans="2:26" ht="13.5" customHeight="1" x14ac:dyDescent="0.3">
      <c r="B70" s="135"/>
      <c r="C70" s="66"/>
      <c r="D70" s="295"/>
      <c r="E70" s="165" t="s">
        <v>2</v>
      </c>
      <c r="F70" s="165" t="s">
        <v>95</v>
      </c>
      <c r="G70" s="172" t="s">
        <v>161</v>
      </c>
      <c r="H70" s="173">
        <f>I27*(I21+I22)+I28*I23</f>
        <v>11</v>
      </c>
      <c r="I70" s="66"/>
      <c r="J70" s="66"/>
      <c r="K70" s="79" t="str">
        <f t="shared" si="14"/>
        <v/>
      </c>
      <c r="L70" s="468"/>
      <c r="M70" s="379"/>
      <c r="N70" s="386"/>
      <c r="O70" s="402" t="s">
        <v>623</v>
      </c>
      <c r="P70" s="403"/>
      <c r="Q70" s="381">
        <f>F78</f>
        <v>14</v>
      </c>
      <c r="R70" s="381"/>
      <c r="S70" s="138"/>
      <c r="T70" s="379"/>
      <c r="U70" s="386"/>
      <c r="V70" s="378"/>
      <c r="W70" s="79" t="str">
        <f t="shared" si="15"/>
        <v/>
      </c>
      <c r="X70" s="134"/>
    </row>
    <row r="71" spans="2:26" ht="13.5" customHeight="1" x14ac:dyDescent="0.3">
      <c r="B71" s="135"/>
      <c r="C71" s="66"/>
      <c r="D71" s="166" t="s">
        <v>183</v>
      </c>
      <c r="E71" s="169">
        <f>$E$35*$I$27+$E$36*$I$28</f>
        <v>8.4549850000000006</v>
      </c>
      <c r="F71" s="169">
        <f>$G$35*$I$27+$G$36*$I$28</f>
        <v>5.8288999999999991</v>
      </c>
      <c r="G71" s="159" t="s">
        <v>668</v>
      </c>
      <c r="H71" s="179">
        <f>IF(H12="NBR",ELSD!B68,ELSD!D68)</f>
        <v>6.1559134080361062</v>
      </c>
      <c r="I71" s="66"/>
      <c r="J71" s="66"/>
      <c r="K71" s="79" t="str">
        <f t="shared" si="14"/>
        <v/>
      </c>
      <c r="L71" s="468"/>
      <c r="M71" s="379"/>
      <c r="N71" s="386"/>
      <c r="O71" s="469" t="s">
        <v>91</v>
      </c>
      <c r="P71" s="470"/>
      <c r="Q71" s="381">
        <f>$D$78</f>
        <v>0</v>
      </c>
      <c r="R71" s="381"/>
      <c r="S71" s="155"/>
      <c r="T71" s="379"/>
      <c r="U71" s="386"/>
      <c r="V71" s="378"/>
      <c r="W71" s="79" t="str">
        <f t="shared" si="15"/>
        <v/>
      </c>
      <c r="X71" s="134"/>
    </row>
    <row r="72" spans="2:26" ht="13.5" customHeight="1" x14ac:dyDescent="0.2">
      <c r="B72" s="135"/>
      <c r="C72" s="301"/>
      <c r="D72" s="264" t="s">
        <v>319</v>
      </c>
      <c r="E72" s="264" t="str">
        <f>IF($H$12="NBR",ELSD!B70,ELSD!D70)</f>
        <v>fissurada</v>
      </c>
      <c r="F72" s="264" t="str">
        <f>IF($H$12="NBR",ELSD!C70,ELSD!E70)</f>
        <v>não fissurada</v>
      </c>
      <c r="G72" s="172" t="s">
        <v>22</v>
      </c>
      <c r="H72" s="300">
        <f>Esforços!$E$12</f>
        <v>6.9714285714285729E-2</v>
      </c>
      <c r="I72" s="66"/>
      <c r="J72" s="66"/>
      <c r="K72" s="79" t="str">
        <f t="shared" si="14"/>
        <v/>
      </c>
      <c r="L72" s="380" t="s">
        <v>66</v>
      </c>
      <c r="M72" s="382" t="s">
        <v>67</v>
      </c>
      <c r="N72" s="138"/>
      <c r="O72" s="66"/>
      <c r="P72" s="66"/>
      <c r="Q72" s="66"/>
      <c r="R72" s="66"/>
      <c r="S72" s="138"/>
      <c r="T72" s="138"/>
      <c r="U72" s="382" t="s">
        <v>66</v>
      </c>
      <c r="V72" s="411" t="s">
        <v>67</v>
      </c>
      <c r="W72" s="79" t="str">
        <f t="shared" si="15"/>
        <v/>
      </c>
      <c r="X72" s="134"/>
    </row>
    <row r="73" spans="2:26" ht="13.5" customHeight="1" x14ac:dyDescent="0.2">
      <c r="B73" s="135"/>
      <c r="C73" s="301"/>
      <c r="D73" s="172" t="s">
        <v>159</v>
      </c>
      <c r="E73" s="181">
        <f>IF($H$12="NBR",ELSD!B78,ELSD!D78)</f>
        <v>6611.0397664746924</v>
      </c>
      <c r="F73" s="181">
        <f>IF($H$12="NBR",ELSD!C78,ELSD!E78)</f>
        <v>14400</v>
      </c>
      <c r="G73" s="374" t="s">
        <v>160</v>
      </c>
      <c r="H73" s="375">
        <f>($H$74/$H$75)*1000*$H$72*H70*$R$22^4/(1000*$D$11*($R$12/100)^3)</f>
        <v>2.7981175108932459</v>
      </c>
      <c r="I73" s="66"/>
      <c r="J73" s="66"/>
      <c r="K73" s="79" t="str">
        <f t="shared" si="14"/>
        <v/>
      </c>
      <c r="L73" s="380"/>
      <c r="M73" s="382"/>
      <c r="N73" s="401" t="s">
        <v>55</v>
      </c>
      <c r="O73" s="401"/>
      <c r="P73" s="401"/>
      <c r="Q73" s="401"/>
      <c r="R73" s="401"/>
      <c r="S73" s="401"/>
      <c r="T73" s="401"/>
      <c r="U73" s="382"/>
      <c r="V73" s="411"/>
      <c r="W73" s="79" t="str">
        <f t="shared" si="15"/>
        <v/>
      </c>
      <c r="X73" s="134"/>
    </row>
    <row r="74" spans="2:26" ht="13.5" customHeight="1" x14ac:dyDescent="0.2">
      <c r="B74" s="135"/>
      <c r="C74" s="66"/>
      <c r="D74" s="180" t="s">
        <v>537</v>
      </c>
      <c r="E74" s="181">
        <f>IF($H$12="NBR",ELSD!B79,ELSD!D79)</f>
        <v>34272000</v>
      </c>
      <c r="F74" s="181">
        <f>IF($H$12="NBR",ELSD!C79,ELSD!E79)</f>
        <v>34272000</v>
      </c>
      <c r="G74" s="281" t="s">
        <v>186</v>
      </c>
      <c r="H74" s="181">
        <f>100*$R$12^3/12</f>
        <v>14400</v>
      </c>
      <c r="I74" s="299"/>
      <c r="J74" s="66"/>
      <c r="K74" s="79" t="str">
        <f t="shared" si="14"/>
        <v/>
      </c>
      <c r="L74" s="141"/>
      <c r="M74" s="139"/>
      <c r="N74" s="142"/>
      <c r="O74" s="400" t="s">
        <v>56</v>
      </c>
      <c r="P74" s="400"/>
      <c r="Q74" s="400"/>
      <c r="R74" s="400"/>
      <c r="S74" s="400"/>
      <c r="T74" s="139"/>
      <c r="U74" s="139"/>
      <c r="V74" s="140"/>
      <c r="W74" s="79" t="str">
        <f t="shared" si="15"/>
        <v/>
      </c>
      <c r="X74" s="134"/>
      <c r="Y74" s="5"/>
    </row>
    <row r="75" spans="2:26" ht="13.5" customHeight="1" x14ac:dyDescent="0.2">
      <c r="B75" s="135"/>
      <c r="C75" s="66"/>
      <c r="D75" s="180" t="s">
        <v>533</v>
      </c>
      <c r="E75" s="181">
        <f>IF($H$12="NBR",ELSD!B80,ELSD!D80)</f>
        <v>6773256.4116271073</v>
      </c>
      <c r="F75" s="181">
        <f>IF($H$12="NBR",ELSD!C80,ELSD!E80)</f>
        <v>14753336.203185538</v>
      </c>
      <c r="G75" s="172" t="s">
        <v>185</v>
      </c>
      <c r="H75" s="181">
        <f>ELSD!B40</f>
        <v>14400</v>
      </c>
      <c r="I75" s="299"/>
      <c r="J75" s="66"/>
      <c r="K75" s="79" t="str">
        <f t="shared" si="14"/>
        <v/>
      </c>
      <c r="L75" s="141"/>
      <c r="M75" s="139"/>
      <c r="N75" s="142"/>
      <c r="O75" s="142"/>
      <c r="P75" s="142"/>
      <c r="Q75" s="139"/>
      <c r="R75" s="139"/>
      <c r="S75" s="139"/>
      <c r="T75" s="139"/>
      <c r="U75" s="139"/>
      <c r="V75" s="140"/>
      <c r="W75" s="79" t="str">
        <f t="shared" si="15"/>
        <v/>
      </c>
      <c r="X75" s="134"/>
      <c r="Y75" s="5"/>
      <c r="Z75" s="197"/>
    </row>
    <row r="76" spans="2:26" ht="13.5" customHeight="1" thickBot="1" x14ac:dyDescent="0.25">
      <c r="B76" s="135"/>
      <c r="C76" s="66"/>
      <c r="D76" s="180" t="s">
        <v>538</v>
      </c>
      <c r="E76" s="304">
        <f>E74/E75</f>
        <v>5.0598999826978348</v>
      </c>
      <c r="F76" s="304">
        <f>F74/F75</f>
        <v>2.3229999999999995</v>
      </c>
      <c r="G76" s="175" t="s">
        <v>63</v>
      </c>
      <c r="H76" s="174">
        <f>$R$22*1000/350</f>
        <v>10</v>
      </c>
      <c r="I76" s="299"/>
      <c r="J76" s="66"/>
      <c r="K76" s="79" t="str">
        <f t="shared" si="14"/>
        <v/>
      </c>
      <c r="L76" s="136"/>
      <c r="M76" s="137"/>
      <c r="N76" s="137"/>
      <c r="O76" s="138"/>
      <c r="P76" s="137"/>
      <c r="Q76" s="387">
        <f>$Q$78+$Q$77</f>
        <v>9.625</v>
      </c>
      <c r="R76" s="387"/>
      <c r="S76" s="387"/>
      <c r="T76" s="139"/>
      <c r="U76" s="139"/>
      <c r="V76" s="140"/>
      <c r="W76" s="79" t="str">
        <f t="shared" si="15"/>
        <v/>
      </c>
      <c r="X76" s="134"/>
      <c r="Y76" s="5"/>
    </row>
    <row r="77" spans="2:26" ht="13.5" customHeight="1" thickBot="1" x14ac:dyDescent="0.25">
      <c r="B77" s="135"/>
      <c r="C77" s="66"/>
      <c r="D77" s="302" t="s">
        <v>64</v>
      </c>
      <c r="E77" s="305" t="s">
        <v>552</v>
      </c>
      <c r="F77" s="306" t="s">
        <v>553</v>
      </c>
      <c r="G77" s="176" t="s">
        <v>65</v>
      </c>
      <c r="H77" s="159" t="s">
        <v>45</v>
      </c>
      <c r="I77" s="299"/>
      <c r="J77" s="66"/>
      <c r="K77" s="79" t="str">
        <f t="shared" si="14"/>
        <v/>
      </c>
      <c r="L77" s="141"/>
      <c r="M77" s="139"/>
      <c r="N77" s="139"/>
      <c r="O77" s="138"/>
      <c r="P77" s="193" t="s">
        <v>66</v>
      </c>
      <c r="Q77" s="410">
        <f>IF($AC$17=2,$H$51,$G$51)</f>
        <v>9.625</v>
      </c>
      <c r="R77" s="410"/>
      <c r="S77" s="410"/>
      <c r="T77" s="139"/>
      <c r="U77" s="139"/>
      <c r="V77" s="140"/>
      <c r="W77" s="79" t="str">
        <f t="shared" si="15"/>
        <v/>
      </c>
      <c r="X77" s="134"/>
      <c r="Y77" s="5"/>
    </row>
    <row r="78" spans="2:26" ht="13.5" customHeight="1" thickTop="1" thickBot="1" x14ac:dyDescent="0.25">
      <c r="B78" s="135"/>
      <c r="C78" s="66"/>
      <c r="D78" s="349">
        <v>0</v>
      </c>
      <c r="E78" s="359">
        <f>IF($H$12="NBR",MAX(ELSD!B85:C85)-D78,MAX(ELSD!D85:E85)-D78)</f>
        <v>14.158194744955244</v>
      </c>
      <c r="F78" s="307">
        <f>ELSD!B89</f>
        <v>14</v>
      </c>
      <c r="G78" s="303">
        <f>E78/F78</f>
        <v>1.0112996246396604</v>
      </c>
      <c r="H78" s="168" t="str">
        <f>IF(G78&gt;1,"NÃO!","OK!")</f>
        <v>NÃO!</v>
      </c>
      <c r="I78" s="296"/>
      <c r="J78" s="66"/>
      <c r="K78" s="79" t="str">
        <f t="shared" si="14"/>
        <v/>
      </c>
      <c r="L78" s="105"/>
      <c r="M78" s="152"/>
      <c r="N78" s="152"/>
      <c r="O78" s="152"/>
      <c r="P78" s="199" t="s">
        <v>67</v>
      </c>
      <c r="Q78" s="399">
        <f>IF($AC$17=2,$H$52,$G$52)</f>
        <v>0</v>
      </c>
      <c r="R78" s="399"/>
      <c r="S78" s="399"/>
      <c r="T78" s="152"/>
      <c r="U78" s="152"/>
      <c r="V78" s="153"/>
      <c r="W78" s="79" t="str">
        <f t="shared" si="15"/>
        <v/>
      </c>
      <c r="X78" s="134"/>
      <c r="Y78" s="5"/>
    </row>
    <row r="79" spans="2:26" ht="13.5" customHeight="1" thickTop="1" x14ac:dyDescent="0.2">
      <c r="B79" s="135"/>
      <c r="C79" s="66"/>
      <c r="D79" s="362">
        <f>R22*1000/350</f>
        <v>10</v>
      </c>
      <c r="E79" s="66"/>
      <c r="F79" s="66"/>
      <c r="G79" s="66"/>
      <c r="H79" s="66"/>
      <c r="I79" s="66"/>
      <c r="J79" s="66"/>
      <c r="K79" s="66"/>
      <c r="L79" s="178" t="str">
        <f t="shared" ref="L79:U79" si="16">IF($AC$17=2,"x","")</f>
        <v/>
      </c>
      <c r="M79" s="178" t="str">
        <f t="shared" si="16"/>
        <v/>
      </c>
      <c r="N79" s="178" t="str">
        <f t="shared" si="16"/>
        <v/>
      </c>
      <c r="O79" s="178" t="str">
        <f t="shared" si="16"/>
        <v/>
      </c>
      <c r="P79" s="178" t="str">
        <f t="shared" si="16"/>
        <v/>
      </c>
      <c r="Q79" s="178" t="str">
        <f t="shared" si="16"/>
        <v/>
      </c>
      <c r="R79" s="178" t="str">
        <f t="shared" si="16"/>
        <v/>
      </c>
      <c r="S79" s="178" t="str">
        <f t="shared" si="16"/>
        <v/>
      </c>
      <c r="T79" s="178" t="str">
        <f t="shared" si="16"/>
        <v/>
      </c>
      <c r="U79" s="178" t="str">
        <f t="shared" si="16"/>
        <v/>
      </c>
      <c r="V79" s="178" t="str">
        <f>IF($AC$17=2,"x","")</f>
        <v/>
      </c>
      <c r="W79" s="66"/>
      <c r="X79" s="134"/>
      <c r="Y79" s="5"/>
    </row>
    <row r="80" spans="2:26" ht="13.5" customHeight="1" x14ac:dyDescent="0.2">
      <c r="B80" s="156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57"/>
      <c r="Y80" s="5"/>
    </row>
    <row r="81" spans="1:25" x14ac:dyDescent="0.2">
      <c r="A81" s="5"/>
      <c r="B81" s="5"/>
      <c r="C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">
      <c r="A82" s="5"/>
      <c r="B82" s="5"/>
      <c r="J82" s="5"/>
      <c r="Y82" s="5"/>
    </row>
    <row r="83" spans="1:25" x14ac:dyDescent="0.2">
      <c r="J83" s="9"/>
      <c r="Y83" s="9"/>
    </row>
    <row r="84" spans="1:25" x14ac:dyDescent="0.2">
      <c r="Y84" s="9"/>
    </row>
    <row r="85" spans="1:25" x14ac:dyDescent="0.2">
      <c r="Y85" s="9"/>
    </row>
    <row r="86" spans="1:25" x14ac:dyDescent="0.2">
      <c r="Y86" s="9"/>
    </row>
    <row r="87" spans="1:25" x14ac:dyDescent="0.2">
      <c r="Y87" s="9"/>
    </row>
    <row r="88" spans="1:25" x14ac:dyDescent="0.2">
      <c r="Y88" s="9"/>
    </row>
    <row r="89" spans="1:25" x14ac:dyDescent="0.2">
      <c r="Y89" s="9"/>
    </row>
    <row r="90" spans="1:25" x14ac:dyDescent="0.2">
      <c r="Y90" s="9"/>
    </row>
    <row r="91" spans="1:25" x14ac:dyDescent="0.2">
      <c r="J91" s="9"/>
      <c r="Y91" s="9"/>
    </row>
    <row r="92" spans="1:25" x14ac:dyDescent="0.2">
      <c r="J92" s="9"/>
      <c r="Y92" s="9"/>
    </row>
    <row r="93" spans="1:25" x14ac:dyDescent="0.2">
      <c r="I93" s="9"/>
      <c r="J93" s="9"/>
      <c r="Y93" s="9"/>
    </row>
    <row r="94" spans="1:25" x14ac:dyDescent="0.2">
      <c r="I94" s="9"/>
      <c r="J94" s="9"/>
      <c r="Y94" s="9"/>
    </row>
    <row r="95" spans="1:25" x14ac:dyDescent="0.2">
      <c r="C95" s="9"/>
      <c r="I95" s="9"/>
      <c r="J95" s="9"/>
      <c r="Y95" s="9"/>
    </row>
    <row r="96" spans="1:25" x14ac:dyDescent="0.2">
      <c r="C96" s="9"/>
      <c r="I96" s="9"/>
      <c r="J96" s="9"/>
      <c r="Y96" s="9"/>
    </row>
    <row r="97" spans="3:25" x14ac:dyDescent="0.2">
      <c r="C97" s="9"/>
      <c r="I97" s="9"/>
      <c r="J97" s="9"/>
      <c r="Y97" s="9"/>
    </row>
    <row r="98" spans="3:25" x14ac:dyDescent="0.2">
      <c r="C98" s="9"/>
      <c r="I98" s="9"/>
      <c r="J98" s="9"/>
      <c r="Y98" s="9"/>
    </row>
    <row r="99" spans="3:25" x14ac:dyDescent="0.2">
      <c r="C99" s="9"/>
      <c r="I99" s="9"/>
      <c r="J99" s="9"/>
      <c r="X99" s="9"/>
      <c r="Y99" s="9"/>
    </row>
    <row r="100" spans="3:25" x14ac:dyDescent="0.2">
      <c r="C100" s="9"/>
      <c r="I100" s="9"/>
      <c r="J100" s="9"/>
      <c r="X100" s="9"/>
      <c r="Y100" s="9"/>
    </row>
    <row r="101" spans="3:25" x14ac:dyDescent="0.2">
      <c r="C101" s="9"/>
      <c r="I101" s="9"/>
      <c r="J101" s="9"/>
      <c r="X101" s="9"/>
      <c r="Y101" s="9"/>
    </row>
    <row r="102" spans="3:25" x14ac:dyDescent="0.2">
      <c r="C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3:25" x14ac:dyDescent="0.2">
      <c r="C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3:25" x14ac:dyDescent="0.2">
      <c r="C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3:25" x14ac:dyDescent="0.2">
      <c r="C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mergeCells count="80">
    <mergeCell ref="P56:R56"/>
    <mergeCell ref="Q50:Q52"/>
    <mergeCell ref="E65:H65"/>
    <mergeCell ref="C17:D17"/>
    <mergeCell ref="F25:I25"/>
    <mergeCell ref="F17:G17"/>
    <mergeCell ref="H20:I20"/>
    <mergeCell ref="C18:D18"/>
    <mergeCell ref="D31:H31"/>
    <mergeCell ref="AK43:AM43"/>
    <mergeCell ref="S28:S33"/>
    <mergeCell ref="C9:D9"/>
    <mergeCell ref="F14:G14"/>
    <mergeCell ref="F15:G15"/>
    <mergeCell ref="F16:G16"/>
    <mergeCell ref="F12:G12"/>
    <mergeCell ref="R20:S20"/>
    <mergeCell ref="AF36:AN36"/>
    <mergeCell ref="O28:O33"/>
    <mergeCell ref="R22:S22"/>
    <mergeCell ref="F18:G18"/>
    <mergeCell ref="R19:S19"/>
    <mergeCell ref="I5:K6"/>
    <mergeCell ref="R15:S15"/>
    <mergeCell ref="B2:H6"/>
    <mergeCell ref="I3:K3"/>
    <mergeCell ref="I2:X2"/>
    <mergeCell ref="I4:K4"/>
    <mergeCell ref="R12:S12"/>
    <mergeCell ref="R14:S14"/>
    <mergeCell ref="U72:U73"/>
    <mergeCell ref="R16:S16"/>
    <mergeCell ref="R17:S17"/>
    <mergeCell ref="H12:I12"/>
    <mergeCell ref="C13:D13"/>
    <mergeCell ref="Q71:R71"/>
    <mergeCell ref="O70:P70"/>
    <mergeCell ref="O36:O42"/>
    <mergeCell ref="N13:N15"/>
    <mergeCell ref="N16:N21"/>
    <mergeCell ref="R18:S18"/>
    <mergeCell ref="D69:H69"/>
    <mergeCell ref="L69:L71"/>
    <mergeCell ref="O71:P71"/>
    <mergeCell ref="D49:H49"/>
    <mergeCell ref="D58:H58"/>
    <mergeCell ref="Q78:S78"/>
    <mergeCell ref="Q76:S76"/>
    <mergeCell ref="Q69:R69"/>
    <mergeCell ref="O74:S74"/>
    <mergeCell ref="N73:T73"/>
    <mergeCell ref="Q70:R70"/>
    <mergeCell ref="O69:P69"/>
    <mergeCell ref="Q77:S77"/>
    <mergeCell ref="U3:X3"/>
    <mergeCell ref="U4:X4"/>
    <mergeCell ref="L3:T3"/>
    <mergeCell ref="L4:T4"/>
    <mergeCell ref="Q46:Q48"/>
    <mergeCell ref="U6:X6"/>
    <mergeCell ref="L8:V8"/>
    <mergeCell ref="Q28:Q34"/>
    <mergeCell ref="U5:X5"/>
    <mergeCell ref="L5:T6"/>
    <mergeCell ref="V69:V71"/>
    <mergeCell ref="T69:T71"/>
    <mergeCell ref="L72:L73"/>
    <mergeCell ref="M69:M71"/>
    <mergeCell ref="P53:R53"/>
    <mergeCell ref="M72:M73"/>
    <mergeCell ref="Q64:S64"/>
    <mergeCell ref="T53:V53"/>
    <mergeCell ref="N69:N71"/>
    <mergeCell ref="Q65:S65"/>
    <mergeCell ref="L53:N53"/>
    <mergeCell ref="Q58:Q60"/>
    <mergeCell ref="M55:U55"/>
    <mergeCell ref="Q66:S66"/>
    <mergeCell ref="U69:U71"/>
    <mergeCell ref="V72:V73"/>
  </mergeCells>
  <phoneticPr fontId="25" type="noConversion"/>
  <conditionalFormatting sqref="H15:H18">
    <cfRule type="expression" dxfId="46" priority="1" stopIfTrue="1">
      <formula>$I15&gt;1</formula>
    </cfRule>
  </conditionalFormatting>
  <conditionalFormatting sqref="I15:I18 E55:H55 I77 E66:H66 G78 E45:H45">
    <cfRule type="cellIs" dxfId="45" priority="2" stopIfTrue="1" operator="greaterThan">
      <formula>1</formula>
    </cfRule>
  </conditionalFormatting>
  <conditionalFormatting sqref="H47">
    <cfRule type="cellIs" dxfId="44" priority="3" stopIfTrue="1" operator="greaterThan">
      <formula>33</formula>
    </cfRule>
  </conditionalFormatting>
  <conditionalFormatting sqref="F47 AB9">
    <cfRule type="expression" dxfId="43" priority="4" stopIfTrue="1">
      <formula>$AA$10=1</formula>
    </cfRule>
  </conditionalFormatting>
  <conditionalFormatting sqref="E56">
    <cfRule type="expression" dxfId="42" priority="5" stopIfTrue="1">
      <formula>$E$55&gt;1</formula>
    </cfRule>
  </conditionalFormatting>
  <conditionalFormatting sqref="F56">
    <cfRule type="expression" dxfId="41" priority="6" stopIfTrue="1">
      <formula>$F$55&gt;1</formula>
    </cfRule>
  </conditionalFormatting>
  <conditionalFormatting sqref="G56">
    <cfRule type="expression" dxfId="40" priority="7" stopIfTrue="1">
      <formula>$G$55&gt;1</formula>
    </cfRule>
  </conditionalFormatting>
  <conditionalFormatting sqref="H56">
    <cfRule type="expression" dxfId="39" priority="8" stopIfTrue="1">
      <formula>$H$55&gt;1</formula>
    </cfRule>
  </conditionalFormatting>
  <conditionalFormatting sqref="G67">
    <cfRule type="expression" dxfId="38" priority="9" stopIfTrue="1">
      <formula>$G$66&gt;1</formula>
    </cfRule>
  </conditionalFormatting>
  <conditionalFormatting sqref="H67">
    <cfRule type="expression" dxfId="37" priority="10" stopIfTrue="1">
      <formula>$H$66&gt;1</formula>
    </cfRule>
  </conditionalFormatting>
  <conditionalFormatting sqref="H78">
    <cfRule type="expression" dxfId="36" priority="11" stopIfTrue="1">
      <formula>$G$78&gt;1</formula>
    </cfRule>
  </conditionalFormatting>
  <conditionalFormatting sqref="L35:M35">
    <cfRule type="expression" dxfId="35" priority="12" stopIfTrue="1">
      <formula>$AA$17=2</formula>
    </cfRule>
  </conditionalFormatting>
  <conditionalFormatting sqref="U35:V35">
    <cfRule type="expression" dxfId="34" priority="13" stopIfTrue="1">
      <formula>$AB$17=2</formula>
    </cfRule>
  </conditionalFormatting>
  <conditionalFormatting sqref="P28:P30">
    <cfRule type="expression" dxfId="33" priority="14" stopIfTrue="1">
      <formula>$AD$17=2</formula>
    </cfRule>
  </conditionalFormatting>
  <conditionalFormatting sqref="P40:P42">
    <cfRule type="expression" dxfId="32" priority="15" stopIfTrue="1">
      <formula>$AC$17=2</formula>
    </cfRule>
  </conditionalFormatting>
  <conditionalFormatting sqref="I78">
    <cfRule type="expression" dxfId="31" priority="16" stopIfTrue="1">
      <formula>$I$77&gt;1</formula>
    </cfRule>
  </conditionalFormatting>
  <conditionalFormatting sqref="L39:N39 P39:S39 U39:V39">
    <cfRule type="expression" dxfId="30" priority="17" stopIfTrue="1">
      <formula>$AA$10=2</formula>
    </cfRule>
  </conditionalFormatting>
  <conditionalFormatting sqref="T28:T38 T40:T42">
    <cfRule type="expression" dxfId="29" priority="18" stopIfTrue="1">
      <formula>$AA$10=2</formula>
    </cfRule>
  </conditionalFormatting>
  <conditionalFormatting sqref="T39">
    <cfRule type="expression" dxfId="28" priority="19" stopIfTrue="1">
      <formula>$AA$10=2</formula>
    </cfRule>
  </conditionalFormatting>
  <conditionalFormatting sqref="E46">
    <cfRule type="expression" dxfId="27" priority="20" stopIfTrue="1">
      <formula>$E$45&gt;1</formula>
    </cfRule>
  </conditionalFormatting>
  <conditionalFormatting sqref="F46">
    <cfRule type="expression" dxfId="26" priority="21" stopIfTrue="1">
      <formula>$F$45&gt;1</formula>
    </cfRule>
  </conditionalFormatting>
  <conditionalFormatting sqref="G46">
    <cfRule type="expression" dxfId="25" priority="22" stopIfTrue="1">
      <formula>$G$45&gt;1</formula>
    </cfRule>
  </conditionalFormatting>
  <conditionalFormatting sqref="H46">
    <cfRule type="expression" dxfId="24" priority="23" stopIfTrue="1">
      <formula>$H$45&gt;1</formula>
    </cfRule>
  </conditionalFormatting>
  <conditionalFormatting sqref="E67">
    <cfRule type="expression" dxfId="23" priority="24" stopIfTrue="1">
      <formula>$E$66&gt;1</formula>
    </cfRule>
  </conditionalFormatting>
  <conditionalFormatting sqref="F67">
    <cfRule type="expression" dxfId="22" priority="25" stopIfTrue="1">
      <formula>$F$66&gt;1</formula>
    </cfRule>
  </conditionalFormatting>
  <conditionalFormatting sqref="R16:S16">
    <cfRule type="expression" dxfId="21" priority="26" stopIfTrue="1">
      <formula>$AA$10=1</formula>
    </cfRule>
  </conditionalFormatting>
  <conditionalFormatting sqref="R17:S18">
    <cfRule type="expression" dxfId="20" priority="27" stopIfTrue="1">
      <formula>$AA$10=1</formula>
    </cfRule>
  </conditionalFormatting>
  <dataValidations count="7">
    <dataValidation type="list" allowBlank="1" showInputMessage="1" showErrorMessage="1" error="Valor Inválido!" sqref="D14">
      <formula1>"250,400,500,600"</formula1>
    </dataValidation>
    <dataValidation type="list" allowBlank="1" showInputMessage="1" showErrorMessage="1" sqref="H12">
      <formula1>"NBR,EC2"</formula1>
    </dataValidation>
    <dataValidation type="list" allowBlank="1" showInputMessage="1" showErrorMessage="1" sqref="F47">
      <mc:AlternateContent xmlns:x12ac="http://schemas.microsoft.com/office/spreadsheetml/2011/1/ac" xmlns:mc="http://schemas.openxmlformats.org/markup-compatibility/2006">
        <mc:Choice Requires="x12ac">
          <x12ac:list>"4,2",5,"6,3",8</x12ac:list>
        </mc:Choice>
        <mc:Fallback>
          <formula1>"4,2,5,6,3,8"</formula1>
        </mc:Fallback>
      </mc:AlternateContent>
    </dataValidation>
    <dataValidation type="list" allowBlank="1" showInputMessage="1" showErrorMessage="1" sqref="E33:H33">
      <mc:AlternateContent xmlns:x12ac="http://schemas.microsoft.com/office/spreadsheetml/2011/1/ac" xmlns:mc="http://schemas.openxmlformats.org/markup-compatibility/2006">
        <mc:Choice Requires="x12ac">
          <x12ac:list>5,"6,3",8,10,"12,5",16,20,25</x12ac:list>
        </mc:Choice>
        <mc:Fallback>
          <formula1>"5,6,3,8,10,12,5,16,20,25"</formula1>
        </mc:Fallback>
      </mc:AlternateContent>
    </dataValidation>
    <dataValidation type="list" errorStyle="warning" allowBlank="1" showInputMessage="1" showErrorMessage="1" error="Valor Inválido!" sqref="D10">
      <formula1>"15,20,25,30,35,40,45,50"</formula1>
    </dataValidation>
    <dataValidation type="list" allowBlank="1" showInputMessage="1" showErrorMessage="1" sqref="E65:H65">
      <mc:AlternateContent xmlns:x12ac="http://schemas.microsoft.com/office/spreadsheetml/2011/1/ac" xmlns:mc="http://schemas.openxmlformats.org/markup-compatibility/2006">
        <mc:Choice Requires="x12ac">
          <x12ac:list>"0,20","0,30","0,40"</x12ac:list>
        </mc:Choice>
        <mc:Fallback>
          <formula1>"0,20,0,30,0,40"</formula1>
        </mc:Fallback>
      </mc:AlternateContent>
    </dataValidation>
    <dataValidation type="list" allowBlank="1" showInputMessage="1" showErrorMessage="1" error="Valor Inválido!" sqref="R20">
      <mc:AlternateContent xmlns:x12ac="http://schemas.microsoft.com/office/spreadsheetml/2011/1/ac" xmlns:mc="http://schemas.openxmlformats.org/markup-compatibility/2006">
        <mc:Choice Requires="x12ac">
          <x12ac:list>1,"1,5",2,"2,5",3,"3,5",4,"4,5",5</x12ac:list>
        </mc:Choice>
        <mc:Fallback>
          <formula1>"1,1,5,2,2,5,3,3,5,4,4,5,5"</formula1>
        </mc:Fallback>
      </mc:AlternateContent>
    </dataValidation>
  </dataValidations>
  <printOptions horizontalCentered="1" verticalCentered="1"/>
  <pageMargins left="0.47244094488188981" right="0.31496062992125984" top="0.39370078740157483" bottom="0.24" header="0.48" footer="0.34"/>
  <pageSetup paperSize="9" scale="75" orientation="portrait" blackAndWhite="1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20" r:id="rId4" name="Scroll Bar 472">
              <controlPr defaultSize="0" autoPict="0">
                <anchor moveWithCells="1">
                  <from>
                    <xdr:col>16</xdr:col>
                    <xdr:colOff>209550</xdr:colOff>
                    <xdr:row>12</xdr:row>
                    <xdr:rowOff>19050</xdr:rowOff>
                  </from>
                  <to>
                    <xdr:col>19</xdr:col>
                    <xdr:colOff>19050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5" name="Group Box 426">
              <controlPr defaultSize="0" autoFill="0" autoPict="0">
                <anchor moveWithCells="1" sizeWithCells="1">
                  <from>
                    <xdr:col>20</xdr:col>
                    <xdr:colOff>114300</xdr:colOff>
                    <xdr:row>15</xdr:row>
                    <xdr:rowOff>0</xdr:rowOff>
                  </from>
                  <to>
                    <xdr:col>21</xdr:col>
                    <xdr:colOff>190500</xdr:colOff>
                    <xdr:row>17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6" name="Option Button 427">
              <controlPr defaultSize="0" autoFill="0" autoLine="0" autoPict="0">
                <anchor moveWithCells="1" sizeWithCells="1">
                  <from>
                    <xdr:col>20</xdr:col>
                    <xdr:colOff>123825</xdr:colOff>
                    <xdr:row>15</xdr:row>
                    <xdr:rowOff>19050</xdr:rowOff>
                  </from>
                  <to>
                    <xdr:col>21</xdr:col>
                    <xdr:colOff>200025</xdr:colOff>
                    <xdr:row>16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7" name="Option Button 428">
              <controlPr defaultSize="0" autoFill="0" autoLine="0" autoPict="0">
                <anchor moveWithCells="1" sizeWithCells="1">
                  <from>
                    <xdr:col>20</xdr:col>
                    <xdr:colOff>123825</xdr:colOff>
                    <xdr:row>16</xdr:row>
                    <xdr:rowOff>47625</xdr:rowOff>
                  </from>
                  <to>
                    <xdr:col>21</xdr:col>
                    <xdr:colOff>200025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8" name="Group Box 429">
              <controlPr defaultSize="0" autoFill="0" autoPict="0">
                <anchor moveWithCells="1" sizeWithCells="1">
                  <from>
                    <xdr:col>15</xdr:col>
                    <xdr:colOff>95250</xdr:colOff>
                    <xdr:row>22</xdr:row>
                    <xdr:rowOff>38100</xdr:rowOff>
                  </from>
                  <to>
                    <xdr:col>18</xdr:col>
                    <xdr:colOff>9525</xdr:colOff>
                    <xdr:row>23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9" name="Option Button 430">
              <controlPr defaultSize="0" autoFill="0" autoLine="0" autoPict="0">
                <anchor moveWithCells="1" sizeWithCells="1">
                  <from>
                    <xdr:col>15</xdr:col>
                    <xdr:colOff>95250</xdr:colOff>
                    <xdr:row>22</xdr:row>
                    <xdr:rowOff>57150</xdr:rowOff>
                  </from>
                  <to>
                    <xdr:col>16</xdr:col>
                    <xdr:colOff>200025</xdr:colOff>
                    <xdr:row>23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0" name="Option Button 431">
              <controlPr defaultSize="0" autoFill="0" autoLine="0" autoPict="0">
                <anchor moveWithCells="1" sizeWithCells="1">
                  <from>
                    <xdr:col>16</xdr:col>
                    <xdr:colOff>123825</xdr:colOff>
                    <xdr:row>22</xdr:row>
                    <xdr:rowOff>47625</xdr:rowOff>
                  </from>
                  <to>
                    <xdr:col>18</xdr:col>
                    <xdr:colOff>9525</xdr:colOff>
                    <xdr:row>23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" name="Group Box 432">
              <controlPr defaultSize="0" autoFill="0" autoPict="0">
                <anchor moveWithCells="1" sizeWithCells="1">
                  <from>
                    <xdr:col>15</xdr:col>
                    <xdr:colOff>123825</xdr:colOff>
                    <xdr:row>9</xdr:row>
                    <xdr:rowOff>19050</xdr:rowOff>
                  </from>
                  <to>
                    <xdr:col>18</xdr:col>
                    <xdr:colOff>28575</xdr:colOff>
                    <xdr:row>10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2" name="Option Button 433">
              <controlPr defaultSize="0" autoFill="0" autoLine="0" autoPict="0">
                <anchor moveWithCells="1" sizeWithCells="1">
                  <from>
                    <xdr:col>15</xdr:col>
                    <xdr:colOff>133350</xdr:colOff>
                    <xdr:row>9</xdr:row>
                    <xdr:rowOff>38100</xdr:rowOff>
                  </from>
                  <to>
                    <xdr:col>17</xdr:col>
                    <xdr:colOff>0</xdr:colOff>
                    <xdr:row>10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3" name="Option Button 434">
              <controlPr defaultSize="0" autoFill="0" autoLine="0" autoPict="0">
                <anchor moveWithCells="1" sizeWithCells="1">
                  <from>
                    <xdr:col>16</xdr:col>
                    <xdr:colOff>152400</xdr:colOff>
                    <xdr:row>9</xdr:row>
                    <xdr:rowOff>38100</xdr:rowOff>
                  </from>
                  <to>
                    <xdr:col>18</xdr:col>
                    <xdr:colOff>19050</xdr:colOff>
                    <xdr:row>10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4" name="Option Button 492">
              <controlPr defaultSize="0" autoFill="0" autoLine="0" autoPict="0">
                <anchor moveWithCells="1" sizeWithCells="1">
                  <from>
                    <xdr:col>5</xdr:col>
                    <xdr:colOff>66675</xdr:colOff>
                    <xdr:row>19</xdr:row>
                    <xdr:rowOff>85725</xdr:rowOff>
                  </from>
                  <to>
                    <xdr:col>5</xdr:col>
                    <xdr:colOff>676275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5" name="Option Button 493">
              <controlPr defaultSize="0" autoFill="0" autoLine="0" autoPict="0">
                <anchor moveWithCells="1" sizeWithCells="1">
                  <from>
                    <xdr:col>5</xdr:col>
                    <xdr:colOff>66675</xdr:colOff>
                    <xdr:row>20</xdr:row>
                    <xdr:rowOff>95250</xdr:rowOff>
                  </from>
                  <to>
                    <xdr:col>5</xdr:col>
                    <xdr:colOff>695325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6" name="Option Button 494">
              <controlPr defaultSize="0" autoFill="0" autoLine="0" autoPict="0">
                <anchor moveWithCells="1" sizeWithCells="1">
                  <from>
                    <xdr:col>5</xdr:col>
                    <xdr:colOff>695325</xdr:colOff>
                    <xdr:row>19</xdr:row>
                    <xdr:rowOff>85725</xdr:rowOff>
                  </from>
                  <to>
                    <xdr:col>6</xdr:col>
                    <xdr:colOff>542925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7" name="Option Button 495">
              <controlPr defaultSize="0" autoFill="0" autoLine="0" autoPict="0">
                <anchor moveWithCells="1" sizeWithCells="1">
                  <from>
                    <xdr:col>5</xdr:col>
                    <xdr:colOff>695325</xdr:colOff>
                    <xdr:row>20</xdr:row>
                    <xdr:rowOff>85725</xdr:rowOff>
                  </from>
                  <to>
                    <xdr:col>6</xdr:col>
                    <xdr:colOff>504825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8" name="Option Button 496">
              <controlPr defaultSize="0" autoFill="0" autoLine="0" autoPict="0">
                <anchor moveWithCells="1" sizeWithCells="1">
                  <from>
                    <xdr:col>5</xdr:col>
                    <xdr:colOff>66675</xdr:colOff>
                    <xdr:row>21</xdr:row>
                    <xdr:rowOff>95250</xdr:rowOff>
                  </from>
                  <to>
                    <xdr:col>6</xdr:col>
                    <xdr:colOff>9525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9" name="Group Box 497">
              <controlPr defaultSize="0" autoFill="0" autoPict="0">
                <anchor moveWithCells="1" sizeWithCells="1">
                  <from>
                    <xdr:col>5</xdr:col>
                    <xdr:colOff>19050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20" name="Group Box 417">
              <controlPr defaultSize="0" autoFill="0" autoPict="0">
                <anchor moveWithCells="1" sizeWithCells="1">
                  <from>
                    <xdr:col>31</xdr:col>
                    <xdr:colOff>209550</xdr:colOff>
                    <xdr:row>15</xdr:row>
                    <xdr:rowOff>47625</xdr:rowOff>
                  </from>
                  <to>
                    <xdr:col>34</xdr:col>
                    <xdr:colOff>466725</xdr:colOff>
                    <xdr:row>32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23" r:id="rId21" name="Option Button 975">
              <controlPr defaultSize="0" autoFill="0" autoLine="0" autoPict="0">
                <anchor moveWithCells="1" sizeWithCells="1">
                  <from>
                    <xdr:col>5</xdr:col>
                    <xdr:colOff>123825</xdr:colOff>
                    <xdr:row>8</xdr:row>
                    <xdr:rowOff>57150</xdr:rowOff>
                  </from>
                  <to>
                    <xdr:col>6</xdr:col>
                    <xdr:colOff>571500</xdr:colOff>
                    <xdr:row>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24" r:id="rId22" name="Option Button 976">
              <controlPr defaultSize="0" autoFill="0" autoLine="0" autoPict="0">
                <anchor moveWithCells="1" sizeWithCells="1">
                  <from>
                    <xdr:col>6</xdr:col>
                    <xdr:colOff>590550</xdr:colOff>
                    <xdr:row>8</xdr:row>
                    <xdr:rowOff>57150</xdr:rowOff>
                  </from>
                  <to>
                    <xdr:col>9</xdr:col>
                    <xdr:colOff>9525</xdr:colOff>
                    <xdr:row>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23" name="Group Box 1029">
              <controlPr defaultSize="0" autoFill="0" autoPict="0">
                <anchor moveWithCells="1" sizeWithCells="1">
                  <from>
                    <xdr:col>5</xdr:col>
                    <xdr:colOff>19050</xdr:colOff>
                    <xdr:row>8</xdr:row>
                    <xdr:rowOff>9525</xdr:rowOff>
                  </from>
                  <to>
                    <xdr:col>9</xdr:col>
                    <xdr:colOff>9525</xdr:colOff>
                    <xdr:row>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24" name="Group Box 423">
              <controlPr defaultSize="0" autoFill="0" autoPict="0">
                <anchor moveWithCells="1" sizeWithCells="1">
                  <from>
                    <xdr:col>11</xdr:col>
                    <xdr:colOff>28575</xdr:colOff>
                    <xdr:row>14</xdr:row>
                    <xdr:rowOff>152400</xdr:rowOff>
                  </from>
                  <to>
                    <xdr:col>12</xdr:col>
                    <xdr:colOff>123825</xdr:colOff>
                    <xdr:row>17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25" name="Option Button 424">
              <controlPr defaultSize="0" autoFill="0" autoLine="0" autoPict="0">
                <anchor moveWithCells="1" sizeWithCells="1">
                  <from>
                    <xdr:col>11</xdr:col>
                    <xdr:colOff>57150</xdr:colOff>
                    <xdr:row>14</xdr:row>
                    <xdr:rowOff>152400</xdr:rowOff>
                  </from>
                  <to>
                    <xdr:col>12</xdr:col>
                    <xdr:colOff>114300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26" name="Option Button 425">
              <controlPr defaultSize="0" autoFill="0" autoLine="0" autoPict="0">
                <anchor moveWithCells="1" sizeWithCells="1">
                  <from>
                    <xdr:col>11</xdr:col>
                    <xdr:colOff>57150</xdr:colOff>
                    <xdr:row>16</xdr:row>
                    <xdr:rowOff>9525</xdr:rowOff>
                  </from>
                  <to>
                    <xdr:col>12</xdr:col>
                    <xdr:colOff>114300</xdr:colOff>
                    <xdr:row>17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7"/>
  <sheetViews>
    <sheetView showGridLines="0" topLeftCell="A31" zoomScale="117" zoomScaleNormal="117" zoomScaleSheetLayoutView="150" workbookViewId="0">
      <selection activeCell="B32" sqref="B32:C32"/>
    </sheetView>
  </sheetViews>
  <sheetFormatPr defaultRowHeight="12.75" x14ac:dyDescent="0.2"/>
  <cols>
    <col min="1" max="1" width="10.7109375" style="240" customWidth="1"/>
    <col min="2" max="3" width="10.7109375" style="210" customWidth="1"/>
    <col min="4" max="4" width="10.7109375" style="240" customWidth="1"/>
    <col min="5" max="5" width="66.7109375" style="241" customWidth="1"/>
    <col min="6" max="6" width="75.7109375" style="254" customWidth="1"/>
    <col min="7" max="7" width="6.140625" style="210" bestFit="1" customWidth="1"/>
    <col min="8" max="8" width="10.7109375" style="210" bestFit="1" customWidth="1"/>
    <col min="9" max="16384" width="9.140625" style="211"/>
  </cols>
  <sheetData>
    <row r="1" spans="1:10" ht="14.1" customHeight="1" x14ac:dyDescent="0.2">
      <c r="A1" s="206" t="s">
        <v>9</v>
      </c>
      <c r="B1" s="207"/>
      <c r="C1" s="207"/>
      <c r="D1" s="208"/>
      <c r="E1" s="208" t="s">
        <v>10</v>
      </c>
      <c r="F1" s="209" t="s">
        <v>92</v>
      </c>
    </row>
    <row r="2" spans="1:10" ht="14.1" customHeight="1" x14ac:dyDescent="0.2">
      <c r="A2" s="212" t="s">
        <v>188</v>
      </c>
      <c r="B2" s="213"/>
      <c r="C2" s="213"/>
      <c r="D2" s="214"/>
      <c r="E2" s="214" t="s">
        <v>189</v>
      </c>
      <c r="F2" s="215" t="s">
        <v>190</v>
      </c>
    </row>
    <row r="3" spans="1:10" s="220" customFormat="1" ht="14.1" customHeight="1" x14ac:dyDescent="0.2">
      <c r="A3" s="216" t="s">
        <v>470</v>
      </c>
      <c r="B3" s="217"/>
      <c r="C3" s="217"/>
      <c r="D3" s="180"/>
      <c r="E3" s="216"/>
      <c r="F3" s="217"/>
      <c r="G3" s="218"/>
      <c r="H3" s="218"/>
      <c r="I3" s="219"/>
      <c r="J3" s="219"/>
    </row>
    <row r="4" spans="1:10" s="220" customFormat="1" ht="14.1" customHeight="1" x14ac:dyDescent="0.2">
      <c r="A4" s="216" t="s">
        <v>191</v>
      </c>
      <c r="B4" s="221"/>
      <c r="C4" s="221"/>
      <c r="D4" s="180"/>
      <c r="E4" s="216"/>
      <c r="F4" s="217"/>
      <c r="G4" s="222"/>
      <c r="H4" s="222"/>
    </row>
    <row r="5" spans="1:10" s="220" customFormat="1" ht="14.1" customHeight="1" x14ac:dyDescent="0.3">
      <c r="A5" s="180" t="s">
        <v>319</v>
      </c>
      <c r="B5" s="221" t="s">
        <v>134</v>
      </c>
      <c r="C5" s="221" t="s">
        <v>135</v>
      </c>
      <c r="D5" s="180"/>
      <c r="E5" s="216"/>
      <c r="F5" s="217"/>
      <c r="G5" s="222"/>
      <c r="H5" s="222"/>
    </row>
    <row r="6" spans="1:10" ht="14.1" customHeight="1" x14ac:dyDescent="0.2">
      <c r="A6" s="159" t="s">
        <v>232</v>
      </c>
      <c r="B6" s="260">
        <f>Principal!$D$10</f>
        <v>25</v>
      </c>
      <c r="C6" s="260">
        <f>Principal!$D$10</f>
        <v>25</v>
      </c>
      <c r="D6" s="180" t="s">
        <v>192</v>
      </c>
      <c r="E6" s="216"/>
      <c r="F6" s="245" t="s">
        <v>193</v>
      </c>
    </row>
    <row r="7" spans="1:10" ht="14.1" customHeight="1" x14ac:dyDescent="0.2">
      <c r="A7" s="159" t="s">
        <v>330</v>
      </c>
      <c r="B7" s="221">
        <f>0.3*B6^(2/3)</f>
        <v>2.5649639200150443</v>
      </c>
      <c r="C7" s="221">
        <f>0.3*C6^(2/3)</f>
        <v>2.5649639200150443</v>
      </c>
      <c r="D7" s="180" t="s">
        <v>192</v>
      </c>
      <c r="E7" s="216" t="s">
        <v>331</v>
      </c>
      <c r="F7" s="245" t="s">
        <v>308</v>
      </c>
    </row>
    <row r="8" spans="1:10" ht="14.1" customHeight="1" x14ac:dyDescent="0.2">
      <c r="A8" s="159" t="s">
        <v>397</v>
      </c>
      <c r="B8" s="221">
        <f>0.7*B7</f>
        <v>1.7954747440105308</v>
      </c>
      <c r="C8" s="221">
        <f>0.7*C7</f>
        <v>1.7954747440105308</v>
      </c>
      <c r="D8" s="180" t="s">
        <v>192</v>
      </c>
      <c r="E8" s="205" t="s">
        <v>398</v>
      </c>
      <c r="F8" s="224" t="s">
        <v>381</v>
      </c>
    </row>
    <row r="9" spans="1:10" ht="14.1" customHeight="1" x14ac:dyDescent="0.2">
      <c r="A9" s="159" t="s">
        <v>399</v>
      </c>
      <c r="B9" s="221">
        <f>1.2*B8</f>
        <v>2.154569692812637</v>
      </c>
      <c r="C9" s="221">
        <f>1.2*C8</f>
        <v>2.154569692812637</v>
      </c>
      <c r="D9" s="180" t="s">
        <v>192</v>
      </c>
      <c r="E9" s="205" t="s">
        <v>420</v>
      </c>
      <c r="F9" s="217" t="s">
        <v>309</v>
      </c>
    </row>
    <row r="10" spans="1:10" ht="14.1" customHeight="1" x14ac:dyDescent="0.2">
      <c r="A10" s="159" t="s">
        <v>332</v>
      </c>
      <c r="B10" s="229">
        <f>4760*SQRT(B6)</f>
        <v>23800</v>
      </c>
      <c r="C10" s="229">
        <f>4760*SQRT(C6)</f>
        <v>23800</v>
      </c>
      <c r="D10" s="180" t="s">
        <v>192</v>
      </c>
      <c r="E10" s="205" t="s">
        <v>333</v>
      </c>
      <c r="F10" s="217" t="s">
        <v>310</v>
      </c>
    </row>
    <row r="11" spans="1:10" ht="14.1" customHeight="1" x14ac:dyDescent="0.2">
      <c r="A11" s="216" t="s">
        <v>197</v>
      </c>
      <c r="B11" s="221"/>
      <c r="C11" s="221"/>
      <c r="D11" s="180"/>
      <c r="E11" s="216"/>
      <c r="F11" s="217"/>
    </row>
    <row r="12" spans="1:10" ht="14.1" customHeight="1" x14ac:dyDescent="0.2">
      <c r="A12" s="159" t="s">
        <v>236</v>
      </c>
      <c r="B12" s="260">
        <f>Principal!$D$14</f>
        <v>500</v>
      </c>
      <c r="C12" s="260">
        <f>Principal!$D$14</f>
        <v>500</v>
      </c>
      <c r="D12" s="180" t="s">
        <v>192</v>
      </c>
      <c r="E12" s="216"/>
      <c r="F12" s="224" t="s">
        <v>198</v>
      </c>
    </row>
    <row r="13" spans="1:10" ht="14.1" customHeight="1" x14ac:dyDescent="0.2">
      <c r="A13" s="159" t="s">
        <v>239</v>
      </c>
      <c r="B13" s="223">
        <v>210000</v>
      </c>
      <c r="C13" s="223">
        <v>210000</v>
      </c>
      <c r="D13" s="180" t="s">
        <v>192</v>
      </c>
      <c r="E13" s="230">
        <v>210000</v>
      </c>
      <c r="F13" s="217" t="s">
        <v>201</v>
      </c>
    </row>
    <row r="14" spans="1:10" ht="14.1" customHeight="1" x14ac:dyDescent="0.3">
      <c r="A14" s="159" t="s">
        <v>142</v>
      </c>
      <c r="B14" s="221">
        <f>B13/B10</f>
        <v>8.8235294117647065</v>
      </c>
      <c r="C14" s="221">
        <f>C13/C10</f>
        <v>8.8235294117647065</v>
      </c>
      <c r="D14" s="180"/>
      <c r="E14" s="216" t="s">
        <v>157</v>
      </c>
      <c r="F14" s="217" t="s">
        <v>334</v>
      </c>
    </row>
    <row r="15" spans="1:10" ht="14.1" customHeight="1" x14ac:dyDescent="0.2">
      <c r="A15" s="236" t="s">
        <v>156</v>
      </c>
      <c r="B15" s="227">
        <f>IF(B12=250,1,IF(B12=600,1.4,2.25))</f>
        <v>2.25</v>
      </c>
      <c r="C15" s="227">
        <f>IF(C12=250,1,IF(C12=600,1.4,2.25))</f>
        <v>2.25</v>
      </c>
      <c r="D15" s="180"/>
      <c r="E15" s="205" t="s">
        <v>568</v>
      </c>
      <c r="F15" s="217" t="s">
        <v>382</v>
      </c>
    </row>
    <row r="16" spans="1:10" s="232" customFormat="1" ht="14.1" customHeight="1" x14ac:dyDescent="0.2">
      <c r="A16" s="216" t="s">
        <v>205</v>
      </c>
      <c r="B16" s="217"/>
      <c r="C16" s="217"/>
      <c r="D16" s="180"/>
      <c r="E16" s="216" t="s">
        <v>359</v>
      </c>
      <c r="F16" s="217"/>
      <c r="G16" s="218"/>
      <c r="H16" s="218"/>
    </row>
    <row r="17" spans="1:6" ht="14.1" customHeight="1" x14ac:dyDescent="0.2">
      <c r="A17" s="180" t="s">
        <v>279</v>
      </c>
      <c r="B17" s="223">
        <v>100</v>
      </c>
      <c r="C17" s="223">
        <v>100</v>
      </c>
      <c r="D17" s="180" t="s">
        <v>19</v>
      </c>
      <c r="E17" s="216"/>
      <c r="F17" s="245" t="s">
        <v>206</v>
      </c>
    </row>
    <row r="18" spans="1:6" ht="14.1" customHeight="1" x14ac:dyDescent="0.2">
      <c r="A18" s="180" t="s">
        <v>280</v>
      </c>
      <c r="B18" s="261">
        <f>Principal!$R$19</f>
        <v>100</v>
      </c>
      <c r="C18" s="261">
        <f>Principal!$R$19</f>
        <v>100</v>
      </c>
      <c r="D18" s="180" t="s">
        <v>19</v>
      </c>
      <c r="E18" s="216"/>
      <c r="F18" s="224" t="s">
        <v>268</v>
      </c>
    </row>
    <row r="19" spans="1:6" ht="14.1" customHeight="1" x14ac:dyDescent="0.2">
      <c r="A19" s="180" t="s">
        <v>139</v>
      </c>
      <c r="B19" s="260">
        <f>Principal!$R$12</f>
        <v>12</v>
      </c>
      <c r="C19" s="260">
        <f>Principal!$R$12</f>
        <v>12</v>
      </c>
      <c r="D19" s="180" t="s">
        <v>19</v>
      </c>
      <c r="E19" s="216"/>
      <c r="F19" s="245" t="s">
        <v>207</v>
      </c>
    </row>
    <row r="20" spans="1:6" ht="14.1" customHeight="1" x14ac:dyDescent="0.2">
      <c r="A20" s="180" t="s">
        <v>281</v>
      </c>
      <c r="B20" s="260">
        <f>Principal!$AA$8</f>
        <v>12</v>
      </c>
      <c r="C20" s="260">
        <f>Principal!$AA$8</f>
        <v>12</v>
      </c>
      <c r="D20" s="180" t="s">
        <v>19</v>
      </c>
      <c r="E20" s="216"/>
      <c r="F20" s="224" t="s">
        <v>270</v>
      </c>
    </row>
    <row r="21" spans="1:6" ht="14.1" customHeight="1" x14ac:dyDescent="0.2">
      <c r="A21" s="180" t="s">
        <v>448</v>
      </c>
      <c r="B21" s="261">
        <f>Principal!$R$20+1</f>
        <v>3</v>
      </c>
      <c r="C21" s="261">
        <f>Principal!$R$20+1</f>
        <v>3</v>
      </c>
      <c r="D21" s="180" t="s">
        <v>19</v>
      </c>
      <c r="E21" s="216"/>
      <c r="F21" s="216" t="s">
        <v>449</v>
      </c>
    </row>
    <row r="22" spans="1:6" ht="14.1" customHeight="1" x14ac:dyDescent="0.2">
      <c r="A22" s="180" t="s">
        <v>209</v>
      </c>
      <c r="B22" s="261">
        <f>Principal!$R$20+1</f>
        <v>3</v>
      </c>
      <c r="C22" s="261">
        <f>Principal!$R$20+1</f>
        <v>3</v>
      </c>
      <c r="D22" s="180" t="s">
        <v>19</v>
      </c>
      <c r="E22" s="216"/>
      <c r="F22" s="224" t="s">
        <v>450</v>
      </c>
    </row>
    <row r="23" spans="1:6" ht="14.1" customHeight="1" x14ac:dyDescent="0.2">
      <c r="A23" s="180" t="s">
        <v>14</v>
      </c>
      <c r="B23" s="225">
        <f>B19-B21</f>
        <v>9</v>
      </c>
      <c r="C23" s="225">
        <f>C19-C21</f>
        <v>9</v>
      </c>
      <c r="D23" s="180" t="s">
        <v>19</v>
      </c>
      <c r="E23" s="216" t="s">
        <v>456</v>
      </c>
      <c r="F23" s="245" t="s">
        <v>208</v>
      </c>
    </row>
    <row r="24" spans="1:6" ht="14.1" customHeight="1" x14ac:dyDescent="0.2">
      <c r="A24" s="180" t="s">
        <v>209</v>
      </c>
      <c r="B24" s="227">
        <f>B22</f>
        <v>3</v>
      </c>
      <c r="C24" s="227">
        <f>C22</f>
        <v>3</v>
      </c>
      <c r="D24" s="180" t="s">
        <v>19</v>
      </c>
      <c r="E24" s="216" t="s">
        <v>209</v>
      </c>
      <c r="F24" s="245" t="s">
        <v>210</v>
      </c>
    </row>
    <row r="25" spans="1:6" ht="14.1" customHeight="1" x14ac:dyDescent="0.2">
      <c r="A25" s="180" t="s">
        <v>245</v>
      </c>
      <c r="B25" s="229">
        <f>(B17-B18)*B20+B18*B19</f>
        <v>1200</v>
      </c>
      <c r="C25" s="229">
        <f>(C17-C18)*C20+C18*C19</f>
        <v>1200</v>
      </c>
      <c r="D25" s="180" t="s">
        <v>246</v>
      </c>
      <c r="E25" s="216" t="s">
        <v>282</v>
      </c>
      <c r="F25" s="224" t="s">
        <v>211</v>
      </c>
    </row>
    <row r="26" spans="1:6" ht="14.1" customHeight="1" x14ac:dyDescent="0.2">
      <c r="A26" s="180" t="s">
        <v>362</v>
      </c>
      <c r="B26" s="227">
        <f>0.5*(B18*B19^2+(B17-B18)*B20^2)/(B18*B19+(B17-B18)*B20)</f>
        <v>6</v>
      </c>
      <c r="C26" s="227">
        <f>0.5*(C18*C19^2+(C17-C18)*C20^2)/(C18*C19+(C17-C18)*C20)</f>
        <v>6</v>
      </c>
      <c r="D26" s="180" t="s">
        <v>19</v>
      </c>
      <c r="E26" s="216" t="s">
        <v>363</v>
      </c>
      <c r="F26" s="245" t="s">
        <v>360</v>
      </c>
    </row>
    <row r="27" spans="1:6" ht="14.1" customHeight="1" x14ac:dyDescent="0.2">
      <c r="A27" s="180" t="s">
        <v>335</v>
      </c>
      <c r="B27" s="229">
        <f>B18*B19^3/12+B18*B19*(B19/2-B26)^2+(B17-B18)*B20^3/12+(B17-B18)*B20*(B26-B20/2)^2</f>
        <v>14400</v>
      </c>
      <c r="C27" s="229">
        <f>C18*C19^3/12+C18*C19*(C19/2-C26)^2+(C17-C18)*C20^3/12+(C17-C18)*C20*(C26-C20/2)^2</f>
        <v>14400</v>
      </c>
      <c r="D27" s="159" t="s">
        <v>336</v>
      </c>
      <c r="E27" s="216" t="s">
        <v>364</v>
      </c>
      <c r="F27" s="217" t="s">
        <v>361</v>
      </c>
    </row>
    <row r="28" spans="1:6" ht="14.1" customHeight="1" x14ac:dyDescent="0.2">
      <c r="A28" s="180" t="s">
        <v>337</v>
      </c>
      <c r="B28" s="282">
        <f>B26</f>
        <v>6</v>
      </c>
      <c r="C28" s="282">
        <f>C26</f>
        <v>6</v>
      </c>
      <c r="D28" s="180" t="s">
        <v>19</v>
      </c>
      <c r="E28" s="216" t="s">
        <v>362</v>
      </c>
      <c r="F28" s="217" t="s">
        <v>311</v>
      </c>
    </row>
    <row r="29" spans="1:6" ht="14.1" customHeight="1" x14ac:dyDescent="0.2">
      <c r="A29" s="180" t="s">
        <v>338</v>
      </c>
      <c r="B29" s="229">
        <f>B27/B28</f>
        <v>2400</v>
      </c>
      <c r="C29" s="229">
        <f>C27/C28</f>
        <v>2400</v>
      </c>
      <c r="D29" s="180" t="s">
        <v>339</v>
      </c>
      <c r="E29" s="216" t="s">
        <v>340</v>
      </c>
      <c r="F29" s="217" t="s">
        <v>312</v>
      </c>
    </row>
    <row r="30" spans="1:6" ht="14.1" customHeight="1" x14ac:dyDescent="0.2">
      <c r="A30" s="205" t="s">
        <v>315</v>
      </c>
      <c r="B30" s="255"/>
      <c r="C30" s="255"/>
      <c r="D30" s="180"/>
      <c r="E30" s="205"/>
      <c r="F30" s="224"/>
    </row>
    <row r="31" spans="1:6" ht="14.1" customHeight="1" x14ac:dyDescent="0.2">
      <c r="A31" s="159" t="s">
        <v>138</v>
      </c>
      <c r="B31" s="261" t="str">
        <f>Principal!$F$39</f>
        <v/>
      </c>
      <c r="C31" s="261">
        <f>Principal!$H$39</f>
        <v>5.8437363348024425</v>
      </c>
      <c r="D31" s="180" t="s">
        <v>246</v>
      </c>
      <c r="E31" s="205"/>
      <c r="F31" s="224" t="s">
        <v>229</v>
      </c>
    </row>
    <row r="32" spans="1:6" ht="14.1" customHeight="1" x14ac:dyDescent="0.2">
      <c r="A32" s="159" t="s">
        <v>261</v>
      </c>
      <c r="B32" s="269" t="str">
        <f>Principal!$F$40</f>
        <v/>
      </c>
      <c r="C32" s="269">
        <f>Principal!$H$40</f>
        <v>0</v>
      </c>
      <c r="D32" s="180" t="s">
        <v>246</v>
      </c>
      <c r="E32" s="205"/>
      <c r="F32" s="224" t="s">
        <v>227</v>
      </c>
    </row>
    <row r="33" spans="1:6" ht="14.1" customHeight="1" x14ac:dyDescent="0.2">
      <c r="A33" s="205" t="s">
        <v>383</v>
      </c>
      <c r="B33" s="255"/>
      <c r="C33" s="255"/>
      <c r="D33" s="180"/>
      <c r="E33" s="205"/>
      <c r="F33" s="224"/>
    </row>
    <row r="34" spans="1:6" ht="14.1" customHeight="1" x14ac:dyDescent="0.2">
      <c r="A34" s="236" t="s">
        <v>22</v>
      </c>
      <c r="B34" s="263">
        <f>Principal!$F$33</f>
        <v>10</v>
      </c>
      <c r="C34" s="263">
        <f>Principal!$H$33</f>
        <v>12.5</v>
      </c>
      <c r="D34" s="180" t="s">
        <v>18</v>
      </c>
      <c r="E34" s="216"/>
      <c r="F34" s="217" t="s">
        <v>384</v>
      </c>
    </row>
    <row r="35" spans="1:6" ht="14.1" customHeight="1" x14ac:dyDescent="0.2">
      <c r="A35" s="216" t="s">
        <v>385</v>
      </c>
      <c r="B35" s="255"/>
      <c r="C35" s="255"/>
      <c r="D35" s="180"/>
      <c r="E35" s="205"/>
      <c r="F35" s="224"/>
    </row>
    <row r="36" spans="1:6" ht="14.1" customHeight="1" x14ac:dyDescent="0.2">
      <c r="A36" s="159" t="s">
        <v>401</v>
      </c>
      <c r="B36" s="261" t="str">
        <f>Principal!$F$60</f>
        <v/>
      </c>
      <c r="C36" s="261">
        <f>Principal!$H$60</f>
        <v>14.660800000000002</v>
      </c>
      <c r="D36" s="180" t="s">
        <v>213</v>
      </c>
      <c r="E36" s="205"/>
      <c r="F36" s="217" t="s">
        <v>386</v>
      </c>
    </row>
    <row r="37" spans="1:6" ht="14.1" customHeight="1" x14ac:dyDescent="0.2">
      <c r="A37" s="205" t="s">
        <v>317</v>
      </c>
      <c r="B37" s="255"/>
      <c r="C37" s="255"/>
      <c r="D37" s="180"/>
      <c r="E37" s="205"/>
      <c r="F37" s="224"/>
    </row>
    <row r="38" spans="1:6" ht="14.1" customHeight="1" x14ac:dyDescent="0.2">
      <c r="A38" s="159" t="s">
        <v>402</v>
      </c>
      <c r="B38" s="227">
        <f>B29*B9/10/100</f>
        <v>5.1709672627503291</v>
      </c>
      <c r="C38" s="227">
        <f>C29*C9/10/100</f>
        <v>5.1709672627503291</v>
      </c>
      <c r="D38" s="180" t="s">
        <v>213</v>
      </c>
      <c r="E38" s="205" t="s">
        <v>403</v>
      </c>
      <c r="F38" s="217" t="s">
        <v>387</v>
      </c>
    </row>
    <row r="39" spans="1:6" ht="14.1" customHeight="1" x14ac:dyDescent="0.2">
      <c r="A39" s="159" t="s">
        <v>404</v>
      </c>
      <c r="B39" s="221" t="e">
        <f>B38/B36</f>
        <v>#VALUE!</v>
      </c>
      <c r="C39" s="221">
        <f>C38/C36</f>
        <v>0.35270703254599534</v>
      </c>
      <c r="D39" s="180"/>
      <c r="E39" s="205" t="s">
        <v>404</v>
      </c>
      <c r="F39" s="205" t="s">
        <v>464</v>
      </c>
    </row>
    <row r="40" spans="1:6" ht="14.1" customHeight="1" x14ac:dyDescent="0.2">
      <c r="A40" s="180" t="s">
        <v>319</v>
      </c>
      <c r="B40" s="238" t="str">
        <f>IF(B36&lt;B38,"não fissurada","fissurada")</f>
        <v>fissurada</v>
      </c>
      <c r="C40" s="238" t="str">
        <f>IF(C36&lt;C38,"não fissurada","fissurada")</f>
        <v>fissurada</v>
      </c>
      <c r="D40" s="180"/>
      <c r="E40" s="216" t="s">
        <v>405</v>
      </c>
      <c r="F40" s="217" t="s">
        <v>320</v>
      </c>
    </row>
    <row r="41" spans="1:6" ht="14.1" customHeight="1" x14ac:dyDescent="0.2">
      <c r="A41" s="205" t="s">
        <v>388</v>
      </c>
      <c r="B41" s="238"/>
      <c r="C41" s="238"/>
      <c r="D41" s="180"/>
      <c r="E41" s="216"/>
      <c r="F41" s="217"/>
    </row>
    <row r="42" spans="1:6" ht="14.1" customHeight="1" x14ac:dyDescent="0.3">
      <c r="A42" s="180" t="s">
        <v>344</v>
      </c>
      <c r="B42" s="282">
        <f>0.5*B18</f>
        <v>50</v>
      </c>
      <c r="C42" s="282">
        <f>0.5*C18</f>
        <v>50</v>
      </c>
      <c r="D42" s="180" t="s">
        <v>19</v>
      </c>
      <c r="E42" s="283" t="s">
        <v>372</v>
      </c>
      <c r="F42" s="217" t="s">
        <v>345</v>
      </c>
    </row>
    <row r="43" spans="1:6" ht="14.1" customHeight="1" x14ac:dyDescent="0.3">
      <c r="A43" s="180" t="s">
        <v>346</v>
      </c>
      <c r="B43" s="225" t="e">
        <f>B14*B31+(B14-1)*B32</f>
        <v>#VALUE!</v>
      </c>
      <c r="C43" s="225">
        <f>C14*C31+(C14-1)*C32</f>
        <v>51.562379424727439</v>
      </c>
      <c r="D43" s="180" t="s">
        <v>246</v>
      </c>
      <c r="E43" s="251" t="s">
        <v>347</v>
      </c>
      <c r="F43" s="217" t="s">
        <v>345</v>
      </c>
    </row>
    <row r="44" spans="1:6" ht="14.1" customHeight="1" x14ac:dyDescent="0.3">
      <c r="A44" s="180" t="s">
        <v>348</v>
      </c>
      <c r="B44" s="225" t="e">
        <f>-B14*B31*B23-(B14-1)*B32*B24</f>
        <v>#VALUE!</v>
      </c>
      <c r="C44" s="225">
        <f>-C14*C31*C23-(C14-1)*C32*C24</f>
        <v>-464.06141482254696</v>
      </c>
      <c r="D44" s="180" t="s">
        <v>339</v>
      </c>
      <c r="E44" s="251" t="s">
        <v>349</v>
      </c>
      <c r="F44" s="217" t="s">
        <v>345</v>
      </c>
    </row>
    <row r="45" spans="1:6" ht="14.1" customHeight="1" x14ac:dyDescent="0.2">
      <c r="A45" s="180" t="s">
        <v>350</v>
      </c>
      <c r="B45" s="227" t="e">
        <f>(-B43+SQRT(B43^2-4*B42*B44))/(2*B42)</f>
        <v>#VALUE!</v>
      </c>
      <c r="C45" s="227">
        <f>(-C43+SQRT(C43^2-4*C42*C44))/(2*C42)</f>
        <v>2.5742137732706194</v>
      </c>
      <c r="D45" s="180" t="s">
        <v>19</v>
      </c>
      <c r="E45" s="216" t="s">
        <v>351</v>
      </c>
      <c r="F45" s="217" t="s">
        <v>321</v>
      </c>
    </row>
    <row r="46" spans="1:6" ht="14.1" customHeight="1" x14ac:dyDescent="0.2">
      <c r="A46" s="180" t="s">
        <v>352</v>
      </c>
      <c r="B46" s="284" t="e">
        <f>B18*B45^3/3+B14*B31*(B23-B45)^2+(B14-1)*B32*(B45-B24)^2</f>
        <v>#VALUE!</v>
      </c>
      <c r="C46" s="284">
        <f>C18*C45^3/3+C14*C31*(C23-C45)^2+(C14-1)*C32*(C45-C24)^2</f>
        <v>2697.6557039579493</v>
      </c>
      <c r="D46" s="159" t="s">
        <v>336</v>
      </c>
      <c r="E46" s="283" t="s">
        <v>469</v>
      </c>
      <c r="F46" s="217" t="s">
        <v>322</v>
      </c>
    </row>
    <row r="47" spans="1:6" ht="14.1" customHeight="1" x14ac:dyDescent="0.2">
      <c r="A47" s="236" t="s">
        <v>406</v>
      </c>
      <c r="B47" s="225" t="e">
        <f>10*B14*(B36*100)*(B23-B45)/B46</f>
        <v>#VALUE!</v>
      </c>
      <c r="C47" s="225">
        <f>10*C14*(C36*100)*(C23-C45)/C46</f>
        <v>308.13409771681899</v>
      </c>
      <c r="D47" s="180" t="s">
        <v>192</v>
      </c>
      <c r="E47" s="216" t="s">
        <v>407</v>
      </c>
      <c r="F47" s="217" t="s">
        <v>389</v>
      </c>
    </row>
    <row r="48" spans="1:6" ht="14.1" customHeight="1" x14ac:dyDescent="0.2">
      <c r="A48" s="236" t="s">
        <v>408</v>
      </c>
      <c r="B48" s="225" t="e">
        <f>10*(B36*100)/(0.9*B23*B31)</f>
        <v>#VALUE!</v>
      </c>
      <c r="C48" s="225">
        <f>10*(C36*100)/(0.9*C23*C31)</f>
        <v>309.72911934144696</v>
      </c>
      <c r="D48" s="180" t="s">
        <v>192</v>
      </c>
      <c r="E48" s="216" t="s">
        <v>409</v>
      </c>
      <c r="F48" s="217" t="s">
        <v>390</v>
      </c>
    </row>
    <row r="49" spans="1:8" ht="14.1" customHeight="1" x14ac:dyDescent="0.2">
      <c r="A49" s="216" t="s">
        <v>391</v>
      </c>
      <c r="B49" s="225"/>
      <c r="C49" s="225"/>
      <c r="D49" s="180"/>
      <c r="E49" s="216"/>
      <c r="F49" s="217"/>
    </row>
    <row r="50" spans="1:8" ht="14.1" customHeight="1" x14ac:dyDescent="0.2">
      <c r="A50" s="180" t="s">
        <v>468</v>
      </c>
      <c r="B50" s="225">
        <f>MIN(B19-B23+7.5*(B34/10),B19/2)</f>
        <v>6</v>
      </c>
      <c r="C50" s="225">
        <f>MIN(C19-C23+7.5*(C34/10),C19/2)</f>
        <v>6</v>
      </c>
      <c r="D50" s="180" t="s">
        <v>19</v>
      </c>
      <c r="E50" s="216" t="s">
        <v>467</v>
      </c>
      <c r="F50" s="224" t="s">
        <v>465</v>
      </c>
    </row>
    <row r="51" spans="1:8" ht="14.1" customHeight="1" x14ac:dyDescent="0.2">
      <c r="A51" s="180" t="s">
        <v>410</v>
      </c>
      <c r="B51" s="225">
        <f>B18*B50</f>
        <v>600</v>
      </c>
      <c r="C51" s="225">
        <f>C18*C50</f>
        <v>600</v>
      </c>
      <c r="D51" s="180" t="s">
        <v>246</v>
      </c>
      <c r="E51" s="216" t="s">
        <v>466</v>
      </c>
      <c r="F51" s="224" t="s">
        <v>392</v>
      </c>
    </row>
    <row r="52" spans="1:8" ht="14.1" customHeight="1" x14ac:dyDescent="0.3">
      <c r="A52" s="236" t="s">
        <v>158</v>
      </c>
      <c r="B52" s="256" t="e">
        <f>B31/B51</f>
        <v>#VALUE!</v>
      </c>
      <c r="C52" s="256">
        <f>C31/C51</f>
        <v>9.7395605580040713E-3</v>
      </c>
      <c r="D52" s="180"/>
      <c r="E52" s="216" t="s">
        <v>411</v>
      </c>
      <c r="F52" s="224" t="s">
        <v>412</v>
      </c>
    </row>
    <row r="53" spans="1:8" ht="14.1" customHeight="1" x14ac:dyDescent="0.2">
      <c r="A53" s="216" t="s">
        <v>393</v>
      </c>
      <c r="B53" s="256"/>
      <c r="C53" s="256"/>
      <c r="D53" s="180"/>
      <c r="E53" s="216"/>
      <c r="F53" s="224"/>
    </row>
    <row r="54" spans="1:8" ht="14.1" customHeight="1" x14ac:dyDescent="0.2">
      <c r="A54" s="180" t="s">
        <v>413</v>
      </c>
      <c r="B54" s="221" t="e">
        <f>IF(B40="fissurada",B34*B47*3*B47/(12.5*B15*B13*B7),0)</f>
        <v>#VALUE!</v>
      </c>
      <c r="C54" s="221">
        <f>IF(C40="fissurada",C34*C47*3*C47/(12.5*C15*C13*C7),0)</f>
        <v>0.23502696924894143</v>
      </c>
      <c r="D54" s="180" t="s">
        <v>18</v>
      </c>
      <c r="E54" s="216" t="s">
        <v>414</v>
      </c>
      <c r="F54" s="217" t="s">
        <v>394</v>
      </c>
    </row>
    <row r="55" spans="1:8" ht="14.1" customHeight="1" x14ac:dyDescent="0.2">
      <c r="A55" s="180" t="s">
        <v>415</v>
      </c>
      <c r="B55" s="221" t="e">
        <f>IF(B40="fissurada",B34*B47*(4/B52+45)/(12.5*B15*B13),0)</f>
        <v>#VALUE!</v>
      </c>
      <c r="C55" s="221">
        <f>IF(C40="fissurada",C34*C47*(4/C52+45)/(12.5*C15*C13),0)</f>
        <v>0.2971757063667303</v>
      </c>
      <c r="D55" s="180" t="s">
        <v>18</v>
      </c>
      <c r="E55" s="216" t="s">
        <v>416</v>
      </c>
      <c r="F55" s="217" t="s">
        <v>394</v>
      </c>
    </row>
    <row r="56" spans="1:8" ht="14.1" customHeight="1" x14ac:dyDescent="0.2">
      <c r="A56" s="180" t="s">
        <v>417</v>
      </c>
      <c r="B56" s="257" t="e">
        <f>MIN(B54,B55)</f>
        <v>#VALUE!</v>
      </c>
      <c r="C56" s="257">
        <f>MIN(C54,C55)</f>
        <v>0.23502696924894143</v>
      </c>
      <c r="D56" s="180" t="s">
        <v>18</v>
      </c>
      <c r="E56" s="216" t="s">
        <v>418</v>
      </c>
      <c r="F56" s="217" t="s">
        <v>394</v>
      </c>
    </row>
    <row r="57" spans="1:8" ht="14.1" customHeight="1" x14ac:dyDescent="0.2">
      <c r="A57" s="216" t="s">
        <v>395</v>
      </c>
      <c r="B57" s="221"/>
      <c r="C57" s="221"/>
      <c r="D57" s="180"/>
      <c r="E57" s="216"/>
      <c r="F57" s="217"/>
    </row>
    <row r="58" spans="1:8" ht="14.1" customHeight="1" x14ac:dyDescent="0.2">
      <c r="A58" s="180" t="s">
        <v>170</v>
      </c>
      <c r="B58" s="261">
        <f>Principal!$E$65</f>
        <v>0.3</v>
      </c>
      <c r="C58" s="261">
        <f>Principal!$E$65</f>
        <v>0.3</v>
      </c>
      <c r="D58" s="180" t="s">
        <v>18</v>
      </c>
      <c r="E58" s="216"/>
      <c r="F58" s="217" t="s">
        <v>396</v>
      </c>
    </row>
    <row r="59" spans="1:8" ht="14.1" customHeight="1" x14ac:dyDescent="0.2">
      <c r="A59" s="180" t="s">
        <v>84</v>
      </c>
      <c r="B59" s="238" t="e">
        <f>B56/B58</f>
        <v>#VALUE!</v>
      </c>
      <c r="C59" s="238">
        <f>C56/C58</f>
        <v>0.78342323082980481</v>
      </c>
      <c r="D59" s="180"/>
      <c r="E59" s="216" t="s">
        <v>84</v>
      </c>
      <c r="F59" s="216" t="s">
        <v>419</v>
      </c>
    </row>
    <row r="60" spans="1:8" ht="14.1" customHeight="1" x14ac:dyDescent="0.2">
      <c r="A60" s="211"/>
      <c r="B60" s="211"/>
      <c r="C60" s="211"/>
      <c r="D60" s="211"/>
      <c r="E60" s="211"/>
      <c r="F60" s="211"/>
    </row>
    <row r="61" spans="1:8" ht="14.1" customHeight="1" x14ac:dyDescent="0.2">
      <c r="A61" s="211"/>
      <c r="B61" s="211"/>
      <c r="C61" s="211"/>
      <c r="D61" s="211"/>
      <c r="E61" s="211"/>
      <c r="F61" s="211"/>
    </row>
    <row r="62" spans="1:8" ht="14.1" customHeight="1" x14ac:dyDescent="0.2">
      <c r="A62" s="211"/>
      <c r="B62" s="211"/>
      <c r="C62" s="211"/>
      <c r="D62" s="211"/>
      <c r="E62" s="211"/>
      <c r="F62" s="211"/>
    </row>
    <row r="63" spans="1:8" s="220" customFormat="1" ht="14.1" customHeight="1" x14ac:dyDescent="0.2">
      <c r="G63" s="222"/>
      <c r="H63" s="222"/>
    </row>
    <row r="64" spans="1:8" s="220" customFormat="1" ht="14.1" customHeight="1" x14ac:dyDescent="0.2">
      <c r="G64" s="222"/>
      <c r="H64" s="222"/>
    </row>
    <row r="65" spans="1:8" s="220" customFormat="1" ht="14.1" customHeight="1" x14ac:dyDescent="0.2">
      <c r="G65" s="222"/>
      <c r="H65" s="222"/>
    </row>
    <row r="66" spans="1:8" ht="14.1" customHeight="1" x14ac:dyDescent="0.2">
      <c r="A66" s="211"/>
      <c r="B66" s="211"/>
      <c r="C66" s="211"/>
      <c r="D66" s="211"/>
      <c r="E66" s="211"/>
      <c r="F66" s="211"/>
    </row>
    <row r="67" spans="1:8" ht="14.1" customHeight="1" x14ac:dyDescent="0.2">
      <c r="A67" s="211"/>
      <c r="B67" s="211"/>
      <c r="C67" s="211"/>
      <c r="D67" s="211"/>
      <c r="E67" s="211"/>
      <c r="F67" s="211"/>
    </row>
    <row r="68" spans="1:8" ht="14.1" customHeight="1" x14ac:dyDescent="0.2">
      <c r="A68" s="211"/>
      <c r="B68" s="211"/>
      <c r="C68" s="211"/>
      <c r="D68" s="211"/>
      <c r="E68" s="211"/>
      <c r="F68" s="211"/>
    </row>
    <row r="69" spans="1:8" ht="14.1" customHeight="1" x14ac:dyDescent="0.2">
      <c r="A69" s="211"/>
      <c r="B69" s="211"/>
      <c r="C69" s="211"/>
      <c r="D69" s="211"/>
      <c r="E69" s="211"/>
      <c r="F69" s="211"/>
    </row>
    <row r="70" spans="1:8" ht="14.1" customHeight="1" x14ac:dyDescent="0.2">
      <c r="A70" s="211"/>
      <c r="B70" s="211"/>
      <c r="C70" s="211"/>
      <c r="D70" s="211"/>
      <c r="E70" s="211"/>
      <c r="F70" s="211"/>
    </row>
    <row r="71" spans="1:8" ht="14.1" customHeight="1" x14ac:dyDescent="0.2">
      <c r="A71" s="211"/>
      <c r="B71" s="211"/>
      <c r="C71" s="211"/>
      <c r="D71" s="211"/>
      <c r="E71" s="211"/>
      <c r="F71" s="211"/>
    </row>
    <row r="72" spans="1:8" ht="14.1" customHeight="1" x14ac:dyDescent="0.2">
      <c r="A72" s="211"/>
      <c r="B72" s="211"/>
      <c r="C72" s="211"/>
      <c r="D72" s="211"/>
      <c r="E72" s="211"/>
      <c r="F72" s="211"/>
    </row>
    <row r="73" spans="1:8" ht="14.1" customHeight="1" x14ac:dyDescent="0.2">
      <c r="A73" s="211"/>
      <c r="B73" s="211"/>
      <c r="C73" s="211"/>
      <c r="D73" s="211"/>
      <c r="E73" s="211"/>
      <c r="F73" s="211"/>
    </row>
    <row r="74" spans="1:8" ht="14.1" customHeight="1" x14ac:dyDescent="0.2">
      <c r="A74" s="211"/>
      <c r="B74" s="211"/>
      <c r="C74" s="211"/>
      <c r="D74" s="211"/>
      <c r="E74" s="211"/>
      <c r="F74" s="211"/>
    </row>
    <row r="75" spans="1:8" ht="14.1" customHeight="1" x14ac:dyDescent="0.2">
      <c r="A75" s="211"/>
      <c r="B75" s="211"/>
      <c r="C75" s="211"/>
      <c r="D75" s="211"/>
      <c r="E75" s="211"/>
      <c r="F75" s="211"/>
    </row>
    <row r="76" spans="1:8" ht="14.1" customHeight="1" x14ac:dyDescent="0.2">
      <c r="A76" s="211"/>
      <c r="B76" s="211"/>
      <c r="C76" s="211"/>
      <c r="D76" s="211"/>
      <c r="E76" s="211"/>
      <c r="F76" s="211"/>
    </row>
    <row r="77" spans="1:8" ht="14.1" customHeight="1" x14ac:dyDescent="0.2">
      <c r="A77" s="211"/>
      <c r="B77" s="211"/>
      <c r="C77" s="211"/>
      <c r="D77" s="211"/>
      <c r="E77" s="211"/>
      <c r="F77" s="211"/>
    </row>
    <row r="78" spans="1:8" ht="14.1" customHeight="1" x14ac:dyDescent="0.2">
      <c r="A78" s="211"/>
      <c r="B78" s="211"/>
      <c r="C78" s="211"/>
      <c r="D78" s="211"/>
      <c r="E78" s="211"/>
      <c r="F78" s="211"/>
    </row>
    <row r="79" spans="1:8" ht="14.1" customHeight="1" x14ac:dyDescent="0.2">
      <c r="A79" s="211"/>
      <c r="B79" s="211"/>
      <c r="C79" s="211"/>
      <c r="D79" s="211"/>
      <c r="E79" s="211"/>
      <c r="F79" s="211"/>
    </row>
    <row r="80" spans="1:8" ht="14.1" customHeight="1" x14ac:dyDescent="0.2">
      <c r="A80" s="211"/>
      <c r="B80" s="211"/>
      <c r="C80" s="211"/>
      <c r="D80" s="211"/>
      <c r="E80" s="211"/>
      <c r="F80" s="211"/>
    </row>
    <row r="81" spans="1:6" ht="14.1" customHeight="1" x14ac:dyDescent="0.2">
      <c r="A81" s="211"/>
      <c r="B81" s="211"/>
      <c r="C81" s="211"/>
      <c r="D81" s="211"/>
      <c r="E81" s="211"/>
      <c r="F81" s="211"/>
    </row>
    <row r="82" spans="1:6" ht="14.1" customHeight="1" x14ac:dyDescent="0.2">
      <c r="A82" s="211"/>
      <c r="B82" s="211"/>
      <c r="C82" s="211"/>
      <c r="D82" s="211"/>
      <c r="E82" s="211"/>
      <c r="F82" s="211"/>
    </row>
    <row r="83" spans="1:6" ht="14.1" customHeight="1" x14ac:dyDescent="0.2">
      <c r="A83" s="211"/>
      <c r="B83" s="211"/>
      <c r="C83" s="211"/>
      <c r="D83" s="211"/>
      <c r="E83" s="211"/>
      <c r="F83" s="211"/>
    </row>
    <row r="84" spans="1:6" ht="14.1" customHeight="1" x14ac:dyDescent="0.2">
      <c r="A84" s="211"/>
      <c r="B84" s="211"/>
      <c r="C84" s="211"/>
      <c r="D84" s="211"/>
      <c r="E84" s="211"/>
      <c r="F84" s="211"/>
    </row>
    <row r="85" spans="1:6" ht="14.1" customHeight="1" x14ac:dyDescent="0.2">
      <c r="A85" s="211"/>
      <c r="B85" s="211"/>
      <c r="C85" s="211"/>
      <c r="D85" s="211"/>
      <c r="E85" s="211"/>
      <c r="F85" s="211"/>
    </row>
    <row r="86" spans="1:6" ht="14.1" customHeight="1" x14ac:dyDescent="0.2">
      <c r="A86" s="211"/>
      <c r="B86" s="211"/>
      <c r="C86" s="211"/>
      <c r="D86" s="211"/>
      <c r="E86" s="211"/>
      <c r="F86" s="211"/>
    </row>
    <row r="87" spans="1:6" ht="14.1" customHeight="1" x14ac:dyDescent="0.2">
      <c r="A87" s="211"/>
      <c r="B87" s="211"/>
      <c r="C87" s="211"/>
      <c r="D87" s="211"/>
      <c r="E87" s="211"/>
      <c r="F87" s="211"/>
    </row>
    <row r="88" spans="1:6" ht="14.1" customHeight="1" x14ac:dyDescent="0.2">
      <c r="A88" s="211"/>
      <c r="B88" s="211"/>
      <c r="C88" s="211"/>
      <c r="D88" s="211"/>
      <c r="E88" s="211"/>
      <c r="F88" s="211"/>
    </row>
    <row r="89" spans="1:6" ht="14.1" customHeight="1" x14ac:dyDescent="0.2">
      <c r="A89" s="211"/>
      <c r="B89" s="211"/>
      <c r="C89" s="211"/>
      <c r="D89" s="211"/>
      <c r="E89" s="211"/>
      <c r="F89" s="211"/>
    </row>
    <row r="90" spans="1:6" ht="15" customHeight="1" x14ac:dyDescent="0.2">
      <c r="B90" s="253"/>
      <c r="C90" s="253"/>
    </row>
    <row r="91" spans="1:6" ht="15" customHeight="1" x14ac:dyDescent="0.2">
      <c r="B91" s="253"/>
      <c r="C91" s="253"/>
    </row>
    <row r="92" spans="1:6" ht="15" customHeight="1" x14ac:dyDescent="0.2">
      <c r="B92" s="253"/>
      <c r="C92" s="253"/>
    </row>
    <row r="93" spans="1:6" ht="15" customHeight="1" x14ac:dyDescent="0.2">
      <c r="B93" s="253"/>
      <c r="C93" s="253"/>
    </row>
    <row r="94" spans="1:6" ht="15" customHeight="1" x14ac:dyDescent="0.2">
      <c r="B94" s="253"/>
      <c r="C94" s="253"/>
    </row>
    <row r="95" spans="1:6" ht="15" customHeight="1" x14ac:dyDescent="0.2"/>
    <row r="96" spans="1: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</sheetData>
  <phoneticPr fontId="25" type="noConversion"/>
  <conditionalFormatting sqref="B59:C59">
    <cfRule type="cellIs" dxfId="0" priority="1" stopIfTrue="1" operator="greaterThan">
      <formula>1</formula>
    </cfRule>
  </conditionalFormatting>
  <printOptions horizontalCentered="1" verticalCentered="1"/>
  <pageMargins left="0" right="0.11811023622047245" top="0.62992125984251968" bottom="0.59055118110236227" header="0.51181102362204722" footer="0.51181102362204722"/>
  <pageSetup paperSize="9" scale="75" orientation="landscape" blackAndWhite="1" horizontalDpi="4294967294" r:id="rId1"/>
  <headerFooter alignWithMargins="0"/>
  <rowBreaks count="1" manualBreakCount="1">
    <brk id="27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139"/>
  <sheetViews>
    <sheetView showGridLines="0" workbookViewId="0">
      <selection activeCell="F12" sqref="F12"/>
    </sheetView>
  </sheetViews>
  <sheetFormatPr defaultRowHeight="12.75" x14ac:dyDescent="0.2"/>
  <cols>
    <col min="1" max="1" width="5.5703125" customWidth="1"/>
    <col min="2" max="13" width="10.7109375" customWidth="1"/>
    <col min="14" max="14" width="4.85546875" customWidth="1"/>
    <col min="15" max="15" width="4.85546875" style="5" customWidth="1"/>
    <col min="16" max="124" width="10.7109375" customWidth="1"/>
  </cols>
  <sheetData>
    <row r="1" spans="1:124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24" ht="12.75" customHeight="1" x14ac:dyDescent="0.2">
      <c r="A2" s="1"/>
      <c r="B2" s="1"/>
      <c r="C2" s="1"/>
      <c r="D2" s="483" t="s">
        <v>23</v>
      </c>
      <c r="E2" s="484"/>
      <c r="F2" s="496" t="s">
        <v>20</v>
      </c>
      <c r="G2" s="496"/>
      <c r="H2" s="1"/>
      <c r="I2" s="497" t="s">
        <v>29</v>
      </c>
      <c r="J2" s="497"/>
      <c r="K2" s="497"/>
      <c r="L2" s="497"/>
      <c r="M2" s="497"/>
      <c r="N2" s="1"/>
    </row>
    <row r="3" spans="1:124" ht="12.75" customHeight="1" x14ac:dyDescent="0.2">
      <c r="A3" s="1"/>
      <c r="B3" s="1"/>
      <c r="C3" s="1"/>
      <c r="D3" s="57" t="s">
        <v>97</v>
      </c>
      <c r="E3" s="61">
        <f>Principal!$N$13</f>
        <v>5</v>
      </c>
      <c r="F3" s="19" t="s">
        <v>15</v>
      </c>
      <c r="G3" s="63">
        <f>Principal!$I$21</f>
        <v>3</v>
      </c>
      <c r="H3" s="1"/>
      <c r="I3" s="58"/>
      <c r="J3" s="59" t="s">
        <v>2</v>
      </c>
      <c r="K3" s="59" t="s">
        <v>94</v>
      </c>
      <c r="L3" s="59" t="s">
        <v>95</v>
      </c>
      <c r="M3" s="59" t="s">
        <v>96</v>
      </c>
      <c r="N3" s="1"/>
    </row>
    <row r="4" spans="1:124" ht="12.75" customHeight="1" x14ac:dyDescent="0.2">
      <c r="A4" s="1"/>
      <c r="B4" s="1"/>
      <c r="C4" s="1"/>
      <c r="D4" s="3" t="s">
        <v>98</v>
      </c>
      <c r="E4" s="61">
        <f>Principal!$R$22</f>
        <v>3.5</v>
      </c>
      <c r="F4" s="3" t="s">
        <v>16</v>
      </c>
      <c r="G4" s="64">
        <f>Principal!$I$22</f>
        <v>8</v>
      </c>
      <c r="H4" s="1"/>
      <c r="I4" s="59" t="s">
        <v>175</v>
      </c>
      <c r="J4" s="65">
        <f>$F$12*($G$3+$G$4)*$E$4^2</f>
        <v>8.4549850000000006</v>
      </c>
      <c r="K4" s="65">
        <f>$G$12*($G$3+$G$4)*$E$4^2</f>
        <v>0</v>
      </c>
      <c r="L4" s="65">
        <f>$H$12*($G$3+$G$4)*$E$4^2</f>
        <v>5.8288999999999991</v>
      </c>
      <c r="M4" s="65">
        <f>$I$12*($G$3+$G$4)*$E$4^2</f>
        <v>14.660800000000002</v>
      </c>
      <c r="N4" s="1"/>
    </row>
    <row r="5" spans="1:124" ht="12.75" customHeight="1" x14ac:dyDescent="0.2">
      <c r="A5" s="1"/>
      <c r="B5" s="1"/>
      <c r="C5" s="1"/>
      <c r="D5" s="19" t="s">
        <v>34</v>
      </c>
      <c r="E5" s="62">
        <f>Principal!$AA$12</f>
        <v>2</v>
      </c>
      <c r="F5" s="3" t="s">
        <v>17</v>
      </c>
      <c r="G5" s="64">
        <f>Principal!$I$23</f>
        <v>0</v>
      </c>
      <c r="H5" s="1"/>
      <c r="I5" s="59" t="s">
        <v>176</v>
      </c>
      <c r="J5" s="65">
        <f>$F$12*$G$5*$E$4^2</f>
        <v>0</v>
      </c>
      <c r="K5" s="65">
        <f>$G$12*$G$5*$E$4^2</f>
        <v>0</v>
      </c>
      <c r="L5" s="65">
        <f>$H$12*$G$5*$E$4^2</f>
        <v>0</v>
      </c>
      <c r="M5" s="65">
        <f>$I$12*$G$5*$E$4^2</f>
        <v>0</v>
      </c>
      <c r="N5" s="1"/>
    </row>
    <row r="6" spans="1:124" ht="12.75" customHeight="1" x14ac:dyDescent="0.2">
      <c r="A6" s="1"/>
      <c r="B6" s="1"/>
      <c r="C6" s="1"/>
      <c r="D6" s="1"/>
      <c r="E6" s="1"/>
      <c r="F6" s="1"/>
      <c r="G6" s="1"/>
      <c r="H6" s="1"/>
      <c r="I6" s="60" t="s">
        <v>177</v>
      </c>
      <c r="J6" s="65">
        <f>$J$12*($G$3+$G$4)*$E$4</f>
        <v>10.037459628048996</v>
      </c>
      <c r="K6" s="65">
        <f>$K$12*($G$3+$G$4)*$E$4</f>
        <v>0</v>
      </c>
      <c r="L6" s="65">
        <f>$L$12*($G$3+$G$4)*$E$4</f>
        <v>9.625</v>
      </c>
      <c r="M6" s="65">
        <f>$M$12*($G$3+$G$4)*$E$4</f>
        <v>16.670989022850442</v>
      </c>
      <c r="N6" s="1"/>
      <c r="BF6" t="s">
        <v>151</v>
      </c>
      <c r="BI6" t="s">
        <v>151</v>
      </c>
    </row>
    <row r="7" spans="1:124" ht="12.75" customHeight="1" x14ac:dyDescent="0.2">
      <c r="A7" s="1"/>
      <c r="B7" s="1"/>
      <c r="C7" s="1"/>
      <c r="D7" s="18" t="s">
        <v>133</v>
      </c>
      <c r="E7" s="82">
        <f>Principal!AA11</f>
        <v>1</v>
      </c>
      <c r="F7" s="1"/>
      <c r="G7" s="1"/>
      <c r="H7" s="1"/>
      <c r="I7" s="60" t="s">
        <v>178</v>
      </c>
      <c r="J7" s="65">
        <f>$J$12*$G$5*$E$4</f>
        <v>0</v>
      </c>
      <c r="K7" s="65">
        <f>$K$12*$G$5*$E$4</f>
        <v>0</v>
      </c>
      <c r="L7" s="65">
        <f>$L$12*$G$5*$E$4</f>
        <v>0</v>
      </c>
      <c r="M7" s="65">
        <f>$M$12*$G$5*$E$4</f>
        <v>0</v>
      </c>
      <c r="N7" s="1"/>
      <c r="BF7" s="4" t="s">
        <v>93</v>
      </c>
      <c r="BI7" s="4" t="s">
        <v>93</v>
      </c>
    </row>
    <row r="8" spans="1:124" ht="12.75" customHeight="1" x14ac:dyDescent="0.2">
      <c r="A8" s="1"/>
      <c r="B8" s="1"/>
      <c r="C8" s="1"/>
      <c r="D8" s="1"/>
      <c r="E8" s="1"/>
      <c r="F8" s="1"/>
      <c r="G8" s="1"/>
      <c r="H8" s="1"/>
      <c r="I8" s="12"/>
      <c r="J8" s="13"/>
      <c r="K8" s="13"/>
      <c r="L8" s="13"/>
      <c r="M8" s="13"/>
      <c r="N8" s="1"/>
      <c r="BF8" s="97">
        <v>0.55000000000000004</v>
      </c>
      <c r="BG8" s="97">
        <v>8.2600000000000007E-2</v>
      </c>
      <c r="BI8" s="97">
        <v>0.55000000000000004</v>
      </c>
      <c r="BJ8" s="97">
        <v>9.8100000000000007E-2</v>
      </c>
    </row>
    <row r="9" spans="1:124" x14ac:dyDescent="0.2">
      <c r="A9" s="1"/>
      <c r="B9" s="1"/>
      <c r="C9" s="1"/>
      <c r="D9" s="498" t="s">
        <v>93</v>
      </c>
      <c r="E9" s="19" t="s">
        <v>87</v>
      </c>
      <c r="F9" s="490" t="s">
        <v>88</v>
      </c>
      <c r="G9" s="490"/>
      <c r="H9" s="490"/>
      <c r="I9" s="490"/>
      <c r="J9" s="490" t="s">
        <v>89</v>
      </c>
      <c r="K9" s="490"/>
      <c r="L9" s="490"/>
      <c r="M9" s="490"/>
      <c r="N9" s="1"/>
      <c r="BF9" s="97">
        <f>1/1.8</f>
        <v>0.55555555555555558</v>
      </c>
      <c r="BG9" s="98">
        <f>BG8+(BF9-BF8)*(BG10-BG8)/(BF10-BF8)</f>
        <v>8.1722222222222224E-2</v>
      </c>
      <c r="BI9" s="97">
        <f>1/1.8</f>
        <v>0.55555555555555558</v>
      </c>
      <c r="BJ9" s="98">
        <f>BJ8+(BI9-BI8)*(BJ10-BJ8)/(BI10-BI8)</f>
        <v>9.6988888888888902E-2</v>
      </c>
    </row>
    <row r="10" spans="1:124" ht="15.75" x14ac:dyDescent="0.2">
      <c r="A10" s="1"/>
      <c r="B10" s="1"/>
      <c r="C10" s="1"/>
      <c r="D10" s="499"/>
      <c r="E10" s="20" t="s">
        <v>22</v>
      </c>
      <c r="F10" s="20" t="s">
        <v>103</v>
      </c>
      <c r="G10" s="20" t="s">
        <v>104</v>
      </c>
      <c r="H10" s="20" t="s">
        <v>105</v>
      </c>
      <c r="I10" s="20" t="s">
        <v>106</v>
      </c>
      <c r="J10" s="20" t="s">
        <v>107</v>
      </c>
      <c r="K10" s="20" t="s">
        <v>108</v>
      </c>
      <c r="L10" s="20" t="s">
        <v>109</v>
      </c>
      <c r="M10" s="20" t="s">
        <v>110</v>
      </c>
      <c r="N10" s="1"/>
      <c r="BF10" s="97">
        <v>0.6</v>
      </c>
      <c r="BG10" s="97">
        <v>7.4700000000000003E-2</v>
      </c>
      <c r="BI10" s="97">
        <v>0.6</v>
      </c>
      <c r="BJ10" s="97">
        <v>8.8099999999999998E-2</v>
      </c>
    </row>
    <row r="11" spans="1:124" x14ac:dyDescent="0.2">
      <c r="A11" s="1"/>
      <c r="B11" s="1"/>
      <c r="C11" s="1"/>
      <c r="D11" s="65">
        <f>INDEX($D$18:$D$29,MATCH($D$12,$D$18:$D$29,1))</f>
        <v>1.4</v>
      </c>
      <c r="E11" s="86">
        <f>CHOOSE($E$5,VLOOKUP($D$11,$D$18:$M$29,2),VLOOKUP($D$11,$D$31:$M$42,2),VLOOKUP($D$11,$D$44:$M$55,2),VLOOKUP($D$11,$D$57:$M$68,2),VLOOKUP($D$11,$D$70:$M$81,2),VLOOKUP($D$11,$D$83:$M$94,2),VLOOKUP($D$11,D96:M107,2),VLOOKUP($D$11,D109:M120,2),VLOOKUP($D$11,D122:M133,2))</f>
        <v>6.7400000000000002E-2</v>
      </c>
      <c r="F11" s="86">
        <f>CHOOSE($E$5,VLOOKUP($D$11,$D$18:$M$29,3),VLOOKUP($D$11,$D$31:$M$42,3),VLOOKUP($D$11,$D$44:$M$55,3),VLOOKUP($D$11,$D$57:$M$68,3),VLOOKUP($D$11,$D$70:$M$81,3),VLOOKUP($D$11,$D$83:$M$94,3),VLOOKUP($D$11,$D$96:$M$107,3),VLOOKUP($D$11,$D$109:$M$120,3),VLOOKUP($D$11,$D$122:$M$133,3))</f>
        <v>6.0859999999999997E-2</v>
      </c>
      <c r="G11" s="86">
        <f>CHOOSE($E$5,VLOOKUP($D$11,$D$18:$M$29,4),VLOOKUP($D$11,$D$31:$M$42,4),VLOOKUP($D$11,$D$44:$M$55,4),VLOOKUP($D$11,$D$57:$M$68,4),VLOOKUP($D$11,$D$70:$M$81,4),VLOOKUP($D$11,$D$83:$M$94,4),VLOOKUP($D$11,$D$96:$M$107,4),VLOOKUP($D$11,$D$109:$M$120,4),VLOOKUP($D$11,$D$122:$M$133,4))</f>
        <v>0</v>
      </c>
      <c r="H11" s="86">
        <f>CHOOSE($E$5,VLOOKUP($D$11,$D$18:$M$29,5),VLOOKUP($D$11,$D$31:$M$42,5),VLOOKUP($D$11,$D$44:$M$55,5),VLOOKUP($D$11,$D$57:$M$68,5),VLOOKUP($D$11,$D$70:$M$81,5),VLOOKUP($D$11,$D$83:$M$94,5),VLOOKUP($D$11,$D$96:$M$107,5),VLOOKUP($D$11,$D$109:$M$120,5),VLOOKUP($D$11,$D$122:$M$133,5))</f>
        <v>4.3339999999999997E-2</v>
      </c>
      <c r="I11" s="86">
        <f>CHOOSE($E$5,VLOOKUP($D$11,$D$18:$M$29,6),VLOOKUP($D$11,$D$31:$M$42,6),VLOOKUP($D$11,$D$44:$M$55,6),VLOOKUP($D$11,$D$57:$M$68,6),VLOOKUP($D$11,$D$70:$M$81,6),VLOOKUP($D$11,$D$83:$M$94,6),VLOOKUP($D$11,$D$96:$M$107,6),VLOOKUP($D$11,$D$109:$M$120,6),VLOOKUP($D$11,$D$122:$M$133,6))</f>
        <v>0.10780000000000001</v>
      </c>
      <c r="J11" s="86">
        <f>CHOOSE($E$5,VLOOKUP($D$11,$D$18:$M$29,7),VLOOKUP($D$11,$D$31:$M$42,7),VLOOKUP($D$11,$D$44:$M$55,7),VLOOKUP($D$11,$D$57:$M$68,7),VLOOKUP($D$11,$D$70:$M$81,7),VLOOKUP($D$11,$D$83:$M$94,7),VLOOKUP($D$11,$D$96:$M$107,7),VLOOKUP($D$11,$D$109:$M$120,7),VLOOKUP($D$11,$D$122:$M$133,7))</f>
        <v>0.25606689218135026</v>
      </c>
      <c r="K11" s="86">
        <f>CHOOSE($E$5,VLOOKUP($D$11,$D$18:$M$29,8),VLOOKUP($D$11,$D$31:$M$42,8),VLOOKUP($D$11,$D$44:$M$55,8),VLOOKUP($D$11,$D$57:$M$68,8),VLOOKUP($D$11,$D$70:$M$81,8),VLOOKUP($D$11,$D$83:$M$94,8),VLOOKUP($D$11,$D$96:$M$107,8),VLOOKUP($D$11,$D$109:$M$120,8),VLOOKUP($D$11,$D$122:$M$133,8))</f>
        <v>0</v>
      </c>
      <c r="L11" s="86">
        <f>CHOOSE($E$5,VLOOKUP($D$11,$D$18:$M$29,9),VLOOKUP($D$11,$D$31:$M$42,9),VLOOKUP($D$11,$D$44:$M$55,9),VLOOKUP($D$11,$D$57:$M$68,9),VLOOKUP($D$11,$D$70:$M$81,9),VLOOKUP($D$11,$D$83:$M$94,9),VLOOKUP($D$11,$D$96:$M$107,9),VLOOKUP($D$11,$D$109:$M$120,9),VLOOKUP($D$11,$D$122:$M$133,9))</f>
        <v>0.25</v>
      </c>
      <c r="M11" s="86">
        <f>CHOOSE($E$5,VLOOKUP($D$11,$D$18:$M$29,10),VLOOKUP($D$11,$D$31:$M$42,10),VLOOKUP($D$11,$D$44:$M$55,10),VLOOKUP($D$11,$D$57:$M$68,10),VLOOKUP($D$11,$D$70:$M$81,10),VLOOKUP($D$11,$D$83:$M$94,10),VLOOKUP($D$11,$D$96:$M$107,10),VLOOKUP($D$11,$D$109:$M$120,10),VLOOKUP($D$11,$D$122:$M$133,10))</f>
        <v>0.4330127018922193</v>
      </c>
      <c r="N11" s="1"/>
    </row>
    <row r="12" spans="1:124" x14ac:dyDescent="0.2">
      <c r="A12" s="1"/>
      <c r="B12" s="1"/>
      <c r="C12" s="11" t="s">
        <v>90</v>
      </c>
      <c r="D12" s="87">
        <f>E3/E4</f>
        <v>1.4285714285714286</v>
      </c>
      <c r="E12" s="86">
        <f>IF($D$12&gt;2,E13,E11+($D$12-$D$11)*(E13-E11)/($D$13-$D$11))</f>
        <v>6.9714285714285729E-2</v>
      </c>
      <c r="F12" s="86">
        <f>IF($D$12&gt;2,F13,F11+($D$12-$D$11)*(F13-F11)/($D$13-$D$11))</f>
        <v>6.2745714285714294E-2</v>
      </c>
      <c r="G12" s="86">
        <f>IF($D$12&gt;2,G13,G11+($D$12-$D$11)*(G13-G11)/($D$13-$D$11))</f>
        <v>0</v>
      </c>
      <c r="H12" s="86">
        <f t="shared" ref="H12:M12" si="0">IF($D$12&gt;2,H13,H11+($D$12-$D$11)*(H13-H11)/($D$13-$D$11))</f>
        <v>4.3257142857142855E-2</v>
      </c>
      <c r="I12" s="86">
        <f t="shared" si="0"/>
        <v>0.10880000000000001</v>
      </c>
      <c r="J12" s="86">
        <f t="shared" si="0"/>
        <v>0.26071323709218169</v>
      </c>
      <c r="K12" s="86">
        <f t="shared" si="0"/>
        <v>0</v>
      </c>
      <c r="L12" s="86">
        <f>IF($D$12&gt;2,L13,L11+($D$12-$D$11)*(L13-L11)/($D$13-$D$11))</f>
        <v>0.25</v>
      </c>
      <c r="M12" s="86">
        <f t="shared" si="0"/>
        <v>0.4330127018922193</v>
      </c>
      <c r="N12" s="1"/>
    </row>
    <row r="13" spans="1:124" x14ac:dyDescent="0.2">
      <c r="A13" s="1"/>
      <c r="B13" s="1"/>
      <c r="C13" s="1"/>
      <c r="D13" s="65">
        <f>IF($D$12&gt;2,D29,$D$11+0.1)</f>
        <v>1.5</v>
      </c>
      <c r="E13" s="86">
        <f>CHOOSE($E$5,VLOOKUP($D$13,$D$18:$M$29,2),VLOOKUP($D$13,$D$31:$M$42,2),VLOOKUP($D$13,$D$44:$M$55,2),VLOOKUP($D$13,$D$57:$M$68,2),VLOOKUP($D$13,$D$70:$M$81,2),VLOOKUP($D$13,$D$83:$M$94,2),VLOOKUP($D$13,$D$96:$M$107,2),VLOOKUP($D$13,$D$109:$M$120,2),VLOOKUP($D$13,$D$122:$M$133,2))</f>
        <v>7.5499999999999998E-2</v>
      </c>
      <c r="F13" s="86">
        <f>CHOOSE($E$5,VLOOKUP($D$13,$D$18:$M$29,3),VLOOKUP($D$13,$D$31:$M$42,3),VLOOKUP($D$13,$D$44:$M$55,3),VLOOKUP($D$13,$D$57:$M$68,3),VLOOKUP($D$13,$D$70:$M$81,3),VLOOKUP($D$13,$D$83:$M$94,3),VLOOKUP($D$13,$D$95:$M$107,3),VLOOKUP($D$13,$D$109:$M$120,3),VLOOKUP($D$13,$D$122:$M$133,3))</f>
        <v>6.7460000000000006E-2</v>
      </c>
      <c r="G13" s="86">
        <f>CHOOSE($E$5,VLOOKUP($D$13,$D$18:$M$29,4),VLOOKUP($D$13,$D$31:$M$42,4),VLOOKUP($D$13,$D$44:$M$55,4),VLOOKUP($D$13,$D$57:$M$68,4),VLOOKUP($D$13,$D$70:$M$81,4),VLOOKUP($D$13,$D$83:$M$94,4),VLOOKUP($D$13,$D$95:$M$107,4),VLOOKUP($D$13,$D$109:$M$120,4),VLOOKUP($D$13,$D$122:$M$133,4))</f>
        <v>0</v>
      </c>
      <c r="H13" s="86">
        <f>CHOOSE($E$5,VLOOKUP($D$13,$D$18:$M$29,5),VLOOKUP($D$13,$D$31:$M$42,5),VLOOKUP($D$13,$D$44:$M$55,5),VLOOKUP($D$13,$D$57:$M$68,5),VLOOKUP($D$13,$D$70:$M$81,5),VLOOKUP($D$13,$D$83:$M$94,5),VLOOKUP($D$13,$D$95:$M$107,5),VLOOKUP($D$13,$D$109:$M$120,5),VLOOKUP($D$13,$D$122:$M$133,5))</f>
        <v>4.3049999999999998E-2</v>
      </c>
      <c r="I13" s="86">
        <f>CHOOSE($E$5,VLOOKUP($D$13,$D$18:$M$29,6),VLOOKUP($D$13,$D$31:$M$42,6),VLOOKUP($D$13,$D$44:$M$55,6),VLOOKUP($D$13,$D$57:$M$68,6),VLOOKUP($D$13,$D$70:$M$81,6),VLOOKUP($D$13,$D$83:$M$94,6),VLOOKUP($D$13,$D$95:$M$107,6),VLOOKUP($D$13,$D$109:$M$120,6),VLOOKUP($D$13,$D$122:$M$133,6))</f>
        <v>0.1113</v>
      </c>
      <c r="J13" s="86">
        <f>CHOOSE($E$5,VLOOKUP($D$13,$D$18:$M$29,7),VLOOKUP($D$13,$D$31:$M$42,7),VLOOKUP($D$13,$D$44:$M$55,7),VLOOKUP($D$13,$D$57:$M$68,7),VLOOKUP($D$13,$D$70:$M$81,7),VLOOKUP($D$13,$D$83:$M$94,7),VLOOKUP($D$13,$D$95:$M$107,7),VLOOKUP($D$13,$D$109:$M$120,7),VLOOKUP($D$13,$D$122:$M$133,7))</f>
        <v>0.2723290993692602</v>
      </c>
      <c r="K13" s="86">
        <f>CHOOSE($E$5,VLOOKUP($D$13,$D$18:$M$29,8),VLOOKUP($D$13,$D$31:$M$42,8),VLOOKUP($D$13,$D$44:$M$55,8),VLOOKUP($D$13,$D$57:$M$68,8),VLOOKUP($D$13,$D$70:$M$81,8),VLOOKUP($D$13,$D$83:$M$94,8),VLOOKUP($D$13,$D$95:$M$107,8),VLOOKUP($D$13,$D$109:$M$120,8),VLOOKUP($D$13,$D$122:$M$133,8))</f>
        <v>0</v>
      </c>
      <c r="L13" s="86">
        <f>CHOOSE($E$5,VLOOKUP($D$13,$D$18:$M$29,9),VLOOKUP($D$13,$D$31:$M$42,9),VLOOKUP($D$13,$D$44:$M$55,9),VLOOKUP($D$13,$D$57:$M$68,9),VLOOKUP($D$13,$D$70:$M$81,9),VLOOKUP($D$13,$D$83:$M$94,9),VLOOKUP($D$13,$D$95:$M$107,9),VLOOKUP($D$13,$D$109:$M$120,9),VLOOKUP($D$13,$D$122:$M$133,9))</f>
        <v>0.25</v>
      </c>
      <c r="M13" s="86">
        <f>CHOOSE($E$5,VLOOKUP($D$13,$D$18:$M$29,10),VLOOKUP($D$13,$D$31:$M$42,10),VLOOKUP($D$13,$D$44:$M$55,10),VLOOKUP($D$13,$D$57:$M$68,10),VLOOKUP($D$13,$D$70:$M$81,10),VLOOKUP($D$13,$D$83:$M$94,10),VLOOKUP($D$13,$D$95:$M$107,10),VLOOKUP($D$13,$D$109:$M$120,10),VLOOKUP($D$13,$D$122:$M$133,10))</f>
        <v>0.4330127018922193</v>
      </c>
      <c r="N13" s="1"/>
      <c r="CV13" s="81" t="s">
        <v>143</v>
      </c>
      <c r="CW13" s="94">
        <v>0.15</v>
      </c>
    </row>
    <row r="14" spans="1:124" ht="14.25" x14ac:dyDescent="0.2">
      <c r="A14" s="1"/>
      <c r="B14" s="1"/>
      <c r="C14" s="1"/>
      <c r="D14" s="21" t="s">
        <v>85</v>
      </c>
      <c r="E14" s="23" t="s">
        <v>99</v>
      </c>
      <c r="F14" s="485" t="s">
        <v>101</v>
      </c>
      <c r="G14" s="485" t="s">
        <v>101</v>
      </c>
      <c r="H14" s="485" t="s">
        <v>101</v>
      </c>
      <c r="I14" s="485" t="s">
        <v>101</v>
      </c>
      <c r="J14" s="481" t="s">
        <v>102</v>
      </c>
      <c r="K14" s="481" t="s">
        <v>102</v>
      </c>
      <c r="L14" s="481" t="s">
        <v>102</v>
      </c>
      <c r="M14" s="481" t="s">
        <v>102</v>
      </c>
      <c r="N14" s="1"/>
      <c r="CI14" s="81" t="s">
        <v>142</v>
      </c>
      <c r="CJ14" s="94">
        <v>0.2</v>
      </c>
      <c r="CV14" s="81" t="s">
        <v>144</v>
      </c>
      <c r="CW14" s="95">
        <v>0</v>
      </c>
    </row>
    <row r="15" spans="1:124" ht="15.75" x14ac:dyDescent="0.3">
      <c r="A15" s="1"/>
      <c r="B15" s="1"/>
      <c r="C15" s="1"/>
      <c r="D15" s="22" t="s">
        <v>86</v>
      </c>
      <c r="E15" s="24" t="s">
        <v>100</v>
      </c>
      <c r="F15" s="486"/>
      <c r="G15" s="486"/>
      <c r="H15" s="486"/>
      <c r="I15" s="486"/>
      <c r="J15" s="482"/>
      <c r="K15" s="482"/>
      <c r="L15" s="482"/>
      <c r="M15" s="482"/>
      <c r="N15" s="1"/>
      <c r="P15" s="487" t="s">
        <v>145</v>
      </c>
      <c r="Q15" s="488"/>
      <c r="R15" s="488"/>
      <c r="S15" s="488"/>
      <c r="T15" s="488"/>
      <c r="U15" s="488"/>
      <c r="V15" s="488"/>
      <c r="W15" s="488"/>
      <c r="X15" s="488"/>
      <c r="Y15" s="488"/>
      <c r="Z15" s="488"/>
      <c r="AA15" s="489"/>
      <c r="AC15" s="487" t="s">
        <v>146</v>
      </c>
      <c r="AD15" s="488"/>
      <c r="AE15" s="488"/>
      <c r="AF15" s="488"/>
      <c r="AG15" s="488"/>
      <c r="AH15" s="488"/>
      <c r="AI15" s="488"/>
      <c r="AJ15" s="488"/>
      <c r="AK15" s="488"/>
      <c r="AL15" s="488"/>
      <c r="AM15" s="488"/>
      <c r="AN15" s="489"/>
      <c r="AP15" s="487" t="s">
        <v>149</v>
      </c>
      <c r="AQ15" s="488"/>
      <c r="AR15" s="488"/>
      <c r="AS15" s="488"/>
      <c r="AT15" s="488"/>
      <c r="AU15" s="488"/>
      <c r="AV15" s="488"/>
      <c r="AW15" s="488"/>
      <c r="AX15" s="488"/>
      <c r="AY15" s="488"/>
      <c r="AZ15" s="488"/>
      <c r="BA15" s="489"/>
      <c r="BC15" s="487" t="s">
        <v>147</v>
      </c>
      <c r="BD15" s="488"/>
      <c r="BE15" s="488"/>
      <c r="BF15" s="488"/>
      <c r="BG15" s="488"/>
      <c r="BH15" s="488"/>
      <c r="BI15" s="488"/>
      <c r="BJ15" s="488"/>
      <c r="BK15" s="488"/>
      <c r="BL15" s="488"/>
      <c r="BM15" s="488"/>
      <c r="BN15" s="489"/>
      <c r="BP15" s="487" t="s">
        <v>148</v>
      </c>
      <c r="BQ15" s="488"/>
      <c r="BR15" s="488"/>
      <c r="BS15" s="488"/>
      <c r="BT15" s="488"/>
      <c r="BU15" s="488"/>
      <c r="BV15" s="488"/>
      <c r="BW15" s="488"/>
      <c r="BX15" s="488"/>
      <c r="BY15" s="488"/>
      <c r="BZ15" s="488"/>
      <c r="CA15" s="489"/>
      <c r="CI15" s="487" t="str">
        <f>"Referência: Flechas e Momentos (poisson = "&amp;CJ14&amp;") - MARCUS - adaptado por MUSSO; Reações - NBR 6118 (item 14.7.6.1) - MUSSO"</f>
        <v>Referência: Flechas e Momentos (poisson = 0.2) - MARCUS - adaptado por MUSSO; Reações - NBR 6118 (item 14.7.6.1) - MUSSO</v>
      </c>
      <c r="CJ15" s="488"/>
      <c r="CK15" s="488"/>
      <c r="CL15" s="488"/>
      <c r="CM15" s="488"/>
      <c r="CN15" s="488"/>
      <c r="CO15" s="488"/>
      <c r="CP15" s="488"/>
      <c r="CQ15" s="488"/>
      <c r="CR15" s="488"/>
      <c r="CS15" s="488"/>
      <c r="CT15" s="489"/>
      <c r="CV15" s="487" t="str">
        <f>"Referência: Flechas e Momentos (poisson = "&amp;CW14&amp;") - BARES - adaptado por MUSSO; Reações - NBR 6118 (item 14.7.6.1) - MUSSO"</f>
        <v>Referência: Flechas e Momentos (poisson = 0) - BARES - adaptado por MUSSO; Reações - NBR 6118 (item 14.7.6.1) - MUSSO</v>
      </c>
      <c r="CW15" s="488"/>
      <c r="CX15" s="488"/>
      <c r="CY15" s="488"/>
      <c r="CZ15" s="488"/>
      <c r="DA15" s="488"/>
      <c r="DB15" s="488"/>
      <c r="DC15" s="488"/>
      <c r="DD15" s="488"/>
      <c r="DE15" s="488"/>
      <c r="DF15" s="488"/>
      <c r="DG15" s="489"/>
      <c r="DI15" s="487" t="s">
        <v>150</v>
      </c>
      <c r="DJ15" s="488"/>
      <c r="DK15" s="488"/>
      <c r="DL15" s="488"/>
      <c r="DM15" s="488"/>
      <c r="DN15" s="488"/>
      <c r="DO15" s="488"/>
      <c r="DP15" s="488"/>
      <c r="DQ15" s="488"/>
      <c r="DR15" s="488"/>
      <c r="DS15" s="488"/>
      <c r="DT15" s="489"/>
    </row>
    <row r="16" spans="1:124" ht="15.75" x14ac:dyDescent="0.3">
      <c r="A16" s="1"/>
      <c r="B16" s="1"/>
      <c r="C16" s="1"/>
      <c r="D16" s="14"/>
      <c r="E16" s="1"/>
      <c r="F16" s="1"/>
      <c r="G16" s="1"/>
      <c r="H16" s="1"/>
      <c r="I16" s="1"/>
      <c r="J16" s="1"/>
      <c r="K16" s="1"/>
      <c r="L16" s="1"/>
      <c r="M16" s="1"/>
      <c r="N16" s="1"/>
      <c r="P16" s="490" t="s">
        <v>130</v>
      </c>
      <c r="Q16" s="490"/>
      <c r="R16" s="490"/>
      <c r="S16" s="18" t="s">
        <v>129</v>
      </c>
      <c r="T16" s="491" t="s">
        <v>101</v>
      </c>
      <c r="U16" s="491"/>
      <c r="V16" s="491"/>
      <c r="W16" s="491"/>
      <c r="X16" s="491" t="s">
        <v>102</v>
      </c>
      <c r="Y16" s="491"/>
      <c r="Z16" s="491"/>
      <c r="AA16" s="491"/>
      <c r="AC16" s="493" t="s">
        <v>130</v>
      </c>
      <c r="AD16" s="494"/>
      <c r="AE16" s="495"/>
      <c r="AF16" s="73" t="s">
        <v>129</v>
      </c>
      <c r="AG16" s="485" t="s">
        <v>101</v>
      </c>
      <c r="AH16" s="481"/>
      <c r="AI16" s="481"/>
      <c r="AJ16" s="492"/>
      <c r="AK16" s="485" t="s">
        <v>102</v>
      </c>
      <c r="AL16" s="481"/>
      <c r="AM16" s="481"/>
      <c r="AN16" s="492"/>
      <c r="AP16" s="490" t="s">
        <v>130</v>
      </c>
      <c r="AQ16" s="490"/>
      <c r="AR16" s="490"/>
      <c r="AS16" s="18" t="s">
        <v>129</v>
      </c>
      <c r="AT16" s="491" t="s">
        <v>101</v>
      </c>
      <c r="AU16" s="491"/>
      <c r="AV16" s="491"/>
      <c r="AW16" s="491"/>
      <c r="AX16" s="491" t="s">
        <v>102</v>
      </c>
      <c r="AY16" s="491"/>
      <c r="AZ16" s="491"/>
      <c r="BA16" s="491"/>
      <c r="BC16" s="490" t="s">
        <v>130</v>
      </c>
      <c r="BD16" s="490"/>
      <c r="BE16" s="490"/>
      <c r="BF16" s="18" t="s">
        <v>129</v>
      </c>
      <c r="BG16" s="491" t="s">
        <v>101</v>
      </c>
      <c r="BH16" s="491"/>
      <c r="BI16" s="491"/>
      <c r="BJ16" s="491"/>
      <c r="BK16" s="491" t="s">
        <v>102</v>
      </c>
      <c r="BL16" s="491"/>
      <c r="BM16" s="491"/>
      <c r="BN16" s="491"/>
      <c r="BP16" s="490" t="s">
        <v>130</v>
      </c>
      <c r="BQ16" s="490"/>
      <c r="BR16" s="490"/>
      <c r="BS16" s="18" t="s">
        <v>129</v>
      </c>
      <c r="BT16" s="491" t="s">
        <v>101</v>
      </c>
      <c r="BU16" s="491"/>
      <c r="BV16" s="491"/>
      <c r="BW16" s="491"/>
      <c r="BX16" s="491" t="s">
        <v>102</v>
      </c>
      <c r="BY16" s="491"/>
      <c r="BZ16" s="491"/>
      <c r="CA16" s="491"/>
      <c r="CI16" s="490" t="s">
        <v>130</v>
      </c>
      <c r="CJ16" s="490"/>
      <c r="CK16" s="490"/>
      <c r="CL16" s="18" t="s">
        <v>129</v>
      </c>
      <c r="CM16" s="491" t="s">
        <v>101</v>
      </c>
      <c r="CN16" s="491"/>
      <c r="CO16" s="491"/>
      <c r="CP16" s="491"/>
      <c r="CQ16" s="491" t="s">
        <v>102</v>
      </c>
      <c r="CR16" s="491"/>
      <c r="CS16" s="491"/>
      <c r="CT16" s="491"/>
      <c r="CV16" s="490" t="s">
        <v>130</v>
      </c>
      <c r="CW16" s="490"/>
      <c r="CX16" s="490"/>
      <c r="CY16" s="18" t="s">
        <v>129</v>
      </c>
      <c r="CZ16" s="491" t="s">
        <v>101</v>
      </c>
      <c r="DA16" s="491"/>
      <c r="DB16" s="491"/>
      <c r="DC16" s="491"/>
      <c r="DD16" s="491" t="s">
        <v>102</v>
      </c>
      <c r="DE16" s="491"/>
      <c r="DF16" s="491"/>
      <c r="DG16" s="491"/>
      <c r="DI16" s="490" t="s">
        <v>130</v>
      </c>
      <c r="DJ16" s="490"/>
      <c r="DK16" s="490"/>
      <c r="DL16" s="18" t="s">
        <v>129</v>
      </c>
      <c r="DM16" s="491" t="s">
        <v>101</v>
      </c>
      <c r="DN16" s="491"/>
      <c r="DO16" s="491"/>
      <c r="DP16" s="491"/>
      <c r="DQ16" s="491" t="s">
        <v>102</v>
      </c>
      <c r="DR16" s="491"/>
      <c r="DS16" s="491"/>
      <c r="DT16" s="491"/>
    </row>
    <row r="17" spans="1:124" ht="12" customHeight="1" x14ac:dyDescent="0.3">
      <c r="A17" s="1"/>
      <c r="B17" s="25"/>
      <c r="C17" s="47"/>
      <c r="D17" s="20" t="s">
        <v>93</v>
      </c>
      <c r="E17" s="85" t="str">
        <f>IF($E$7=1,S17,IF($E$7=2,AF17,IF($E$7=3,AS17,IF($E$7=4,BF17,IF($E$7=5,BS17)))))</f>
        <v>fmáx</v>
      </c>
      <c r="F17" s="85" t="str">
        <f t="shared" ref="F17:M17" si="1">IF($E$7=1,T17,IF($E$7=2,AG17,IF($E$7=3,AT17,IF($E$7=4,BG17,IF($E$7=5,BT17)))))</f>
        <v>mamáx</v>
      </c>
      <c r="G17" s="85" t="str">
        <f t="shared" si="1"/>
        <v>maemín</v>
      </c>
      <c r="H17" s="85" t="str">
        <f t="shared" si="1"/>
        <v>mbmáx</v>
      </c>
      <c r="I17" s="85" t="str">
        <f t="shared" si="1"/>
        <v>mbemín</v>
      </c>
      <c r="J17" s="85" t="str">
        <f t="shared" si="1"/>
        <v>ra</v>
      </c>
      <c r="K17" s="85" t="str">
        <f t="shared" si="1"/>
        <v>rae</v>
      </c>
      <c r="L17" s="85" t="str">
        <f t="shared" si="1"/>
        <v>rb</v>
      </c>
      <c r="M17" s="85" t="str">
        <f t="shared" si="1"/>
        <v>rbe</v>
      </c>
      <c r="N17" s="1"/>
      <c r="P17" s="483" t="s">
        <v>35</v>
      </c>
      <c r="Q17" s="484"/>
      <c r="R17" s="74" t="s">
        <v>93</v>
      </c>
      <c r="S17" s="20" t="s">
        <v>131</v>
      </c>
      <c r="T17" s="75" t="s">
        <v>132</v>
      </c>
      <c r="U17" s="75" t="s">
        <v>120</v>
      </c>
      <c r="V17" s="75" t="s">
        <v>117</v>
      </c>
      <c r="W17" s="76" t="s">
        <v>121</v>
      </c>
      <c r="X17" s="75" t="s">
        <v>111</v>
      </c>
      <c r="Y17" s="75" t="s">
        <v>112</v>
      </c>
      <c r="Z17" s="75" t="s">
        <v>113</v>
      </c>
      <c r="AA17" s="76" t="s">
        <v>114</v>
      </c>
      <c r="AC17" s="483" t="s">
        <v>35</v>
      </c>
      <c r="AD17" s="484"/>
      <c r="AE17" s="74" t="s">
        <v>93</v>
      </c>
      <c r="AF17" s="20" t="s">
        <v>115</v>
      </c>
      <c r="AG17" s="75" t="s">
        <v>116</v>
      </c>
      <c r="AH17" s="75" t="s">
        <v>120</v>
      </c>
      <c r="AI17" s="75" t="s">
        <v>117</v>
      </c>
      <c r="AJ17" s="76" t="s">
        <v>121</v>
      </c>
      <c r="AK17" s="75" t="s">
        <v>111</v>
      </c>
      <c r="AL17" s="75" t="s">
        <v>112</v>
      </c>
      <c r="AM17" s="75" t="s">
        <v>113</v>
      </c>
      <c r="AN17" s="76" t="s">
        <v>114</v>
      </c>
      <c r="AP17" s="483" t="s">
        <v>35</v>
      </c>
      <c r="AQ17" s="484"/>
      <c r="AR17" s="74" t="s">
        <v>93</v>
      </c>
      <c r="AS17" s="20" t="s">
        <v>115</v>
      </c>
      <c r="AT17" s="75" t="s">
        <v>116</v>
      </c>
      <c r="AU17" s="75" t="s">
        <v>120</v>
      </c>
      <c r="AV17" s="75" t="s">
        <v>117</v>
      </c>
      <c r="AW17" s="76" t="s">
        <v>121</v>
      </c>
      <c r="AX17" s="75" t="s">
        <v>111</v>
      </c>
      <c r="AY17" s="75" t="s">
        <v>112</v>
      </c>
      <c r="AZ17" s="75" t="s">
        <v>113</v>
      </c>
      <c r="BA17" s="76" t="s">
        <v>114</v>
      </c>
      <c r="BC17" s="483" t="s">
        <v>35</v>
      </c>
      <c r="BD17" s="484"/>
      <c r="BE17" s="77" t="s">
        <v>93</v>
      </c>
      <c r="BF17" s="20" t="s">
        <v>115</v>
      </c>
      <c r="BG17" s="75" t="s">
        <v>116</v>
      </c>
      <c r="BH17" s="75" t="s">
        <v>119</v>
      </c>
      <c r="BI17" s="75" t="s">
        <v>141</v>
      </c>
      <c r="BJ17" s="76" t="s">
        <v>118</v>
      </c>
      <c r="BK17" s="75" t="s">
        <v>111</v>
      </c>
      <c r="BL17" s="75" t="s">
        <v>112</v>
      </c>
      <c r="BM17" s="75" t="s">
        <v>113</v>
      </c>
      <c r="BN17" s="76" t="s">
        <v>114</v>
      </c>
      <c r="BP17" s="483" t="s">
        <v>35</v>
      </c>
      <c r="BQ17" s="484"/>
      <c r="BR17" s="74" t="s">
        <v>93</v>
      </c>
      <c r="BS17" s="20" t="s">
        <v>115</v>
      </c>
      <c r="BT17" s="75" t="s">
        <v>116</v>
      </c>
      <c r="BU17" s="75" t="s">
        <v>119</v>
      </c>
      <c r="BV17" s="75" t="s">
        <v>141</v>
      </c>
      <c r="BW17" s="76" t="s">
        <v>118</v>
      </c>
      <c r="BX17" s="75" t="s">
        <v>111</v>
      </c>
      <c r="BY17" s="75" t="s">
        <v>112</v>
      </c>
      <c r="BZ17" s="75" t="s">
        <v>113</v>
      </c>
      <c r="CA17" s="76" t="s">
        <v>114</v>
      </c>
      <c r="CB17" s="74" t="s">
        <v>122</v>
      </c>
      <c r="CC17" s="74" t="s">
        <v>123</v>
      </c>
      <c r="CD17" s="81" t="s">
        <v>124</v>
      </c>
      <c r="CE17" s="81" t="s">
        <v>125</v>
      </c>
      <c r="CF17" s="74" t="s">
        <v>126</v>
      </c>
      <c r="CG17" s="74" t="s">
        <v>127</v>
      </c>
      <c r="CI17" s="483" t="s">
        <v>35</v>
      </c>
      <c r="CJ17" s="484"/>
      <c r="CK17" s="74" t="s">
        <v>93</v>
      </c>
      <c r="CL17" s="20" t="s">
        <v>115</v>
      </c>
      <c r="CM17" s="75" t="s">
        <v>116</v>
      </c>
      <c r="CN17" s="75" t="s">
        <v>119</v>
      </c>
      <c r="CO17" s="75" t="s">
        <v>141</v>
      </c>
      <c r="CP17" s="76" t="s">
        <v>118</v>
      </c>
      <c r="CQ17" s="75" t="s">
        <v>111</v>
      </c>
      <c r="CR17" s="75" t="s">
        <v>112</v>
      </c>
      <c r="CS17" s="75" t="s">
        <v>113</v>
      </c>
      <c r="CT17" s="76" t="s">
        <v>114</v>
      </c>
      <c r="CV17" s="483" t="s">
        <v>35</v>
      </c>
      <c r="CW17" s="484"/>
      <c r="CX17" s="77" t="s">
        <v>93</v>
      </c>
      <c r="CY17" s="20" t="s">
        <v>115</v>
      </c>
      <c r="CZ17" s="75" t="s">
        <v>116</v>
      </c>
      <c r="DA17" s="75" t="s">
        <v>119</v>
      </c>
      <c r="DB17" s="75" t="s">
        <v>141</v>
      </c>
      <c r="DC17" s="76" t="s">
        <v>118</v>
      </c>
      <c r="DD17" s="75" t="s">
        <v>111</v>
      </c>
      <c r="DE17" s="75" t="s">
        <v>112</v>
      </c>
      <c r="DF17" s="75" t="s">
        <v>113</v>
      </c>
      <c r="DG17" s="76" t="s">
        <v>114</v>
      </c>
      <c r="DI17" s="483" t="s">
        <v>35</v>
      </c>
      <c r="DJ17" s="484"/>
      <c r="DK17" s="77" t="s">
        <v>93</v>
      </c>
      <c r="DL17" s="20" t="s">
        <v>115</v>
      </c>
      <c r="DM17" s="75" t="s">
        <v>116</v>
      </c>
      <c r="DN17" s="75" t="s">
        <v>120</v>
      </c>
      <c r="DO17" s="75" t="s">
        <v>141</v>
      </c>
      <c r="DP17" s="76" t="s">
        <v>121</v>
      </c>
      <c r="DQ17" s="75" t="s">
        <v>111</v>
      </c>
      <c r="DR17" s="75" t="s">
        <v>112</v>
      </c>
      <c r="DS17" s="75" t="s">
        <v>113</v>
      </c>
      <c r="DT17" s="76" t="s">
        <v>114</v>
      </c>
    </row>
    <row r="18" spans="1:124" ht="12" customHeight="1" x14ac:dyDescent="0.2">
      <c r="A18" s="1"/>
      <c r="B18" s="25"/>
      <c r="C18" s="67"/>
      <c r="D18" s="68">
        <v>1</v>
      </c>
      <c r="E18" s="85">
        <f t="shared" ref="E18:E81" si="2">IF($E$7=1,S18,IF($E$7=2,AF18,IF($E$7=3,AS18,IF($E$7=4,BF18,IF($E$7=5,BS18)))))</f>
        <v>4.6800000000000001E-2</v>
      </c>
      <c r="F18" s="85">
        <f t="shared" ref="F18:F81" si="3">IF($E$7=1,T18,IF($E$7=2,AG18,IF($E$7=3,AT18,IF($E$7=4,BG18,IF($E$7=5,BT18)))))</f>
        <v>4.4269999999999997E-2</v>
      </c>
      <c r="G18" s="85">
        <f t="shared" ref="G18:G81" si="4">IF($E$7=1,U18,IF($E$7=2,AH18,IF($E$7=3,AU18,IF($E$7=4,BH18,IF($E$7=5,BU18)))))</f>
        <v>0</v>
      </c>
      <c r="H18" s="85">
        <f t="shared" ref="H18:H81" si="5">IF($E$7=1,V18,IF($E$7=2,AI18,IF($E$7=3,AV18,IF($E$7=4,BI18,IF($E$7=5,BV18)))))</f>
        <v>4.4269999999999997E-2</v>
      </c>
      <c r="I18" s="85">
        <f t="shared" ref="I18:I81" si="6">IF($E$7=1,W18,IF($E$7=2,AJ18,IF($E$7=3,AW18,IF($E$7=4,BJ18,IF($E$7=5,BW18)))))</f>
        <v>0</v>
      </c>
      <c r="J18" s="85">
        <f t="shared" ref="J18:J81" si="7">IF($E$7=1,X18,IF($E$7=2,AK18,IF($E$7=3,AX18,IF($E$7=4,BK18,IF($E$7=5,BX18)))))</f>
        <v>0.25</v>
      </c>
      <c r="K18" s="85">
        <f t="shared" ref="K18:K81" si="8">IF($E$7=1,Y18,IF($E$7=2,AL18,IF($E$7=3,AY18,IF($E$7=4,BL18,IF($E$7=5,BY18)))))</f>
        <v>0</v>
      </c>
      <c r="L18" s="85">
        <f t="shared" ref="L18:L81" si="9">IF($E$7=1,Z18,IF($E$7=2,AM18,IF($E$7=3,AZ18,IF($E$7=4,BM18,IF($E$7=5,BZ18)))))</f>
        <v>0.25</v>
      </c>
      <c r="M18" s="85">
        <f t="shared" ref="M18:M81" si="10">IF($E$7=1,AA18,IF($E$7=2,AN18,IF($E$7=3,BA18,IF($E$7=4,BN18,IF($E$7=5,CA18)))))</f>
        <v>0</v>
      </c>
      <c r="N18" s="1"/>
      <c r="P18" s="15"/>
      <c r="Q18" s="28"/>
      <c r="R18" s="35">
        <v>1</v>
      </c>
      <c r="S18" s="37">
        <v>4.6800000000000001E-2</v>
      </c>
      <c r="T18" s="32">
        <v>4.4269999999999997E-2</v>
      </c>
      <c r="U18" s="30">
        <v>0</v>
      </c>
      <c r="V18" s="32">
        <v>4.4269999999999997E-2</v>
      </c>
      <c r="W18" s="33">
        <v>0</v>
      </c>
      <c r="X18" s="32">
        <v>0.25</v>
      </c>
      <c r="Y18" s="30">
        <v>0</v>
      </c>
      <c r="Z18" s="32">
        <v>0.25</v>
      </c>
      <c r="AA18" s="33">
        <v>0</v>
      </c>
      <c r="AC18" s="15"/>
      <c r="AD18" s="28"/>
      <c r="AE18" s="35">
        <v>1</v>
      </c>
      <c r="AF18" s="37">
        <v>4.87E-2</v>
      </c>
      <c r="AG18" s="32">
        <f>1/27.2</f>
        <v>3.6764705882352942E-2</v>
      </c>
      <c r="AH18" s="30">
        <v>0</v>
      </c>
      <c r="AI18" s="32">
        <f>1/27.2</f>
        <v>3.6764705882352942E-2</v>
      </c>
      <c r="AJ18" s="33">
        <v>0</v>
      </c>
      <c r="AK18" s="32">
        <v>0.25</v>
      </c>
      <c r="AL18" s="30">
        <v>0</v>
      </c>
      <c r="AM18" s="32">
        <v>0.25</v>
      </c>
      <c r="AN18" s="33">
        <v>0</v>
      </c>
      <c r="AO18" s="27"/>
      <c r="AP18" s="15"/>
      <c r="AQ18" s="28"/>
      <c r="AR18" s="35">
        <v>1</v>
      </c>
      <c r="AS18" s="45">
        <f>AF18*(1-0.2^2)</f>
        <v>4.6752000000000002E-2</v>
      </c>
      <c r="AT18" s="32">
        <f>1/22.7</f>
        <v>4.405286343612335E-2</v>
      </c>
      <c r="AU18" s="30">
        <v>0</v>
      </c>
      <c r="AV18" s="32">
        <f>1/22.7</f>
        <v>4.405286343612335E-2</v>
      </c>
      <c r="AW18" s="33">
        <v>0</v>
      </c>
      <c r="AX18" s="32">
        <v>0.25</v>
      </c>
      <c r="AY18" s="30">
        <v>0</v>
      </c>
      <c r="AZ18" s="32">
        <v>0.25</v>
      </c>
      <c r="BA18" s="33">
        <v>0</v>
      </c>
      <c r="BC18" s="25"/>
      <c r="BD18" s="47"/>
      <c r="BE18" s="48">
        <v>1</v>
      </c>
      <c r="BF18" s="49">
        <v>4.7600000000000003E-2</v>
      </c>
      <c r="BG18" s="50">
        <v>4.2299999999999997E-2</v>
      </c>
      <c r="BH18" s="51">
        <v>0</v>
      </c>
      <c r="BI18" s="50">
        <v>4.2299999999999997E-2</v>
      </c>
      <c r="BJ18" s="52">
        <v>0</v>
      </c>
      <c r="BK18" s="32">
        <v>0.25</v>
      </c>
      <c r="BL18" s="30">
        <v>0</v>
      </c>
      <c r="BM18" s="32">
        <v>0.25</v>
      </c>
      <c r="BN18" s="33">
        <v>0</v>
      </c>
      <c r="BP18" s="15"/>
      <c r="BQ18" s="28"/>
      <c r="BR18" s="35">
        <v>1</v>
      </c>
      <c r="BS18" s="45">
        <f>5*CF18*CB18/32</f>
        <v>4.5572916666666657E-2</v>
      </c>
      <c r="BT18" s="78">
        <f t="shared" ref="BT18:BT28" si="11">CF18*CB18/CD18</f>
        <v>3.6458333333333329E-2</v>
      </c>
      <c r="BU18" s="79">
        <v>0</v>
      </c>
      <c r="BV18" s="78">
        <f t="shared" ref="BV18:BV28" si="12">CG18*CC18*BR18^2/CE18</f>
        <v>3.6458333333333329E-2</v>
      </c>
      <c r="BW18" s="80">
        <v>0</v>
      </c>
      <c r="BX18" s="32">
        <v>0.25</v>
      </c>
      <c r="BY18" s="30">
        <v>0</v>
      </c>
      <c r="BZ18" s="32">
        <v>0.25</v>
      </c>
      <c r="CA18" s="33">
        <v>0</v>
      </c>
      <c r="CB18" s="37">
        <f t="shared" ref="CB18:CB28" si="13">BR18^4/(1+BR18^4)</f>
        <v>0.5</v>
      </c>
      <c r="CC18" s="37">
        <f>1-CB18</f>
        <v>0.5</v>
      </c>
      <c r="CD18" s="35">
        <v>8</v>
      </c>
      <c r="CE18" s="35">
        <v>8</v>
      </c>
      <c r="CF18" s="37">
        <f>1-(20*CB18)/(3*CD18*BR18^2)</f>
        <v>0.58333333333333326</v>
      </c>
      <c r="CG18" s="37">
        <f t="shared" ref="CG18:CG28" si="14">1-(20*CC18*BR18^2)/(3*CE18)</f>
        <v>0.58333333333333326</v>
      </c>
      <c r="CI18" s="15"/>
      <c r="CJ18" s="28"/>
      <c r="CK18" s="35">
        <v>1</v>
      </c>
      <c r="CL18" s="45">
        <f t="shared" ref="CL18:CL28" si="15">(1-$CJ$14^2)*BS18</f>
        <v>4.374999999999999E-2</v>
      </c>
      <c r="CM18" s="78">
        <f>BT18+$CJ$14*BV18</f>
        <v>4.3749999999999997E-2</v>
      </c>
      <c r="CN18" s="79">
        <v>0</v>
      </c>
      <c r="CO18" s="78">
        <f>$CJ$14*BT18+BV18</f>
        <v>4.3749999999999997E-2</v>
      </c>
      <c r="CP18" s="80">
        <v>0</v>
      </c>
      <c r="CQ18" s="32">
        <v>0.25</v>
      </c>
      <c r="CR18" s="30">
        <v>0</v>
      </c>
      <c r="CS18" s="32">
        <v>0.25</v>
      </c>
      <c r="CT18" s="33">
        <v>0</v>
      </c>
      <c r="CV18" s="25"/>
      <c r="CW18" s="47"/>
      <c r="CX18" s="48">
        <v>1</v>
      </c>
      <c r="CY18" s="45">
        <f>(1-$CW$14^2)/(1-$CW$13^2)*BF18</f>
        <v>4.869565217391305E-2</v>
      </c>
      <c r="CZ18" s="78">
        <f>(1/(1-$CW$13^2))*((1-$CW$13*$CW$14)*BG18+($CW$14-$CW$13)*BI18)</f>
        <v>3.6782608695652176E-2</v>
      </c>
      <c r="DA18" s="51">
        <v>0</v>
      </c>
      <c r="DB18" s="78">
        <f>(1/(1-$CW$13^2))*((1-$CW$13*$CW$14)*BI18+($CW$14-$CW$13)*BG18)</f>
        <v>3.6782608695652176E-2</v>
      </c>
      <c r="DC18" s="52">
        <v>0</v>
      </c>
      <c r="DD18" s="32">
        <v>0.25</v>
      </c>
      <c r="DE18" s="30">
        <v>0</v>
      </c>
      <c r="DF18" s="32">
        <v>0.25</v>
      </c>
      <c r="DG18" s="33">
        <v>0</v>
      </c>
      <c r="DI18" s="25"/>
      <c r="DJ18" s="47"/>
      <c r="DK18" s="48">
        <v>1</v>
      </c>
      <c r="DL18" s="49">
        <v>4.7599999999999996E-2</v>
      </c>
      <c r="DM18" s="50">
        <v>4.2300000000000004E-2</v>
      </c>
      <c r="DN18" s="51">
        <v>0</v>
      </c>
      <c r="DO18" s="50">
        <v>4.2300000000000004E-2</v>
      </c>
      <c r="DP18" s="52">
        <v>0</v>
      </c>
      <c r="DQ18" s="32">
        <v>0.25</v>
      </c>
      <c r="DR18" s="30">
        <v>0</v>
      </c>
      <c r="DS18" s="32">
        <v>0.25</v>
      </c>
      <c r="DT18" s="33">
        <v>0</v>
      </c>
    </row>
    <row r="19" spans="1:124" ht="12" customHeight="1" x14ac:dyDescent="0.2">
      <c r="A19" s="1"/>
      <c r="B19" s="25"/>
      <c r="C19" s="67"/>
      <c r="D19" s="68">
        <v>1.1000000000000001</v>
      </c>
      <c r="E19" s="85">
        <f t="shared" si="2"/>
        <v>5.6099999999999997E-2</v>
      </c>
      <c r="F19" s="85">
        <f t="shared" si="3"/>
        <v>5.1979999999999998E-2</v>
      </c>
      <c r="G19" s="85">
        <f t="shared" si="4"/>
        <v>0</v>
      </c>
      <c r="H19" s="85">
        <f t="shared" si="5"/>
        <v>4.4909999999999999E-2</v>
      </c>
      <c r="I19" s="85">
        <f t="shared" si="6"/>
        <v>0</v>
      </c>
      <c r="J19" s="85">
        <f t="shared" si="7"/>
        <v>0.27272727272727271</v>
      </c>
      <c r="K19" s="85">
        <f t="shared" si="8"/>
        <v>0</v>
      </c>
      <c r="L19" s="85">
        <f t="shared" si="9"/>
        <v>0.25</v>
      </c>
      <c r="M19" s="85">
        <f t="shared" si="10"/>
        <v>0</v>
      </c>
      <c r="N19" s="1"/>
      <c r="P19" s="15"/>
      <c r="Q19" s="28"/>
      <c r="R19" s="35">
        <v>1.1000000000000001</v>
      </c>
      <c r="S19" s="37">
        <v>5.6099999999999997E-2</v>
      </c>
      <c r="T19" s="32">
        <v>5.1979999999999998E-2</v>
      </c>
      <c r="U19" s="30">
        <v>0</v>
      </c>
      <c r="V19" s="32">
        <v>4.4909999999999999E-2</v>
      </c>
      <c r="W19" s="33">
        <v>0</v>
      </c>
      <c r="X19" s="32">
        <v>0.27272727272727271</v>
      </c>
      <c r="Y19" s="30">
        <v>0</v>
      </c>
      <c r="Z19" s="32">
        <v>0.25</v>
      </c>
      <c r="AA19" s="33">
        <v>0</v>
      </c>
      <c r="AC19" s="15"/>
      <c r="AD19" s="28"/>
      <c r="AE19" s="35">
        <v>1.1000000000000001</v>
      </c>
      <c r="AF19" s="37">
        <v>5.8400000000000001E-2</v>
      </c>
      <c r="AG19" s="32">
        <f>1/22.4</f>
        <v>4.4642857142857144E-2</v>
      </c>
      <c r="AH19" s="30">
        <v>0</v>
      </c>
      <c r="AI19" s="32">
        <f>1/27.9</f>
        <v>3.5842293906810041E-2</v>
      </c>
      <c r="AJ19" s="33">
        <v>0</v>
      </c>
      <c r="AK19" s="32">
        <v>0.27272727272727271</v>
      </c>
      <c r="AL19" s="30">
        <v>0</v>
      </c>
      <c r="AM19" s="32">
        <v>0.25</v>
      </c>
      <c r="AN19" s="33">
        <v>0</v>
      </c>
      <c r="AP19" s="15"/>
      <c r="AQ19" s="28"/>
      <c r="AR19" s="35">
        <v>1.1000000000000001</v>
      </c>
      <c r="AS19" s="45">
        <f t="shared" ref="AS19:AS28" si="16">AF19*(1-0.2^2)</f>
        <v>5.6063999999999996E-2</v>
      </c>
      <c r="AT19" s="32">
        <f>1/19.3</f>
        <v>5.181347150259067E-2</v>
      </c>
      <c r="AU19" s="30">
        <v>0</v>
      </c>
      <c r="AV19" s="32">
        <f>1/22.3</f>
        <v>4.4843049327354258E-2</v>
      </c>
      <c r="AW19" s="33">
        <v>0</v>
      </c>
      <c r="AX19" s="32">
        <v>0.27272727272727271</v>
      </c>
      <c r="AY19" s="30">
        <v>0</v>
      </c>
      <c r="AZ19" s="32">
        <v>0.25</v>
      </c>
      <c r="BA19" s="33">
        <v>0</v>
      </c>
      <c r="BC19" s="25"/>
      <c r="BD19" s="47"/>
      <c r="BE19" s="48">
        <v>1.1000000000000001</v>
      </c>
      <c r="BF19" s="49">
        <v>5.7099900000000016E-2</v>
      </c>
      <c r="BG19" s="50">
        <v>0.05</v>
      </c>
      <c r="BH19" s="51">
        <v>0</v>
      </c>
      <c r="BI19" s="50">
        <v>4.2713000000000008E-2</v>
      </c>
      <c r="BJ19" s="52">
        <v>0</v>
      </c>
      <c r="BK19" s="32">
        <v>0.27272727272727271</v>
      </c>
      <c r="BL19" s="30">
        <v>0</v>
      </c>
      <c r="BM19" s="32">
        <v>0.25</v>
      </c>
      <c r="BN19" s="33">
        <v>0</v>
      </c>
      <c r="BP19" s="15"/>
      <c r="BQ19" s="28"/>
      <c r="BR19" s="35">
        <v>1.1000000000000001</v>
      </c>
      <c r="BS19" s="45">
        <f t="shared" ref="BS19:BS28" si="17">5*CF19*CB19/32</f>
        <v>5.4848642101266824E-2</v>
      </c>
      <c r="BT19" s="78">
        <f t="shared" si="11"/>
        <v>4.3878913681013459E-2</v>
      </c>
      <c r="BU19" s="79">
        <v>0</v>
      </c>
      <c r="BV19" s="78">
        <f t="shared" si="12"/>
        <v>3.6263565025630953E-2</v>
      </c>
      <c r="BW19" s="80">
        <v>0</v>
      </c>
      <c r="BX19" s="32">
        <v>0.27272727272727271</v>
      </c>
      <c r="BY19" s="30">
        <v>0</v>
      </c>
      <c r="BZ19" s="32">
        <v>0.25</v>
      </c>
      <c r="CA19" s="33">
        <v>0</v>
      </c>
      <c r="CB19" s="37">
        <f t="shared" si="13"/>
        <v>0.59417231443529095</v>
      </c>
      <c r="CC19" s="37">
        <f t="shared" ref="CC19:CC28" si="18">1-CB19</f>
        <v>0.40582768556470905</v>
      </c>
      <c r="CD19" s="35">
        <v>8</v>
      </c>
      <c r="CE19" s="35">
        <v>8</v>
      </c>
      <c r="CF19" s="37">
        <f t="shared" ref="CF19:CF28" si="19">1-(20*CB19)/(3*CD19*BR19^2)</f>
        <v>0.59079041705558488</v>
      </c>
      <c r="CG19" s="37">
        <f t="shared" si="14"/>
        <v>0.5907904170555851</v>
      </c>
      <c r="CI19" s="15"/>
      <c r="CJ19" s="28"/>
      <c r="CK19" s="35">
        <v>1.1000000000000001</v>
      </c>
      <c r="CL19" s="45">
        <f t="shared" si="15"/>
        <v>5.2654696417216151E-2</v>
      </c>
      <c r="CM19" s="78">
        <f t="shared" ref="CM19:CM28" si="20">BT19+$CJ$14*BV19</f>
        <v>5.1131626686139652E-2</v>
      </c>
      <c r="CN19" s="79">
        <v>0</v>
      </c>
      <c r="CO19" s="78">
        <f t="shared" ref="CO19:CO28" si="21">$CJ$14*BT19+BV19</f>
        <v>4.5039347761833645E-2</v>
      </c>
      <c r="CP19" s="80">
        <v>0</v>
      </c>
      <c r="CQ19" s="32">
        <v>0.27272727272727271</v>
      </c>
      <c r="CR19" s="30">
        <v>0</v>
      </c>
      <c r="CS19" s="32">
        <v>0.25</v>
      </c>
      <c r="CT19" s="33">
        <v>0</v>
      </c>
      <c r="CV19" s="25"/>
      <c r="CW19" s="47"/>
      <c r="CX19" s="48">
        <v>1.1000000000000001</v>
      </c>
      <c r="CY19" s="45">
        <f t="shared" ref="CY19:CY28" si="22">(1-$CW$14^2)/(1-$CW$13^2)*BF19</f>
        <v>5.8414219948849128E-2</v>
      </c>
      <c r="CZ19" s="78">
        <f t="shared" ref="CZ19:CZ28" si="23">(1/(1-$CW$13^2))*((1-$CW$13*$CW$14)*BG19+($CW$14-$CW$13)*BI19)</f>
        <v>4.45964705882353E-2</v>
      </c>
      <c r="DA19" s="51">
        <v>0</v>
      </c>
      <c r="DB19" s="78">
        <f t="shared" ref="DB19:DB28" si="24">(1/(1-$CW$13^2))*((1-$CW$13*$CW$14)*BI19+($CW$14-$CW$13)*BG19)</f>
        <v>3.6023529411764718E-2</v>
      </c>
      <c r="DC19" s="52">
        <v>0</v>
      </c>
      <c r="DD19" s="32">
        <v>0.27272727272727271</v>
      </c>
      <c r="DE19" s="30">
        <v>0</v>
      </c>
      <c r="DF19" s="32">
        <v>0.25</v>
      </c>
      <c r="DG19" s="33">
        <v>0</v>
      </c>
      <c r="DI19" s="25"/>
      <c r="DJ19" s="47"/>
      <c r="DK19" s="48">
        <v>1.1000000000000001</v>
      </c>
      <c r="DL19" s="49">
        <v>5.74E-2</v>
      </c>
      <c r="DM19" s="50">
        <v>0.05</v>
      </c>
      <c r="DN19" s="51">
        <v>0</v>
      </c>
      <c r="DO19" s="50">
        <v>4.2699999999999995E-2</v>
      </c>
      <c r="DP19" s="52">
        <v>0</v>
      </c>
      <c r="DQ19" s="32">
        <v>0.27272727272727271</v>
      </c>
      <c r="DR19" s="30">
        <v>0</v>
      </c>
      <c r="DS19" s="32">
        <v>0.25</v>
      </c>
      <c r="DT19" s="33">
        <v>0</v>
      </c>
    </row>
    <row r="20" spans="1:124" ht="12" customHeight="1" x14ac:dyDescent="0.2">
      <c r="A20" s="1"/>
      <c r="B20" s="25"/>
      <c r="C20" s="67"/>
      <c r="D20" s="68">
        <v>1.2</v>
      </c>
      <c r="E20" s="85">
        <f t="shared" si="2"/>
        <v>6.5100000000000005E-2</v>
      </c>
      <c r="F20" s="85">
        <f t="shared" si="3"/>
        <v>5.935E-2</v>
      </c>
      <c r="G20" s="85">
        <f t="shared" si="4"/>
        <v>0</v>
      </c>
      <c r="H20" s="85">
        <f t="shared" si="5"/>
        <v>4.4909999999999999E-2</v>
      </c>
      <c r="I20" s="85">
        <f t="shared" si="6"/>
        <v>0</v>
      </c>
      <c r="J20" s="85">
        <f t="shared" si="7"/>
        <v>0.29166666666666663</v>
      </c>
      <c r="K20" s="85">
        <f t="shared" si="8"/>
        <v>0</v>
      </c>
      <c r="L20" s="85">
        <f t="shared" si="9"/>
        <v>0.25</v>
      </c>
      <c r="M20" s="85">
        <f t="shared" si="10"/>
        <v>0</v>
      </c>
      <c r="N20" s="1"/>
      <c r="P20" s="15"/>
      <c r="Q20" s="28"/>
      <c r="R20" s="35">
        <v>1.2</v>
      </c>
      <c r="S20" s="37">
        <v>6.5100000000000005E-2</v>
      </c>
      <c r="T20" s="32">
        <v>5.935E-2</v>
      </c>
      <c r="U20" s="30">
        <v>0</v>
      </c>
      <c r="V20" s="32">
        <v>4.4909999999999999E-2</v>
      </c>
      <c r="W20" s="33">
        <v>0</v>
      </c>
      <c r="X20" s="32">
        <v>0.29166666666666663</v>
      </c>
      <c r="Y20" s="30">
        <v>0</v>
      </c>
      <c r="Z20" s="32">
        <v>0.25</v>
      </c>
      <c r="AA20" s="33">
        <v>0</v>
      </c>
      <c r="AC20" s="15"/>
      <c r="AD20" s="28"/>
      <c r="AE20" s="35">
        <v>1.2</v>
      </c>
      <c r="AF20" s="37">
        <v>6.7799999999999999E-2</v>
      </c>
      <c r="AG20" s="32">
        <f>1/19.1</f>
        <v>5.235602094240837E-2</v>
      </c>
      <c r="AH20" s="30">
        <v>0</v>
      </c>
      <c r="AI20" s="32">
        <f>1/29.1</f>
        <v>3.4364261168384876E-2</v>
      </c>
      <c r="AJ20" s="33">
        <v>0</v>
      </c>
      <c r="AK20" s="32">
        <v>0.29166666666666663</v>
      </c>
      <c r="AL20" s="30">
        <v>0</v>
      </c>
      <c r="AM20" s="32">
        <v>0.25</v>
      </c>
      <c r="AN20" s="33">
        <v>0</v>
      </c>
      <c r="AP20" s="15"/>
      <c r="AQ20" s="28"/>
      <c r="AR20" s="35">
        <v>1.2</v>
      </c>
      <c r="AS20" s="45">
        <f t="shared" si="16"/>
        <v>6.5087999999999993E-2</v>
      </c>
      <c r="AT20" s="32">
        <f>1/16.9</f>
        <v>5.9171597633136098E-2</v>
      </c>
      <c r="AU20" s="30">
        <v>0</v>
      </c>
      <c r="AV20" s="32">
        <f>1/22.3</f>
        <v>4.4843049327354258E-2</v>
      </c>
      <c r="AW20" s="33">
        <v>0</v>
      </c>
      <c r="AX20" s="32">
        <v>0.29166666666666663</v>
      </c>
      <c r="AY20" s="30">
        <v>0</v>
      </c>
      <c r="AZ20" s="32">
        <v>0.25</v>
      </c>
      <c r="BA20" s="33">
        <v>0</v>
      </c>
      <c r="BC20" s="25"/>
      <c r="BD20" s="47"/>
      <c r="BE20" s="48">
        <v>1.2</v>
      </c>
      <c r="BF20" s="49">
        <v>6.6355199999999989E-2</v>
      </c>
      <c r="BG20" s="50">
        <v>5.7500000000000002E-2</v>
      </c>
      <c r="BH20" s="51">
        <v>0</v>
      </c>
      <c r="BI20" s="50">
        <v>4.2191999999999993E-2</v>
      </c>
      <c r="BJ20" s="52">
        <v>0</v>
      </c>
      <c r="BK20" s="32">
        <v>0.29166666666666663</v>
      </c>
      <c r="BL20" s="30">
        <v>0</v>
      </c>
      <c r="BM20" s="32">
        <v>0.25</v>
      </c>
      <c r="BN20" s="33">
        <v>0</v>
      </c>
      <c r="BP20" s="15"/>
      <c r="BQ20" s="28"/>
      <c r="BR20" s="35">
        <v>1.2</v>
      </c>
      <c r="BS20" s="45">
        <f t="shared" si="17"/>
        <v>6.4257998325854604E-2</v>
      </c>
      <c r="BT20" s="78">
        <f t="shared" si="11"/>
        <v>5.140639866068368E-2</v>
      </c>
      <c r="BU20" s="79">
        <v>0</v>
      </c>
      <c r="BV20" s="78">
        <f t="shared" si="12"/>
        <v>3.5698887958808115E-2</v>
      </c>
      <c r="BW20" s="80">
        <v>0</v>
      </c>
      <c r="BX20" s="32">
        <v>0.29166666666666663</v>
      </c>
      <c r="BY20" s="30">
        <v>0</v>
      </c>
      <c r="BZ20" s="32">
        <v>0.25</v>
      </c>
      <c r="CA20" s="33">
        <v>0</v>
      </c>
      <c r="CB20" s="37">
        <f t="shared" si="13"/>
        <v>0.67464862051015095</v>
      </c>
      <c r="CC20" s="37">
        <f t="shared" si="18"/>
        <v>0.32535137948984905</v>
      </c>
      <c r="CD20" s="35">
        <v>8</v>
      </c>
      <c r="CE20" s="35">
        <v>8</v>
      </c>
      <c r="CF20" s="37">
        <f t="shared" si="19"/>
        <v>0.60957834461218119</v>
      </c>
      <c r="CG20" s="37">
        <f t="shared" si="14"/>
        <v>0.60957834461218119</v>
      </c>
      <c r="CI20" s="15"/>
      <c r="CJ20" s="28"/>
      <c r="CK20" s="35">
        <v>1.2</v>
      </c>
      <c r="CL20" s="45">
        <f t="shared" si="15"/>
        <v>6.1687678392820418E-2</v>
      </c>
      <c r="CM20" s="78">
        <f t="shared" si="20"/>
        <v>5.8546176252445306E-2</v>
      </c>
      <c r="CN20" s="79">
        <v>0</v>
      </c>
      <c r="CO20" s="78">
        <f t="shared" si="21"/>
        <v>4.5980167690944852E-2</v>
      </c>
      <c r="CP20" s="80">
        <v>0</v>
      </c>
      <c r="CQ20" s="32">
        <v>0.29166666666666663</v>
      </c>
      <c r="CR20" s="30">
        <v>0</v>
      </c>
      <c r="CS20" s="32">
        <v>0.25</v>
      </c>
      <c r="CT20" s="33">
        <v>0</v>
      </c>
      <c r="CV20" s="25"/>
      <c r="CW20" s="47"/>
      <c r="CX20" s="48">
        <v>1.2</v>
      </c>
      <c r="CY20" s="45">
        <f t="shared" si="22"/>
        <v>6.7882557544757027E-2</v>
      </c>
      <c r="CZ20" s="78">
        <f t="shared" si="23"/>
        <v>5.2349053708439904E-2</v>
      </c>
      <c r="DA20" s="51">
        <v>0</v>
      </c>
      <c r="DB20" s="78">
        <f t="shared" si="24"/>
        <v>3.4339641943734012E-2</v>
      </c>
      <c r="DC20" s="52">
        <v>0</v>
      </c>
      <c r="DD20" s="32">
        <v>0.29166666666666663</v>
      </c>
      <c r="DE20" s="30">
        <v>0</v>
      </c>
      <c r="DF20" s="32">
        <v>0.25</v>
      </c>
      <c r="DG20" s="33">
        <v>0</v>
      </c>
      <c r="DI20" s="25"/>
      <c r="DJ20" s="47"/>
      <c r="DK20" s="48">
        <v>1.2</v>
      </c>
      <c r="DL20" s="49">
        <v>6.6400000000000001E-2</v>
      </c>
      <c r="DM20" s="50">
        <v>5.7500000000000002E-2</v>
      </c>
      <c r="DN20" s="51">
        <v>0</v>
      </c>
      <c r="DO20" s="50">
        <v>4.2199999999999994E-2</v>
      </c>
      <c r="DP20" s="52">
        <v>0</v>
      </c>
      <c r="DQ20" s="32">
        <v>0.29166666666666663</v>
      </c>
      <c r="DR20" s="30">
        <v>0</v>
      </c>
      <c r="DS20" s="32">
        <v>0.25</v>
      </c>
      <c r="DT20" s="33">
        <v>0</v>
      </c>
    </row>
    <row r="21" spans="1:124" ht="12" customHeight="1" x14ac:dyDescent="0.2">
      <c r="A21" s="1"/>
      <c r="B21" s="25"/>
      <c r="C21" s="67"/>
      <c r="D21" s="68">
        <v>1.3</v>
      </c>
      <c r="E21" s="85">
        <f t="shared" si="2"/>
        <v>7.3599999999999999E-2</v>
      </c>
      <c r="F21" s="85">
        <f t="shared" si="3"/>
        <v>6.6259999999999999E-2</v>
      </c>
      <c r="G21" s="85">
        <f t="shared" si="4"/>
        <v>0</v>
      </c>
      <c r="H21" s="85">
        <f t="shared" si="5"/>
        <v>4.4429999999999997E-2</v>
      </c>
      <c r="I21" s="85">
        <f t="shared" si="6"/>
        <v>0</v>
      </c>
      <c r="J21" s="85">
        <f t="shared" si="7"/>
        <v>0.30769230769230771</v>
      </c>
      <c r="K21" s="85">
        <f t="shared" si="8"/>
        <v>0</v>
      </c>
      <c r="L21" s="85">
        <f t="shared" si="9"/>
        <v>0.25</v>
      </c>
      <c r="M21" s="85">
        <f t="shared" si="10"/>
        <v>0</v>
      </c>
      <c r="N21" s="1"/>
      <c r="P21" s="15"/>
      <c r="Q21" s="28"/>
      <c r="R21" s="35">
        <v>1.3</v>
      </c>
      <c r="S21" s="37">
        <v>7.3599999999999999E-2</v>
      </c>
      <c r="T21" s="32">
        <v>6.6259999999999999E-2</v>
      </c>
      <c r="U21" s="30">
        <v>0</v>
      </c>
      <c r="V21" s="32">
        <v>4.4429999999999997E-2</v>
      </c>
      <c r="W21" s="33">
        <v>0</v>
      </c>
      <c r="X21" s="32">
        <v>0.30769230769230771</v>
      </c>
      <c r="Y21" s="30">
        <v>0</v>
      </c>
      <c r="Z21" s="32">
        <v>0.25</v>
      </c>
      <c r="AA21" s="33">
        <v>0</v>
      </c>
      <c r="AC21" s="15"/>
      <c r="AD21" s="28"/>
      <c r="AE21" s="35">
        <v>1.3</v>
      </c>
      <c r="AF21" s="37">
        <v>7.6700000000000004E-2</v>
      </c>
      <c r="AG21" s="32">
        <f>1/16.8</f>
        <v>5.9523809523809521E-2</v>
      </c>
      <c r="AH21" s="30">
        <v>0</v>
      </c>
      <c r="AI21" s="32">
        <f>1/30.9</f>
        <v>3.236245954692557E-2</v>
      </c>
      <c r="AJ21" s="33">
        <v>0</v>
      </c>
      <c r="AK21" s="32">
        <v>0.30769230769230771</v>
      </c>
      <c r="AL21" s="30">
        <v>0</v>
      </c>
      <c r="AM21" s="32">
        <v>0.25</v>
      </c>
      <c r="AN21" s="33">
        <v>0</v>
      </c>
      <c r="AP21" s="15"/>
      <c r="AQ21" s="28"/>
      <c r="AR21" s="35">
        <v>1.3</v>
      </c>
      <c r="AS21" s="45">
        <f t="shared" si="16"/>
        <v>7.3632000000000003E-2</v>
      </c>
      <c r="AT21" s="32">
        <f>1/15.2</f>
        <v>6.5789473684210523E-2</v>
      </c>
      <c r="AU21" s="30">
        <v>0</v>
      </c>
      <c r="AV21" s="32">
        <f>1/22.7</f>
        <v>4.405286343612335E-2</v>
      </c>
      <c r="AW21" s="33">
        <v>0</v>
      </c>
      <c r="AX21" s="32">
        <v>0.30769230769230771</v>
      </c>
      <c r="AY21" s="30">
        <v>0</v>
      </c>
      <c r="AZ21" s="32">
        <v>0.25</v>
      </c>
      <c r="BA21" s="33">
        <v>0</v>
      </c>
      <c r="BC21" s="25"/>
      <c r="BD21" s="47"/>
      <c r="BE21" s="48">
        <v>1.3</v>
      </c>
      <c r="BF21" s="49">
        <v>7.4829820000000019E-2</v>
      </c>
      <c r="BG21" s="50">
        <v>6.4399999999999999E-2</v>
      </c>
      <c r="BH21" s="51">
        <v>0</v>
      </c>
      <c r="BI21" s="50">
        <v>4.1236000000000002E-2</v>
      </c>
      <c r="BJ21" s="52">
        <v>0</v>
      </c>
      <c r="BK21" s="32">
        <v>0.30769230769230771</v>
      </c>
      <c r="BL21" s="30">
        <v>0</v>
      </c>
      <c r="BM21" s="32">
        <v>0.25</v>
      </c>
      <c r="BN21" s="33">
        <v>0</v>
      </c>
      <c r="BP21" s="15"/>
      <c r="BQ21" s="28"/>
      <c r="BR21" s="35">
        <v>1.3</v>
      </c>
      <c r="BS21" s="45">
        <f t="shared" si="17"/>
        <v>7.3462698254017439E-2</v>
      </c>
      <c r="BT21" s="78">
        <f t="shared" si="11"/>
        <v>5.8770158603213947E-2</v>
      </c>
      <c r="BU21" s="79">
        <v>0</v>
      </c>
      <c r="BV21" s="78">
        <f t="shared" si="12"/>
        <v>3.4775241777049673E-2</v>
      </c>
      <c r="BW21" s="80">
        <v>0</v>
      </c>
      <c r="BX21" s="32">
        <v>0.30769230769230771</v>
      </c>
      <c r="BY21" s="30">
        <v>0</v>
      </c>
      <c r="BZ21" s="32">
        <v>0.25</v>
      </c>
      <c r="CA21" s="33">
        <v>0</v>
      </c>
      <c r="CB21" s="37">
        <f t="shared" si="13"/>
        <v>0.74067062576178011</v>
      </c>
      <c r="CC21" s="37">
        <f t="shared" si="18"/>
        <v>0.25932937423821989</v>
      </c>
      <c r="CD21" s="35">
        <v>8</v>
      </c>
      <c r="CE21" s="35">
        <v>8</v>
      </c>
      <c r="CF21" s="37">
        <f t="shared" si="19"/>
        <v>0.63477779794784017</v>
      </c>
      <c r="CG21" s="37">
        <f t="shared" si="14"/>
        <v>0.63477779794784039</v>
      </c>
      <c r="CI21" s="15"/>
      <c r="CJ21" s="28"/>
      <c r="CK21" s="35">
        <v>1.3</v>
      </c>
      <c r="CL21" s="45">
        <f t="shared" si="15"/>
        <v>7.0524190323856734E-2</v>
      </c>
      <c r="CM21" s="78">
        <f t="shared" si="20"/>
        <v>6.5725206958623883E-2</v>
      </c>
      <c r="CN21" s="79">
        <v>0</v>
      </c>
      <c r="CO21" s="78">
        <f t="shared" si="21"/>
        <v>4.6529273497692467E-2</v>
      </c>
      <c r="CP21" s="80">
        <v>0</v>
      </c>
      <c r="CQ21" s="32">
        <v>0.30769230769230771</v>
      </c>
      <c r="CR21" s="30">
        <v>0</v>
      </c>
      <c r="CS21" s="32">
        <v>0.25</v>
      </c>
      <c r="CT21" s="33">
        <v>0</v>
      </c>
      <c r="CV21" s="25"/>
      <c r="CW21" s="47"/>
      <c r="CX21" s="48">
        <v>1.3</v>
      </c>
      <c r="CY21" s="45">
        <f t="shared" si="22"/>
        <v>7.6552245524296694E-2</v>
      </c>
      <c r="CZ21" s="78">
        <f t="shared" si="23"/>
        <v>5.9554578005115093E-2</v>
      </c>
      <c r="DA21" s="51">
        <v>0</v>
      </c>
      <c r="DB21" s="78">
        <f t="shared" si="24"/>
        <v>3.2302813299232735E-2</v>
      </c>
      <c r="DC21" s="52">
        <v>0</v>
      </c>
      <c r="DD21" s="32">
        <v>0.30769230769230771</v>
      </c>
      <c r="DE21" s="30">
        <v>0</v>
      </c>
      <c r="DF21" s="32">
        <v>0.25</v>
      </c>
      <c r="DG21" s="33">
        <v>0</v>
      </c>
      <c r="DI21" s="25"/>
      <c r="DJ21" s="47"/>
      <c r="DK21" s="48">
        <v>1.3</v>
      </c>
      <c r="DL21" s="49">
        <v>7.4900000000000008E-2</v>
      </c>
      <c r="DM21" s="50">
        <v>6.4399999999999999E-2</v>
      </c>
      <c r="DN21" s="51">
        <v>0</v>
      </c>
      <c r="DO21" s="50">
        <v>4.1200000000000001E-2</v>
      </c>
      <c r="DP21" s="52">
        <v>0</v>
      </c>
      <c r="DQ21" s="32">
        <v>0.30769230769230771</v>
      </c>
      <c r="DR21" s="30">
        <v>0</v>
      </c>
      <c r="DS21" s="32">
        <v>0.25</v>
      </c>
      <c r="DT21" s="33">
        <v>0</v>
      </c>
    </row>
    <row r="22" spans="1:124" ht="12" customHeight="1" x14ac:dyDescent="0.2">
      <c r="A22" s="1"/>
      <c r="B22" s="25"/>
      <c r="C22" s="67"/>
      <c r="D22" s="68">
        <v>1.4</v>
      </c>
      <c r="E22" s="85">
        <f t="shared" si="2"/>
        <v>8.1600000000000006E-2</v>
      </c>
      <c r="F22" s="85">
        <f t="shared" si="3"/>
        <v>7.2650000000000006E-2</v>
      </c>
      <c r="G22" s="85">
        <f t="shared" si="4"/>
        <v>0</v>
      </c>
      <c r="H22" s="85">
        <f t="shared" si="5"/>
        <v>4.3630000000000002E-2</v>
      </c>
      <c r="I22" s="85">
        <f t="shared" si="6"/>
        <v>0</v>
      </c>
      <c r="J22" s="85">
        <f t="shared" si="7"/>
        <v>0.3214285714285714</v>
      </c>
      <c r="K22" s="85">
        <f t="shared" si="8"/>
        <v>0</v>
      </c>
      <c r="L22" s="85">
        <f t="shared" si="9"/>
        <v>0.25</v>
      </c>
      <c r="M22" s="85">
        <f t="shared" si="10"/>
        <v>0</v>
      </c>
      <c r="N22" s="1"/>
      <c r="P22" s="15"/>
      <c r="Q22" s="28"/>
      <c r="R22" s="35">
        <v>1.4</v>
      </c>
      <c r="S22" s="37">
        <v>8.1600000000000006E-2</v>
      </c>
      <c r="T22" s="32">
        <v>7.2650000000000006E-2</v>
      </c>
      <c r="U22" s="30">
        <v>0</v>
      </c>
      <c r="V22" s="32">
        <v>4.3630000000000002E-2</v>
      </c>
      <c r="W22" s="33">
        <v>0</v>
      </c>
      <c r="X22" s="32">
        <v>0.3214285714285714</v>
      </c>
      <c r="Y22" s="30">
        <v>0</v>
      </c>
      <c r="Z22" s="32">
        <v>0.25</v>
      </c>
      <c r="AA22" s="33">
        <v>0</v>
      </c>
      <c r="AC22" s="15"/>
      <c r="AD22" s="28"/>
      <c r="AE22" s="35">
        <v>1.4</v>
      </c>
      <c r="AF22" s="37">
        <v>8.5000000000000006E-2</v>
      </c>
      <c r="AG22" s="32">
        <f>1/15</f>
        <v>6.6666666666666666E-2</v>
      </c>
      <c r="AH22" s="30">
        <v>0</v>
      </c>
      <c r="AI22" s="32">
        <f>1/32.8</f>
        <v>3.0487804878048783E-2</v>
      </c>
      <c r="AJ22" s="33">
        <v>0</v>
      </c>
      <c r="AK22" s="32">
        <v>0.3214285714285714</v>
      </c>
      <c r="AL22" s="30">
        <v>0</v>
      </c>
      <c r="AM22" s="32">
        <v>0.25</v>
      </c>
      <c r="AN22" s="33">
        <v>0</v>
      </c>
      <c r="AP22" s="15"/>
      <c r="AQ22" s="28"/>
      <c r="AR22" s="35">
        <v>1.4</v>
      </c>
      <c r="AS22" s="45">
        <f t="shared" si="16"/>
        <v>8.1600000000000006E-2</v>
      </c>
      <c r="AT22" s="32">
        <f>1/13.8</f>
        <v>7.2463768115942032E-2</v>
      </c>
      <c r="AU22" s="30">
        <v>0</v>
      </c>
      <c r="AV22" s="32">
        <f>1/23.1</f>
        <v>4.3290043290043288E-2</v>
      </c>
      <c r="AW22" s="33">
        <v>0</v>
      </c>
      <c r="AX22" s="32">
        <v>0.3214285714285714</v>
      </c>
      <c r="AY22" s="30">
        <v>0</v>
      </c>
      <c r="AZ22" s="32">
        <v>0.25</v>
      </c>
      <c r="BA22" s="33">
        <v>0</v>
      </c>
      <c r="BC22" s="25"/>
      <c r="BD22" s="47"/>
      <c r="BE22" s="48">
        <v>1.4</v>
      </c>
      <c r="BF22" s="49">
        <v>8.2978559999999965E-2</v>
      </c>
      <c r="BG22" s="50">
        <v>7.0999999999999994E-2</v>
      </c>
      <c r="BH22" s="51">
        <v>0</v>
      </c>
      <c r="BI22" s="50">
        <v>3.9983999999999999E-2</v>
      </c>
      <c r="BJ22" s="52">
        <v>0</v>
      </c>
      <c r="BK22" s="32">
        <v>0.3214285714285714</v>
      </c>
      <c r="BL22" s="30">
        <v>0</v>
      </c>
      <c r="BM22" s="32">
        <v>0.25</v>
      </c>
      <c r="BN22" s="33">
        <v>0</v>
      </c>
      <c r="BP22" s="15"/>
      <c r="BQ22" s="28"/>
      <c r="BR22" s="35">
        <v>1.4</v>
      </c>
      <c r="BS22" s="45">
        <f t="shared" si="17"/>
        <v>8.2153262525797202E-2</v>
      </c>
      <c r="BT22" s="78">
        <f t="shared" si="11"/>
        <v>6.5722610020637756E-2</v>
      </c>
      <c r="BU22" s="79">
        <v>0</v>
      </c>
      <c r="BV22" s="78">
        <f t="shared" si="12"/>
        <v>3.3531943888080486E-2</v>
      </c>
      <c r="BW22" s="80">
        <v>0</v>
      </c>
      <c r="BX22" s="32">
        <v>0.3214285714285714</v>
      </c>
      <c r="BY22" s="30">
        <v>0</v>
      </c>
      <c r="BZ22" s="32">
        <v>0.25</v>
      </c>
      <c r="CA22" s="33">
        <v>0</v>
      </c>
      <c r="CB22" s="37">
        <f t="shared" si="13"/>
        <v>0.79345670852610706</v>
      </c>
      <c r="CC22" s="37">
        <f t="shared" si="18"/>
        <v>0.20654329147389294</v>
      </c>
      <c r="CD22" s="35">
        <v>8</v>
      </c>
      <c r="CE22" s="35">
        <v>8</v>
      </c>
      <c r="CF22" s="37">
        <f t="shared" si="19"/>
        <v>0.66264595725930819</v>
      </c>
      <c r="CG22" s="37">
        <f t="shared" si="14"/>
        <v>0.66264595725930819</v>
      </c>
      <c r="CI22" s="15"/>
      <c r="CJ22" s="28"/>
      <c r="CK22" s="35">
        <v>1.4</v>
      </c>
      <c r="CL22" s="45">
        <f t="shared" si="15"/>
        <v>7.8867132024765307E-2</v>
      </c>
      <c r="CM22" s="78">
        <f t="shared" si="20"/>
        <v>7.2428998798253846E-2</v>
      </c>
      <c r="CN22" s="79">
        <v>0</v>
      </c>
      <c r="CO22" s="78">
        <f t="shared" si="21"/>
        <v>4.6676465892208037E-2</v>
      </c>
      <c r="CP22" s="80">
        <v>0</v>
      </c>
      <c r="CQ22" s="32">
        <v>0.3214285714285714</v>
      </c>
      <c r="CR22" s="30">
        <v>0</v>
      </c>
      <c r="CS22" s="32">
        <v>0.25</v>
      </c>
      <c r="CT22" s="33">
        <v>0</v>
      </c>
      <c r="CV22" s="25"/>
      <c r="CW22" s="47"/>
      <c r="CX22" s="48">
        <v>1.4</v>
      </c>
      <c r="CY22" s="45">
        <f t="shared" si="22"/>
        <v>8.4888552429667488E-2</v>
      </c>
      <c r="CZ22" s="78">
        <f t="shared" si="23"/>
        <v>6.6498618925831199E-2</v>
      </c>
      <c r="DA22" s="51">
        <v>0</v>
      </c>
      <c r="DB22" s="78">
        <f t="shared" si="24"/>
        <v>3.0009207161125321E-2</v>
      </c>
      <c r="DC22" s="52">
        <v>0</v>
      </c>
      <c r="DD22" s="32">
        <v>0.3214285714285714</v>
      </c>
      <c r="DE22" s="30">
        <v>0</v>
      </c>
      <c r="DF22" s="32">
        <v>0.25</v>
      </c>
      <c r="DG22" s="33">
        <v>0</v>
      </c>
      <c r="DI22" s="25"/>
      <c r="DJ22" s="47"/>
      <c r="DK22" s="48">
        <v>1.4</v>
      </c>
      <c r="DL22" s="49">
        <v>8.2899999999999988E-2</v>
      </c>
      <c r="DM22" s="50">
        <v>7.0999999999999994E-2</v>
      </c>
      <c r="DN22" s="51">
        <v>0</v>
      </c>
      <c r="DO22" s="50">
        <v>0.04</v>
      </c>
      <c r="DP22" s="52">
        <v>0</v>
      </c>
      <c r="DQ22" s="32">
        <v>0.3214285714285714</v>
      </c>
      <c r="DR22" s="30">
        <v>0</v>
      </c>
      <c r="DS22" s="32">
        <v>0.25</v>
      </c>
      <c r="DT22" s="33">
        <v>0</v>
      </c>
    </row>
    <row r="23" spans="1:124" ht="12" customHeight="1" x14ac:dyDescent="0.2">
      <c r="A23" s="1"/>
      <c r="B23" s="25"/>
      <c r="C23" s="67"/>
      <c r="D23" s="68">
        <v>1.5</v>
      </c>
      <c r="E23" s="85">
        <f t="shared" si="2"/>
        <v>8.8999999999999996E-2</v>
      </c>
      <c r="F23" s="85">
        <f t="shared" si="3"/>
        <v>7.85E-2</v>
      </c>
      <c r="G23" s="85">
        <f t="shared" si="4"/>
        <v>0</v>
      </c>
      <c r="H23" s="85">
        <f t="shared" si="5"/>
        <v>4.2610000000000002E-2</v>
      </c>
      <c r="I23" s="85">
        <f t="shared" si="6"/>
        <v>0</v>
      </c>
      <c r="J23" s="85">
        <f t="shared" si="7"/>
        <v>0.33333333333333337</v>
      </c>
      <c r="K23" s="85">
        <f t="shared" si="8"/>
        <v>0</v>
      </c>
      <c r="L23" s="85">
        <f t="shared" si="9"/>
        <v>0.25</v>
      </c>
      <c r="M23" s="85">
        <f t="shared" si="10"/>
        <v>0</v>
      </c>
      <c r="N23" s="1"/>
      <c r="P23" s="15"/>
      <c r="Q23" s="28"/>
      <c r="R23" s="35">
        <v>1.5</v>
      </c>
      <c r="S23" s="37">
        <v>8.8999999999999996E-2</v>
      </c>
      <c r="T23" s="32">
        <v>7.85E-2</v>
      </c>
      <c r="U23" s="30">
        <v>0</v>
      </c>
      <c r="V23" s="32">
        <v>4.2610000000000002E-2</v>
      </c>
      <c r="W23" s="33">
        <v>0</v>
      </c>
      <c r="X23" s="32">
        <v>0.33333333333333337</v>
      </c>
      <c r="Y23" s="30">
        <v>0</v>
      </c>
      <c r="Z23" s="32">
        <v>0.25</v>
      </c>
      <c r="AA23" s="33">
        <v>0</v>
      </c>
      <c r="AC23" s="15"/>
      <c r="AD23" s="28"/>
      <c r="AE23" s="35">
        <v>1.5</v>
      </c>
      <c r="AF23" s="37">
        <v>9.2700000000000005E-2</v>
      </c>
      <c r="AG23" s="32">
        <f>1/13.7</f>
        <v>7.2992700729927015E-2</v>
      </c>
      <c r="AH23" s="30">
        <v>0</v>
      </c>
      <c r="AI23" s="32">
        <f>1/34.7</f>
        <v>2.8818443804034581E-2</v>
      </c>
      <c r="AJ23" s="33">
        <v>0</v>
      </c>
      <c r="AK23" s="32">
        <v>0.33333333333333337</v>
      </c>
      <c r="AL23" s="30">
        <v>0</v>
      </c>
      <c r="AM23" s="32">
        <v>0.25</v>
      </c>
      <c r="AN23" s="33">
        <v>0</v>
      </c>
      <c r="AP23" s="15"/>
      <c r="AQ23" s="28"/>
      <c r="AR23" s="35">
        <v>1.5</v>
      </c>
      <c r="AS23" s="45">
        <f t="shared" si="16"/>
        <v>8.8992000000000002E-2</v>
      </c>
      <c r="AT23" s="32">
        <f>1/12.7</f>
        <v>7.874015748031496E-2</v>
      </c>
      <c r="AU23" s="30">
        <v>0</v>
      </c>
      <c r="AV23" s="32">
        <f t="shared" ref="AV23:AV28" si="25">1/23.5</f>
        <v>4.2553191489361701E-2</v>
      </c>
      <c r="AW23" s="33">
        <v>0</v>
      </c>
      <c r="AX23" s="32">
        <v>0.33333333333333337</v>
      </c>
      <c r="AY23" s="30">
        <v>0</v>
      </c>
      <c r="AZ23" s="32">
        <v>0.25</v>
      </c>
      <c r="BA23" s="33">
        <v>0</v>
      </c>
      <c r="BC23" s="25"/>
      <c r="BD23" s="47"/>
      <c r="BE23" s="48">
        <v>1.5</v>
      </c>
      <c r="BF23" s="49">
        <v>9.0618749999999998E-2</v>
      </c>
      <c r="BG23" s="50">
        <v>7.7200000000000005E-2</v>
      </c>
      <c r="BH23" s="51">
        <v>0</v>
      </c>
      <c r="BI23" s="50">
        <v>3.8925000000000001E-2</v>
      </c>
      <c r="BJ23" s="52">
        <v>0</v>
      </c>
      <c r="BK23" s="32">
        <v>0.33333333333333337</v>
      </c>
      <c r="BL23" s="30">
        <v>0</v>
      </c>
      <c r="BM23" s="32">
        <v>0.25</v>
      </c>
      <c r="BN23" s="33">
        <v>0</v>
      </c>
      <c r="BP23" s="15"/>
      <c r="BQ23" s="28"/>
      <c r="BR23" s="35">
        <v>1.5</v>
      </c>
      <c r="BS23" s="45">
        <f t="shared" si="17"/>
        <v>9.0123153363800626E-2</v>
      </c>
      <c r="BT23" s="78">
        <f t="shared" si="11"/>
        <v>7.2098522691040501E-2</v>
      </c>
      <c r="BU23" s="79">
        <v>0</v>
      </c>
      <c r="BV23" s="78">
        <f t="shared" si="12"/>
        <v>3.2043787862684657E-2</v>
      </c>
      <c r="BW23" s="80">
        <v>0</v>
      </c>
      <c r="BX23" s="32">
        <v>0.33333333333333337</v>
      </c>
      <c r="BY23" s="30">
        <v>0</v>
      </c>
      <c r="BZ23" s="32">
        <v>0.25</v>
      </c>
      <c r="CA23" s="33">
        <v>0</v>
      </c>
      <c r="CB23" s="37">
        <f t="shared" si="13"/>
        <v>0.83505154639175261</v>
      </c>
      <c r="CC23" s="37">
        <f t="shared" si="18"/>
        <v>0.16494845360824739</v>
      </c>
      <c r="CD23" s="35">
        <v>8</v>
      </c>
      <c r="CE23" s="35">
        <v>8</v>
      </c>
      <c r="CF23" s="37">
        <f t="shared" si="19"/>
        <v>0.69072164948453607</v>
      </c>
      <c r="CG23" s="37">
        <f t="shared" si="14"/>
        <v>0.69072164948453607</v>
      </c>
      <c r="CI23" s="15"/>
      <c r="CJ23" s="28"/>
      <c r="CK23" s="35">
        <v>1.5</v>
      </c>
      <c r="CL23" s="45">
        <f t="shared" si="15"/>
        <v>8.6518227229248595E-2</v>
      </c>
      <c r="CM23" s="78">
        <f t="shared" si="20"/>
        <v>7.8507280263577436E-2</v>
      </c>
      <c r="CN23" s="79">
        <v>0</v>
      </c>
      <c r="CO23" s="78">
        <f t="shared" si="21"/>
        <v>4.6463492400892759E-2</v>
      </c>
      <c r="CP23" s="80">
        <v>0</v>
      </c>
      <c r="CQ23" s="32">
        <v>0.33333333333333337</v>
      </c>
      <c r="CR23" s="30">
        <v>0</v>
      </c>
      <c r="CS23" s="32">
        <v>0.25</v>
      </c>
      <c r="CT23" s="33">
        <v>0</v>
      </c>
      <c r="CV23" s="25"/>
      <c r="CW23" s="47"/>
      <c r="CX23" s="48">
        <v>1.5</v>
      </c>
      <c r="CY23" s="45">
        <f t="shared" si="22"/>
        <v>9.2704603580562664E-2</v>
      </c>
      <c r="CZ23" s="78">
        <f t="shared" si="23"/>
        <v>7.3003836317135556E-2</v>
      </c>
      <c r="DA23" s="51">
        <v>0</v>
      </c>
      <c r="DB23" s="78">
        <f t="shared" si="24"/>
        <v>2.7974424552429669E-2</v>
      </c>
      <c r="DC23" s="52">
        <v>0</v>
      </c>
      <c r="DD23" s="32">
        <v>0.33333333333333337</v>
      </c>
      <c r="DE23" s="30">
        <v>0</v>
      </c>
      <c r="DF23" s="32">
        <v>0.25</v>
      </c>
      <c r="DG23" s="33">
        <v>0</v>
      </c>
      <c r="DI23" s="25"/>
      <c r="DJ23" s="47"/>
      <c r="DK23" s="48">
        <v>1.5</v>
      </c>
      <c r="DL23" s="49">
        <v>9.0299999999999991E-2</v>
      </c>
      <c r="DM23" s="50">
        <v>7.7199999999999991E-2</v>
      </c>
      <c r="DN23" s="51">
        <v>0</v>
      </c>
      <c r="DO23" s="50">
        <v>3.8900000000000004E-2</v>
      </c>
      <c r="DP23" s="52">
        <v>0</v>
      </c>
      <c r="DQ23" s="32">
        <v>0.33333333333333337</v>
      </c>
      <c r="DR23" s="30">
        <v>0</v>
      </c>
      <c r="DS23" s="32">
        <v>0.25</v>
      </c>
      <c r="DT23" s="33">
        <v>0</v>
      </c>
    </row>
    <row r="24" spans="1:124" ht="12" customHeight="1" x14ac:dyDescent="0.2">
      <c r="A24" s="1"/>
      <c r="B24" s="25"/>
      <c r="C24" s="67"/>
      <c r="D24" s="68">
        <v>1.6</v>
      </c>
      <c r="E24" s="85">
        <f t="shared" si="2"/>
        <v>9.5699999999999993E-2</v>
      </c>
      <c r="F24" s="85">
        <f t="shared" si="3"/>
        <v>8.3809999999999996E-2</v>
      </c>
      <c r="G24" s="85">
        <f t="shared" si="4"/>
        <v>0</v>
      </c>
      <c r="H24" s="85">
        <f t="shared" si="5"/>
        <v>4.147E-2</v>
      </c>
      <c r="I24" s="85">
        <f t="shared" si="6"/>
        <v>0</v>
      </c>
      <c r="J24" s="85">
        <f t="shared" si="7"/>
        <v>0.34375</v>
      </c>
      <c r="K24" s="85">
        <f t="shared" si="8"/>
        <v>0</v>
      </c>
      <c r="L24" s="85">
        <f t="shared" si="9"/>
        <v>0.25</v>
      </c>
      <c r="M24" s="85">
        <f t="shared" si="10"/>
        <v>0</v>
      </c>
      <c r="N24" s="1"/>
      <c r="P24" s="15"/>
      <c r="Q24" s="28"/>
      <c r="R24" s="35">
        <v>1.6</v>
      </c>
      <c r="S24" s="37">
        <v>9.5699999999999993E-2</v>
      </c>
      <c r="T24" s="32">
        <v>8.3809999999999996E-2</v>
      </c>
      <c r="U24" s="30">
        <v>0</v>
      </c>
      <c r="V24" s="32">
        <v>4.147E-2</v>
      </c>
      <c r="W24" s="33">
        <v>0</v>
      </c>
      <c r="X24" s="32">
        <v>0.34375</v>
      </c>
      <c r="Y24" s="30">
        <v>0</v>
      </c>
      <c r="Z24" s="32">
        <v>0.25</v>
      </c>
      <c r="AA24" s="33">
        <v>0</v>
      </c>
      <c r="AC24" s="15"/>
      <c r="AD24" s="28"/>
      <c r="AE24" s="35">
        <v>1.6</v>
      </c>
      <c r="AF24" s="37">
        <v>9.9699999999999997E-2</v>
      </c>
      <c r="AG24" s="32">
        <f>1/12.7</f>
        <v>7.874015748031496E-2</v>
      </c>
      <c r="AH24" s="30">
        <v>0</v>
      </c>
      <c r="AI24" s="32">
        <f>1/36.1</f>
        <v>2.7700831024930747E-2</v>
      </c>
      <c r="AJ24" s="33">
        <v>0</v>
      </c>
      <c r="AK24" s="32">
        <v>0.34375</v>
      </c>
      <c r="AL24" s="30">
        <v>0</v>
      </c>
      <c r="AM24" s="32">
        <v>0.25</v>
      </c>
      <c r="AN24" s="33">
        <v>0</v>
      </c>
      <c r="AP24" s="15"/>
      <c r="AQ24" s="28"/>
      <c r="AR24" s="35">
        <v>1.6</v>
      </c>
      <c r="AS24" s="45">
        <f t="shared" si="16"/>
        <v>9.5711999999999992E-2</v>
      </c>
      <c r="AT24" s="32">
        <f>1/11.9</f>
        <v>8.4033613445378144E-2</v>
      </c>
      <c r="AU24" s="30">
        <v>0</v>
      </c>
      <c r="AV24" s="32">
        <f t="shared" si="25"/>
        <v>4.2553191489361701E-2</v>
      </c>
      <c r="AW24" s="33">
        <v>0</v>
      </c>
      <c r="AX24" s="32">
        <v>0.34375</v>
      </c>
      <c r="AY24" s="30">
        <v>0</v>
      </c>
      <c r="AZ24" s="32">
        <v>0.25</v>
      </c>
      <c r="BA24" s="33">
        <v>0</v>
      </c>
      <c r="BC24" s="25"/>
      <c r="BD24" s="47"/>
      <c r="BE24" s="48">
        <v>1.6</v>
      </c>
      <c r="BF24" s="49">
        <v>9.764864000000005E-2</v>
      </c>
      <c r="BG24" s="50">
        <v>8.2600000000000007E-2</v>
      </c>
      <c r="BH24" s="51">
        <v>0</v>
      </c>
      <c r="BI24" s="50">
        <v>3.7376000000000006E-2</v>
      </c>
      <c r="BJ24" s="52">
        <v>0</v>
      </c>
      <c r="BK24" s="32">
        <v>0.34375</v>
      </c>
      <c r="BL24" s="30">
        <v>0</v>
      </c>
      <c r="BM24" s="32">
        <v>0.25</v>
      </c>
      <c r="BN24" s="33">
        <v>0</v>
      </c>
      <c r="BP24" s="15"/>
      <c r="BQ24" s="28"/>
      <c r="BR24" s="35">
        <v>1.6</v>
      </c>
      <c r="BS24" s="45">
        <f t="shared" si="17"/>
        <v>9.727755445970146E-2</v>
      </c>
      <c r="BT24" s="78">
        <f t="shared" si="11"/>
        <v>7.7822043567761165E-2</v>
      </c>
      <c r="BU24" s="79">
        <v>0</v>
      </c>
      <c r="BV24" s="78">
        <f t="shared" si="12"/>
        <v>3.0399235768656701E-2</v>
      </c>
      <c r="BW24" s="80">
        <v>0</v>
      </c>
      <c r="BX24" s="32">
        <v>0.34375</v>
      </c>
      <c r="BY24" s="30">
        <v>0</v>
      </c>
      <c r="BZ24" s="32">
        <v>0.25</v>
      </c>
      <c r="CA24" s="33">
        <v>0</v>
      </c>
      <c r="CB24" s="37">
        <f t="shared" si="13"/>
        <v>0.86761279389959756</v>
      </c>
      <c r="CC24" s="37">
        <f t="shared" si="18"/>
        <v>0.13238720610040244</v>
      </c>
      <c r="CD24" s="35">
        <v>8</v>
      </c>
      <c r="CE24" s="35">
        <v>8</v>
      </c>
      <c r="CF24" s="37">
        <f t="shared" si="19"/>
        <v>0.71757396031914156</v>
      </c>
      <c r="CG24" s="37">
        <f t="shared" si="14"/>
        <v>0.71757396031914134</v>
      </c>
      <c r="CI24" s="15"/>
      <c r="CJ24" s="28"/>
      <c r="CK24" s="35">
        <v>1.6</v>
      </c>
      <c r="CL24" s="45">
        <f t="shared" si="15"/>
        <v>9.3386452281313398E-2</v>
      </c>
      <c r="CM24" s="78">
        <f t="shared" si="20"/>
        <v>8.3901890721492511E-2</v>
      </c>
      <c r="CN24" s="79">
        <v>0</v>
      </c>
      <c r="CO24" s="78">
        <f t="shared" si="21"/>
        <v>4.5963644482208937E-2</v>
      </c>
      <c r="CP24" s="80">
        <v>0</v>
      </c>
      <c r="CQ24" s="32">
        <v>0.34375</v>
      </c>
      <c r="CR24" s="30">
        <v>0</v>
      </c>
      <c r="CS24" s="32">
        <v>0.25</v>
      </c>
      <c r="CT24" s="33">
        <v>0</v>
      </c>
      <c r="CV24" s="25"/>
      <c r="CW24" s="47"/>
      <c r="CX24" s="48">
        <v>1.6</v>
      </c>
      <c r="CY24" s="45">
        <f t="shared" si="22"/>
        <v>9.9896306905370907E-2</v>
      </c>
      <c r="CZ24" s="78">
        <f t="shared" si="23"/>
        <v>7.8765831202046055E-2</v>
      </c>
      <c r="DA24" s="51">
        <v>0</v>
      </c>
      <c r="DB24" s="78">
        <f t="shared" si="24"/>
        <v>2.5561125319693106E-2</v>
      </c>
      <c r="DC24" s="52">
        <v>0</v>
      </c>
      <c r="DD24" s="32">
        <v>0.34375</v>
      </c>
      <c r="DE24" s="30">
        <v>0</v>
      </c>
      <c r="DF24" s="32">
        <v>0.25</v>
      </c>
      <c r="DG24" s="33">
        <v>0</v>
      </c>
      <c r="DI24" s="25"/>
      <c r="DJ24" s="47"/>
      <c r="DK24" s="48">
        <v>1.6</v>
      </c>
      <c r="DL24" s="49">
        <v>9.7100000000000006E-2</v>
      </c>
      <c r="DM24" s="50">
        <v>8.2599999999999993E-2</v>
      </c>
      <c r="DN24" s="51">
        <v>0</v>
      </c>
      <c r="DO24" s="50">
        <v>3.7400000000000003E-2</v>
      </c>
      <c r="DP24" s="52">
        <v>0</v>
      </c>
      <c r="DQ24" s="32">
        <v>0.34375</v>
      </c>
      <c r="DR24" s="30">
        <v>0</v>
      </c>
      <c r="DS24" s="32">
        <v>0.25</v>
      </c>
      <c r="DT24" s="33">
        <v>0</v>
      </c>
    </row>
    <row r="25" spans="1:124" ht="12" customHeight="1" x14ac:dyDescent="0.2">
      <c r="A25" s="1"/>
      <c r="B25" s="25"/>
      <c r="C25" s="67"/>
      <c r="D25" s="68">
        <v>1.7</v>
      </c>
      <c r="E25" s="85">
        <f t="shared" si="2"/>
        <v>0.1018</v>
      </c>
      <c r="F25" s="85">
        <f t="shared" si="3"/>
        <v>8.8599999999999998E-2</v>
      </c>
      <c r="G25" s="85">
        <f t="shared" si="4"/>
        <v>0</v>
      </c>
      <c r="H25" s="85">
        <f t="shared" si="5"/>
        <v>4.0370000000000003E-2</v>
      </c>
      <c r="I25" s="85">
        <f t="shared" si="6"/>
        <v>0</v>
      </c>
      <c r="J25" s="85">
        <f t="shared" si="7"/>
        <v>0.3529411764705882</v>
      </c>
      <c r="K25" s="85">
        <f t="shared" si="8"/>
        <v>0</v>
      </c>
      <c r="L25" s="85">
        <f t="shared" si="9"/>
        <v>0.25</v>
      </c>
      <c r="M25" s="85">
        <f t="shared" si="10"/>
        <v>0</v>
      </c>
      <c r="N25" s="1"/>
      <c r="P25" s="15"/>
      <c r="Q25" s="28"/>
      <c r="R25" s="35">
        <v>1.7</v>
      </c>
      <c r="S25" s="37">
        <v>0.1018</v>
      </c>
      <c r="T25" s="32">
        <v>8.8599999999999998E-2</v>
      </c>
      <c r="U25" s="30">
        <v>0</v>
      </c>
      <c r="V25" s="32">
        <v>4.0370000000000003E-2</v>
      </c>
      <c r="W25" s="33">
        <v>0</v>
      </c>
      <c r="X25" s="32">
        <v>0.3529411764705882</v>
      </c>
      <c r="Y25" s="30">
        <v>0</v>
      </c>
      <c r="Z25" s="32">
        <v>0.25</v>
      </c>
      <c r="AA25" s="33">
        <v>0</v>
      </c>
      <c r="AC25" s="15"/>
      <c r="AD25" s="28"/>
      <c r="AE25" s="35">
        <v>1.7</v>
      </c>
      <c r="AF25" s="37">
        <v>0.106</v>
      </c>
      <c r="AG25" s="32">
        <f>1/11.9</f>
        <v>8.4033613445378144E-2</v>
      </c>
      <c r="AH25" s="30">
        <v>0</v>
      </c>
      <c r="AI25" s="32">
        <f>1/37.3</f>
        <v>2.6809651474530832E-2</v>
      </c>
      <c r="AJ25" s="33">
        <v>0</v>
      </c>
      <c r="AK25" s="32">
        <v>0.3529411764705882</v>
      </c>
      <c r="AL25" s="30">
        <v>0</v>
      </c>
      <c r="AM25" s="32">
        <v>0.25</v>
      </c>
      <c r="AN25" s="33">
        <v>0</v>
      </c>
      <c r="AP25" s="15"/>
      <c r="AQ25" s="28"/>
      <c r="AR25" s="35">
        <v>1.7</v>
      </c>
      <c r="AS25" s="45">
        <f t="shared" si="16"/>
        <v>0.10175999999999999</v>
      </c>
      <c r="AT25" s="32">
        <f>1/11.2</f>
        <v>8.9285714285714288E-2</v>
      </c>
      <c r="AU25" s="30">
        <v>0</v>
      </c>
      <c r="AV25" s="32">
        <f t="shared" si="25"/>
        <v>4.2553191489361701E-2</v>
      </c>
      <c r="AW25" s="33">
        <v>0</v>
      </c>
      <c r="AX25" s="32">
        <v>0.3529411764705882</v>
      </c>
      <c r="AY25" s="30">
        <v>0</v>
      </c>
      <c r="AZ25" s="32">
        <v>0.25</v>
      </c>
      <c r="BA25" s="33">
        <v>0</v>
      </c>
      <c r="BC25" s="25"/>
      <c r="BD25" s="47"/>
      <c r="BE25" s="48">
        <v>1.7</v>
      </c>
      <c r="BF25" s="49">
        <v>0.10356603999999997</v>
      </c>
      <c r="BG25" s="50">
        <v>8.7400000000000005E-2</v>
      </c>
      <c r="BH25" s="51">
        <v>0</v>
      </c>
      <c r="BI25" s="50">
        <v>3.5835999999999993E-2</v>
      </c>
      <c r="BJ25" s="52">
        <v>0</v>
      </c>
      <c r="BK25" s="32">
        <v>0.3529411764705882</v>
      </c>
      <c r="BL25" s="30">
        <v>0</v>
      </c>
      <c r="BM25" s="32">
        <v>0.25</v>
      </c>
      <c r="BN25" s="33">
        <v>0</v>
      </c>
      <c r="BP25" s="15"/>
      <c r="BQ25" s="28"/>
      <c r="BR25" s="35">
        <v>1.7</v>
      </c>
      <c r="BS25" s="45">
        <f t="shared" si="17"/>
        <v>0.10360782247424981</v>
      </c>
      <c r="BT25" s="78">
        <f t="shared" si="11"/>
        <v>8.2886257979399858E-2</v>
      </c>
      <c r="BU25" s="79">
        <v>0</v>
      </c>
      <c r="BV25" s="78">
        <f t="shared" si="12"/>
        <v>2.868036608283733E-2</v>
      </c>
      <c r="BW25" s="80">
        <v>0</v>
      </c>
      <c r="BX25" s="32">
        <v>0.3529411764705882</v>
      </c>
      <c r="BY25" s="30">
        <v>0</v>
      </c>
      <c r="BZ25" s="32">
        <v>0.25</v>
      </c>
      <c r="CA25" s="33">
        <v>0</v>
      </c>
      <c r="CB25" s="37">
        <f t="shared" si="13"/>
        <v>0.89307214422429182</v>
      </c>
      <c r="CC25" s="37">
        <f t="shared" si="18"/>
        <v>0.10692785577570818</v>
      </c>
      <c r="CD25" s="35">
        <v>8</v>
      </c>
      <c r="CE25" s="35">
        <v>8</v>
      </c>
      <c r="CF25" s="37">
        <f t="shared" si="19"/>
        <v>0.74248208067350285</v>
      </c>
      <c r="CG25" s="37">
        <f t="shared" si="14"/>
        <v>0.74248208067350285</v>
      </c>
      <c r="CI25" s="15"/>
      <c r="CJ25" s="28"/>
      <c r="CK25" s="35">
        <v>1.7</v>
      </c>
      <c r="CL25" s="45">
        <f t="shared" si="15"/>
        <v>9.9463509575279815E-2</v>
      </c>
      <c r="CM25" s="78">
        <f t="shared" si="20"/>
        <v>8.8622331195967324E-2</v>
      </c>
      <c r="CN25" s="79">
        <v>0</v>
      </c>
      <c r="CO25" s="78">
        <f t="shared" si="21"/>
        <v>4.5257617678717305E-2</v>
      </c>
      <c r="CP25" s="80">
        <v>0</v>
      </c>
      <c r="CQ25" s="32">
        <v>0.3529411764705882</v>
      </c>
      <c r="CR25" s="30">
        <v>0</v>
      </c>
      <c r="CS25" s="32">
        <v>0.25</v>
      </c>
      <c r="CT25" s="33">
        <v>0</v>
      </c>
      <c r="CV25" s="25"/>
      <c r="CW25" s="47"/>
      <c r="CX25" s="48">
        <v>1.7</v>
      </c>
      <c r="CY25" s="45">
        <f t="shared" si="22"/>
        <v>0.10594991304347824</v>
      </c>
      <c r="CZ25" s="78">
        <f t="shared" si="23"/>
        <v>8.3912634271099754E-2</v>
      </c>
      <c r="DA25" s="51">
        <v>0</v>
      </c>
      <c r="DB25" s="78">
        <f t="shared" si="24"/>
        <v>2.3249104859335033E-2</v>
      </c>
      <c r="DC25" s="52">
        <v>0</v>
      </c>
      <c r="DD25" s="32">
        <v>0.3529411764705882</v>
      </c>
      <c r="DE25" s="30">
        <v>0</v>
      </c>
      <c r="DF25" s="32">
        <v>0.25</v>
      </c>
      <c r="DG25" s="33">
        <v>0</v>
      </c>
      <c r="DI25" s="25"/>
      <c r="DJ25" s="47"/>
      <c r="DK25" s="48">
        <v>1.7</v>
      </c>
      <c r="DL25" s="49">
        <v>0.10339999999999999</v>
      </c>
      <c r="DM25" s="50">
        <v>8.7400000000000005E-2</v>
      </c>
      <c r="DN25" s="51">
        <v>0</v>
      </c>
      <c r="DO25" s="50">
        <v>3.5799999999999998E-2</v>
      </c>
      <c r="DP25" s="52">
        <v>0</v>
      </c>
      <c r="DQ25" s="32">
        <v>0.3529411764705882</v>
      </c>
      <c r="DR25" s="30">
        <v>0</v>
      </c>
      <c r="DS25" s="32">
        <v>0.25</v>
      </c>
      <c r="DT25" s="33">
        <v>0</v>
      </c>
    </row>
    <row r="26" spans="1:124" ht="12" customHeight="1" x14ac:dyDescent="0.2">
      <c r="A26" s="1"/>
      <c r="B26" s="25"/>
      <c r="C26" s="67"/>
      <c r="D26" s="68">
        <v>1.8</v>
      </c>
      <c r="E26" s="85">
        <f t="shared" si="2"/>
        <v>0.10730000000000001</v>
      </c>
      <c r="F26" s="85">
        <f t="shared" si="3"/>
        <v>9.289E-2</v>
      </c>
      <c r="G26" s="85">
        <f t="shared" si="4"/>
        <v>0</v>
      </c>
      <c r="H26" s="85">
        <f t="shared" si="5"/>
        <v>3.9510000000000003E-2</v>
      </c>
      <c r="I26" s="85">
        <f t="shared" si="6"/>
        <v>0</v>
      </c>
      <c r="J26" s="85">
        <f t="shared" si="7"/>
        <v>0.3611111111111111</v>
      </c>
      <c r="K26" s="85">
        <f t="shared" si="8"/>
        <v>0</v>
      </c>
      <c r="L26" s="85">
        <f t="shared" si="9"/>
        <v>0.25</v>
      </c>
      <c r="M26" s="85">
        <f t="shared" si="10"/>
        <v>0</v>
      </c>
      <c r="N26" s="1"/>
      <c r="P26" s="15"/>
      <c r="Q26" s="28"/>
      <c r="R26" s="35">
        <v>1.8</v>
      </c>
      <c r="S26" s="37">
        <v>0.10730000000000001</v>
      </c>
      <c r="T26" s="32">
        <v>9.289E-2</v>
      </c>
      <c r="U26" s="30">
        <v>0</v>
      </c>
      <c r="V26" s="32">
        <v>3.9510000000000003E-2</v>
      </c>
      <c r="W26" s="33">
        <v>0</v>
      </c>
      <c r="X26" s="32">
        <v>0.3611111111111111</v>
      </c>
      <c r="Y26" s="30">
        <v>0</v>
      </c>
      <c r="Z26" s="32">
        <v>0.25</v>
      </c>
      <c r="AA26" s="33">
        <v>0</v>
      </c>
      <c r="AC26" s="15"/>
      <c r="AD26" s="28"/>
      <c r="AE26" s="35">
        <v>1.8</v>
      </c>
      <c r="AF26" s="37">
        <v>0.1118</v>
      </c>
      <c r="AG26" s="32">
        <f>1/11.3</f>
        <v>8.8495575221238937E-2</v>
      </c>
      <c r="AH26" s="30">
        <v>0</v>
      </c>
      <c r="AI26" s="32">
        <f>1/38.5</f>
        <v>2.5974025974025976E-2</v>
      </c>
      <c r="AJ26" s="33">
        <v>0</v>
      </c>
      <c r="AK26" s="32">
        <v>0.3611111111111111</v>
      </c>
      <c r="AL26" s="30">
        <v>0</v>
      </c>
      <c r="AM26" s="32">
        <v>0.25</v>
      </c>
      <c r="AN26" s="33">
        <v>0</v>
      </c>
      <c r="AP26" s="15"/>
      <c r="AQ26" s="28"/>
      <c r="AR26" s="35">
        <v>1.8</v>
      </c>
      <c r="AS26" s="45">
        <f t="shared" si="16"/>
        <v>0.10732799999999999</v>
      </c>
      <c r="AT26" s="32">
        <f>1/10.7</f>
        <v>9.3457943925233655E-2</v>
      </c>
      <c r="AU26" s="30">
        <v>0</v>
      </c>
      <c r="AV26" s="32">
        <f t="shared" si="25"/>
        <v>4.2553191489361701E-2</v>
      </c>
      <c r="AW26" s="33">
        <v>0</v>
      </c>
      <c r="AX26" s="32">
        <v>0.3611111111111111</v>
      </c>
      <c r="AY26" s="30">
        <v>0</v>
      </c>
      <c r="AZ26" s="32">
        <v>0.25</v>
      </c>
      <c r="BA26" s="33">
        <v>0</v>
      </c>
      <c r="BC26" s="25"/>
      <c r="BD26" s="47"/>
      <c r="BE26" s="48">
        <v>1.8</v>
      </c>
      <c r="BF26" s="49">
        <v>0.11022480000000003</v>
      </c>
      <c r="BG26" s="50">
        <v>9.1600000000000001E-2</v>
      </c>
      <c r="BH26" s="51">
        <v>0</v>
      </c>
      <c r="BI26" s="50">
        <v>3.4667999999999997E-2</v>
      </c>
      <c r="BJ26" s="52">
        <v>0</v>
      </c>
      <c r="BK26" s="32">
        <v>0.3611111111111111</v>
      </c>
      <c r="BL26" s="30">
        <v>0</v>
      </c>
      <c r="BM26" s="32">
        <v>0.25</v>
      </c>
      <c r="BN26" s="33">
        <v>0</v>
      </c>
      <c r="BP26" s="15"/>
      <c r="BQ26" s="28"/>
      <c r="BR26" s="35">
        <v>1.8</v>
      </c>
      <c r="BS26" s="45">
        <f t="shared" si="17"/>
        <v>0.1091590801698985</v>
      </c>
      <c r="BT26" s="78">
        <f t="shared" si="11"/>
        <v>8.7327264135918792E-2</v>
      </c>
      <c r="BU26" s="79">
        <v>0</v>
      </c>
      <c r="BV26" s="78">
        <f t="shared" si="12"/>
        <v>2.6952859301209518E-2</v>
      </c>
      <c r="BW26" s="80">
        <v>0</v>
      </c>
      <c r="BX26" s="32">
        <v>0.3611111111111111</v>
      </c>
      <c r="BY26" s="30">
        <v>0</v>
      </c>
      <c r="BZ26" s="32">
        <v>0.25</v>
      </c>
      <c r="CA26" s="33">
        <v>0</v>
      </c>
      <c r="CB26" s="37">
        <f t="shared" si="13"/>
        <v>0.91302532702477035</v>
      </c>
      <c r="CC26" s="37">
        <f t="shared" si="18"/>
        <v>8.697467297522965E-2</v>
      </c>
      <c r="CD26" s="35">
        <v>8</v>
      </c>
      <c r="CE26" s="35">
        <v>8</v>
      </c>
      <c r="CF26" s="37">
        <f t="shared" si="19"/>
        <v>0.76516838296688006</v>
      </c>
      <c r="CG26" s="37">
        <f t="shared" si="14"/>
        <v>0.76516838296687995</v>
      </c>
      <c r="CI26" s="15"/>
      <c r="CJ26" s="28"/>
      <c r="CK26" s="35">
        <v>1.8</v>
      </c>
      <c r="CL26" s="45">
        <f t="shared" si="15"/>
        <v>0.10479271696310256</v>
      </c>
      <c r="CM26" s="78">
        <f t="shared" si="20"/>
        <v>9.2717835996160694E-2</v>
      </c>
      <c r="CN26" s="79">
        <v>0</v>
      </c>
      <c r="CO26" s="78">
        <f t="shared" si="21"/>
        <v>4.4418312128393277E-2</v>
      </c>
      <c r="CP26" s="80">
        <v>0</v>
      </c>
      <c r="CQ26" s="32">
        <v>0.3611111111111111</v>
      </c>
      <c r="CR26" s="30">
        <v>0</v>
      </c>
      <c r="CS26" s="32">
        <v>0.25</v>
      </c>
      <c r="CT26" s="33">
        <v>0</v>
      </c>
      <c r="CV26" s="25"/>
      <c r="CW26" s="47"/>
      <c r="CX26" s="48">
        <v>1.8</v>
      </c>
      <c r="CY26" s="45">
        <f t="shared" si="22"/>
        <v>0.11276194373401538</v>
      </c>
      <c r="CZ26" s="78">
        <f t="shared" si="23"/>
        <v>8.8388542199488496E-2</v>
      </c>
      <c r="DA26" s="51">
        <v>0</v>
      </c>
      <c r="DB26" s="78">
        <f t="shared" si="24"/>
        <v>2.1409718670076724E-2</v>
      </c>
      <c r="DC26" s="52">
        <v>0</v>
      </c>
      <c r="DD26" s="32">
        <v>0.3611111111111111</v>
      </c>
      <c r="DE26" s="30">
        <v>0</v>
      </c>
      <c r="DF26" s="32">
        <v>0.25</v>
      </c>
      <c r="DG26" s="33">
        <v>0</v>
      </c>
      <c r="DI26" s="25"/>
      <c r="DJ26" s="47"/>
      <c r="DK26" s="48">
        <v>1.8</v>
      </c>
      <c r="DL26" s="49">
        <v>0.1091</v>
      </c>
      <c r="DM26" s="50">
        <v>9.1600000000000001E-2</v>
      </c>
      <c r="DN26" s="51">
        <v>0</v>
      </c>
      <c r="DO26" s="50">
        <v>3.4700000000000002E-2</v>
      </c>
      <c r="DP26" s="52">
        <v>0</v>
      </c>
      <c r="DQ26" s="32">
        <v>0.3611111111111111</v>
      </c>
      <c r="DR26" s="30">
        <v>0</v>
      </c>
      <c r="DS26" s="32">
        <v>0.25</v>
      </c>
      <c r="DT26" s="33">
        <v>0</v>
      </c>
    </row>
    <row r="27" spans="1:124" ht="12" customHeight="1" x14ac:dyDescent="0.2">
      <c r="A27" s="1"/>
      <c r="B27" s="25"/>
      <c r="C27" s="67"/>
      <c r="D27" s="68">
        <v>1.9</v>
      </c>
      <c r="E27" s="85">
        <f t="shared" si="2"/>
        <v>0.1123</v>
      </c>
      <c r="F27" s="85">
        <f t="shared" si="3"/>
        <v>9.6729999999999997E-2</v>
      </c>
      <c r="G27" s="85">
        <f t="shared" si="4"/>
        <v>0</v>
      </c>
      <c r="H27" s="85">
        <f t="shared" si="5"/>
        <v>3.8879999999999998E-2</v>
      </c>
      <c r="I27" s="85">
        <f t="shared" si="6"/>
        <v>0</v>
      </c>
      <c r="J27" s="85">
        <f t="shared" si="7"/>
        <v>0.36842105263157898</v>
      </c>
      <c r="K27" s="85">
        <f t="shared" si="8"/>
        <v>0</v>
      </c>
      <c r="L27" s="85">
        <f t="shared" si="9"/>
        <v>0.25</v>
      </c>
      <c r="M27" s="85">
        <f t="shared" si="10"/>
        <v>0</v>
      </c>
      <c r="N27" s="1"/>
      <c r="P27" s="15"/>
      <c r="Q27" s="28"/>
      <c r="R27" s="35">
        <v>1.9</v>
      </c>
      <c r="S27" s="37">
        <v>0.1123</v>
      </c>
      <c r="T27" s="32">
        <v>9.6729999999999997E-2</v>
      </c>
      <c r="U27" s="30">
        <v>0</v>
      </c>
      <c r="V27" s="32">
        <v>3.8879999999999998E-2</v>
      </c>
      <c r="W27" s="33">
        <v>0</v>
      </c>
      <c r="X27" s="32">
        <v>0.36842105263157898</v>
      </c>
      <c r="Y27" s="30">
        <v>0</v>
      </c>
      <c r="Z27" s="32">
        <v>0.25</v>
      </c>
      <c r="AA27" s="33">
        <v>0</v>
      </c>
      <c r="AC27" s="15"/>
      <c r="AD27" s="28"/>
      <c r="AE27" s="35">
        <v>1.9</v>
      </c>
      <c r="AF27" s="37">
        <v>0.1169</v>
      </c>
      <c r="AG27" s="32">
        <f>1/10.8</f>
        <v>9.2592592592592587E-2</v>
      </c>
      <c r="AH27" s="30">
        <v>0</v>
      </c>
      <c r="AI27" s="32">
        <f>1/39.4</f>
        <v>2.5380710659898477E-2</v>
      </c>
      <c r="AJ27" s="33">
        <v>0</v>
      </c>
      <c r="AK27" s="32">
        <v>0.36842105263157898</v>
      </c>
      <c r="AL27" s="30">
        <v>0</v>
      </c>
      <c r="AM27" s="32">
        <v>0.25</v>
      </c>
      <c r="AN27" s="33">
        <v>0</v>
      </c>
      <c r="AP27" s="15"/>
      <c r="AQ27" s="28"/>
      <c r="AR27" s="35">
        <v>1.9</v>
      </c>
      <c r="AS27" s="45">
        <f t="shared" si="16"/>
        <v>0.112224</v>
      </c>
      <c r="AT27" s="32">
        <f>1/10.2</f>
        <v>9.8039215686274522E-2</v>
      </c>
      <c r="AU27" s="30">
        <v>0</v>
      </c>
      <c r="AV27" s="32">
        <f t="shared" si="25"/>
        <v>4.2553191489361701E-2</v>
      </c>
      <c r="AW27" s="33">
        <v>0</v>
      </c>
      <c r="AX27" s="32">
        <v>0.36842105263157898</v>
      </c>
      <c r="AY27" s="30">
        <v>0</v>
      </c>
      <c r="AZ27" s="32">
        <v>0.25</v>
      </c>
      <c r="BA27" s="33">
        <v>0</v>
      </c>
      <c r="BC27" s="25"/>
      <c r="BD27" s="47"/>
      <c r="BE27" s="48">
        <v>1.9</v>
      </c>
      <c r="BF27" s="49">
        <v>0.11468247999999999</v>
      </c>
      <c r="BG27" s="50">
        <v>9.5399999999999999E-2</v>
      </c>
      <c r="BH27" s="51">
        <v>0</v>
      </c>
      <c r="BI27" s="50">
        <v>3.2850999999999998E-2</v>
      </c>
      <c r="BJ27" s="52">
        <v>0</v>
      </c>
      <c r="BK27" s="32">
        <v>0.36842105263157898</v>
      </c>
      <c r="BL27" s="30">
        <v>0</v>
      </c>
      <c r="BM27" s="32">
        <v>0.25</v>
      </c>
      <c r="BN27" s="33">
        <v>0</v>
      </c>
      <c r="BP27" s="15"/>
      <c r="BQ27" s="28"/>
      <c r="BR27" s="35">
        <v>1.9</v>
      </c>
      <c r="BS27" s="45">
        <f t="shared" si="17"/>
        <v>0.11400374025011922</v>
      </c>
      <c r="BT27" s="78">
        <f t="shared" si="11"/>
        <v>9.1202992200095381E-2</v>
      </c>
      <c r="BU27" s="79">
        <v>0</v>
      </c>
      <c r="BV27" s="78">
        <f t="shared" si="12"/>
        <v>2.5263986759029203E-2</v>
      </c>
      <c r="BW27" s="80">
        <v>0</v>
      </c>
      <c r="BX27" s="32">
        <v>0.36842105263157898</v>
      </c>
      <c r="BY27" s="30">
        <v>0</v>
      </c>
      <c r="BZ27" s="32">
        <v>0.25</v>
      </c>
      <c r="CA27" s="33">
        <v>0</v>
      </c>
      <c r="CB27" s="37">
        <f t="shared" si="13"/>
        <v>0.92873482942681418</v>
      </c>
      <c r="CC27" s="37">
        <f t="shared" si="18"/>
        <v>7.1265170573185821E-2</v>
      </c>
      <c r="CD27" s="35">
        <v>8</v>
      </c>
      <c r="CE27" s="35">
        <v>8</v>
      </c>
      <c r="CF27" s="37">
        <f t="shared" si="19"/>
        <v>0.7856106118589995</v>
      </c>
      <c r="CG27" s="37">
        <f t="shared" si="14"/>
        <v>0.78561061185899927</v>
      </c>
      <c r="CI27" s="15"/>
      <c r="CJ27" s="28"/>
      <c r="CK27" s="35">
        <v>1.9</v>
      </c>
      <c r="CL27" s="45">
        <f t="shared" si="15"/>
        <v>0.10944359064011445</v>
      </c>
      <c r="CM27" s="78">
        <f t="shared" si="20"/>
        <v>9.6255789551901227E-2</v>
      </c>
      <c r="CN27" s="79">
        <v>0</v>
      </c>
      <c r="CO27" s="78">
        <f t="shared" si="21"/>
        <v>4.3504585199048276E-2</v>
      </c>
      <c r="CP27" s="80">
        <v>0</v>
      </c>
      <c r="CQ27" s="32">
        <v>0.36842105263157898</v>
      </c>
      <c r="CR27" s="30">
        <v>0</v>
      </c>
      <c r="CS27" s="32">
        <v>0.25</v>
      </c>
      <c r="CT27" s="33">
        <v>0</v>
      </c>
      <c r="CV27" s="25"/>
      <c r="CW27" s="47"/>
      <c r="CX27" s="48">
        <v>1.9</v>
      </c>
      <c r="CY27" s="45">
        <f t="shared" si="22"/>
        <v>0.11732223017902813</v>
      </c>
      <c r="CZ27" s="78">
        <f t="shared" si="23"/>
        <v>9.2554833759590796E-2</v>
      </c>
      <c r="DA27" s="51">
        <v>0</v>
      </c>
      <c r="DB27" s="78">
        <f t="shared" si="24"/>
        <v>1.8967774936061381E-2</v>
      </c>
      <c r="DC27" s="52">
        <v>0</v>
      </c>
      <c r="DD27" s="32">
        <v>0.36842105263157898</v>
      </c>
      <c r="DE27" s="30">
        <v>0</v>
      </c>
      <c r="DF27" s="32">
        <v>0.25</v>
      </c>
      <c r="DG27" s="33">
        <v>0</v>
      </c>
      <c r="DI27" s="25"/>
      <c r="DJ27" s="47"/>
      <c r="DK27" s="48">
        <v>1.9</v>
      </c>
      <c r="DL27" s="49">
        <v>0.11410000000000001</v>
      </c>
      <c r="DM27" s="50">
        <v>9.5399999999999985E-2</v>
      </c>
      <c r="DN27" s="51">
        <v>0</v>
      </c>
      <c r="DO27" s="50">
        <v>3.2899999999999999E-2</v>
      </c>
      <c r="DP27" s="52">
        <v>0</v>
      </c>
      <c r="DQ27" s="32">
        <v>0.36842105263157898</v>
      </c>
      <c r="DR27" s="30">
        <v>0</v>
      </c>
      <c r="DS27" s="32">
        <v>0.25</v>
      </c>
      <c r="DT27" s="33">
        <v>0</v>
      </c>
    </row>
    <row r="28" spans="1:124" ht="12" customHeight="1" x14ac:dyDescent="0.2">
      <c r="A28" s="1"/>
      <c r="B28" s="25"/>
      <c r="C28" s="67"/>
      <c r="D28" s="68">
        <v>2</v>
      </c>
      <c r="E28" s="85">
        <f t="shared" si="2"/>
        <v>0.1167</v>
      </c>
      <c r="F28" s="85">
        <f t="shared" si="3"/>
        <v>0.10009999999999999</v>
      </c>
      <c r="G28" s="85">
        <f t="shared" si="4"/>
        <v>0</v>
      </c>
      <c r="H28" s="85">
        <f t="shared" si="5"/>
        <v>3.832E-2</v>
      </c>
      <c r="I28" s="85">
        <f t="shared" si="6"/>
        <v>0</v>
      </c>
      <c r="J28" s="85">
        <f t="shared" si="7"/>
        <v>0.375</v>
      </c>
      <c r="K28" s="85">
        <f t="shared" si="8"/>
        <v>0</v>
      </c>
      <c r="L28" s="85">
        <f t="shared" si="9"/>
        <v>0.25</v>
      </c>
      <c r="M28" s="85">
        <f t="shared" si="10"/>
        <v>0</v>
      </c>
      <c r="N28" s="1"/>
      <c r="P28" s="15"/>
      <c r="Q28" s="28"/>
      <c r="R28" s="35">
        <v>2</v>
      </c>
      <c r="S28" s="37">
        <v>0.1167</v>
      </c>
      <c r="T28" s="32">
        <v>0.10009999999999999</v>
      </c>
      <c r="U28" s="30">
        <v>0</v>
      </c>
      <c r="V28" s="32">
        <v>3.832E-2</v>
      </c>
      <c r="W28" s="33">
        <v>0</v>
      </c>
      <c r="X28" s="32">
        <v>0.375</v>
      </c>
      <c r="Y28" s="30">
        <v>0</v>
      </c>
      <c r="Z28" s="32">
        <v>0.25</v>
      </c>
      <c r="AA28" s="33">
        <v>0</v>
      </c>
      <c r="AC28" s="15"/>
      <c r="AD28" s="28"/>
      <c r="AE28" s="35">
        <v>2</v>
      </c>
      <c r="AF28" s="37">
        <v>0.1215</v>
      </c>
      <c r="AG28" s="32">
        <f>1/10.4</f>
        <v>9.6153846153846145E-2</v>
      </c>
      <c r="AH28" s="30">
        <v>0</v>
      </c>
      <c r="AI28" s="32">
        <f>1/40.3</f>
        <v>2.4813895781637719E-2</v>
      </c>
      <c r="AJ28" s="33">
        <v>0</v>
      </c>
      <c r="AK28" s="32">
        <v>0.375</v>
      </c>
      <c r="AL28" s="30">
        <v>0</v>
      </c>
      <c r="AM28" s="32">
        <v>0.25</v>
      </c>
      <c r="AN28" s="33">
        <v>0</v>
      </c>
      <c r="AP28" s="15"/>
      <c r="AQ28" s="28"/>
      <c r="AR28" s="35">
        <v>2</v>
      </c>
      <c r="AS28" s="45">
        <f t="shared" si="16"/>
        <v>0.11663999999999999</v>
      </c>
      <c r="AT28" s="32">
        <f>1/9.9</f>
        <v>0.10101010101010101</v>
      </c>
      <c r="AU28" s="30">
        <v>0</v>
      </c>
      <c r="AV28" s="32">
        <f t="shared" si="25"/>
        <v>4.2553191489361701E-2</v>
      </c>
      <c r="AW28" s="33">
        <v>0</v>
      </c>
      <c r="AX28" s="32">
        <v>0.375</v>
      </c>
      <c r="AY28" s="30">
        <v>0</v>
      </c>
      <c r="AZ28" s="32">
        <v>0.25</v>
      </c>
      <c r="BA28" s="33">
        <v>0</v>
      </c>
      <c r="BC28" s="25"/>
      <c r="BD28" s="47"/>
      <c r="BE28" s="48">
        <v>2</v>
      </c>
      <c r="BF28" s="49">
        <v>0.11840000000000001</v>
      </c>
      <c r="BG28" s="50">
        <v>9.9099999999999994E-2</v>
      </c>
      <c r="BH28" s="51">
        <v>0</v>
      </c>
      <c r="BI28" s="50">
        <v>3.1600000000000003E-2</v>
      </c>
      <c r="BJ28" s="52">
        <v>0</v>
      </c>
      <c r="BK28" s="32">
        <v>0.375</v>
      </c>
      <c r="BL28" s="30">
        <v>0</v>
      </c>
      <c r="BM28" s="32">
        <v>0.25</v>
      </c>
      <c r="BN28" s="33">
        <v>0</v>
      </c>
      <c r="BP28" s="15"/>
      <c r="BQ28" s="28"/>
      <c r="BR28" s="35">
        <v>2</v>
      </c>
      <c r="BS28" s="45">
        <f t="shared" si="17"/>
        <v>0.1182237600922722</v>
      </c>
      <c r="BT28" s="78">
        <f t="shared" si="11"/>
        <v>9.4579008073817764E-2</v>
      </c>
      <c r="BU28" s="79">
        <v>0</v>
      </c>
      <c r="BV28" s="78">
        <f t="shared" si="12"/>
        <v>2.3644752018454444E-2</v>
      </c>
      <c r="BW28" s="80">
        <v>0</v>
      </c>
      <c r="BX28" s="32">
        <v>0.375</v>
      </c>
      <c r="BY28" s="30">
        <v>0</v>
      </c>
      <c r="BZ28" s="32">
        <v>0.25</v>
      </c>
      <c r="CA28" s="33">
        <v>0</v>
      </c>
      <c r="CB28" s="37">
        <f t="shared" si="13"/>
        <v>0.94117647058823528</v>
      </c>
      <c r="CC28" s="37">
        <f t="shared" si="18"/>
        <v>5.8823529411764719E-2</v>
      </c>
      <c r="CD28" s="35">
        <v>8</v>
      </c>
      <c r="CE28" s="35">
        <v>8</v>
      </c>
      <c r="CF28" s="37">
        <f t="shared" si="19"/>
        <v>0.80392156862745101</v>
      </c>
      <c r="CG28" s="37">
        <f t="shared" si="14"/>
        <v>0.8039215686274509</v>
      </c>
      <c r="CI28" s="15"/>
      <c r="CJ28" s="28"/>
      <c r="CK28" s="35">
        <v>2</v>
      </c>
      <c r="CL28" s="45">
        <f t="shared" si="15"/>
        <v>0.11349480968858131</v>
      </c>
      <c r="CM28" s="78">
        <f t="shared" si="20"/>
        <v>9.9307958477508645E-2</v>
      </c>
      <c r="CN28" s="79">
        <v>0</v>
      </c>
      <c r="CO28" s="78">
        <f t="shared" si="21"/>
        <v>4.2560553633218E-2</v>
      </c>
      <c r="CP28" s="80">
        <v>0</v>
      </c>
      <c r="CQ28" s="32">
        <v>0.375</v>
      </c>
      <c r="CR28" s="30">
        <v>0</v>
      </c>
      <c r="CS28" s="32">
        <v>0.25</v>
      </c>
      <c r="CT28" s="33">
        <v>0</v>
      </c>
      <c r="CV28" s="25"/>
      <c r="CW28" s="47"/>
      <c r="CX28" s="48">
        <v>2</v>
      </c>
      <c r="CY28" s="45">
        <f t="shared" si="22"/>
        <v>0.12112531969309465</v>
      </c>
      <c r="CZ28" s="78">
        <f t="shared" si="23"/>
        <v>9.6531969309462923E-2</v>
      </c>
      <c r="DA28" s="51">
        <v>0</v>
      </c>
      <c r="DB28" s="78">
        <f t="shared" si="24"/>
        <v>1.7120204603580571E-2</v>
      </c>
      <c r="DC28" s="52">
        <v>0</v>
      </c>
      <c r="DD28" s="32">
        <v>0.375</v>
      </c>
      <c r="DE28" s="30">
        <v>0</v>
      </c>
      <c r="DF28" s="32">
        <v>0.25</v>
      </c>
      <c r="DG28" s="33">
        <v>0</v>
      </c>
      <c r="DI28" s="25"/>
      <c r="DJ28" s="47"/>
      <c r="DK28" s="48">
        <v>2</v>
      </c>
      <c r="DL28" s="49">
        <v>0.11890000000000001</v>
      </c>
      <c r="DM28" s="50">
        <v>9.9100000000000008E-2</v>
      </c>
      <c r="DN28" s="51">
        <v>0</v>
      </c>
      <c r="DO28" s="50">
        <v>3.1600000000000003E-2</v>
      </c>
      <c r="DP28" s="52">
        <v>0</v>
      </c>
      <c r="DQ28" s="32">
        <v>0.375</v>
      </c>
      <c r="DR28" s="30">
        <v>0</v>
      </c>
      <c r="DS28" s="32">
        <v>0.25</v>
      </c>
      <c r="DT28" s="33">
        <v>0</v>
      </c>
    </row>
    <row r="29" spans="1:124" ht="12" customHeight="1" x14ac:dyDescent="0.2">
      <c r="A29" s="1"/>
      <c r="B29" s="54"/>
      <c r="C29" s="69"/>
      <c r="D29" s="22" t="s">
        <v>128</v>
      </c>
      <c r="E29" s="85">
        <f t="shared" si="2"/>
        <v>0.15</v>
      </c>
      <c r="F29" s="85">
        <f t="shared" si="3"/>
        <v>0.125</v>
      </c>
      <c r="G29" s="85">
        <f t="shared" si="4"/>
        <v>0</v>
      </c>
      <c r="H29" s="85">
        <f t="shared" si="5"/>
        <v>3.832E-2</v>
      </c>
      <c r="I29" s="85">
        <f t="shared" si="6"/>
        <v>0</v>
      </c>
      <c r="J29" s="85">
        <f t="shared" si="7"/>
        <v>0.5</v>
      </c>
      <c r="K29" s="85">
        <f t="shared" si="8"/>
        <v>0</v>
      </c>
      <c r="L29" s="85">
        <f t="shared" si="9"/>
        <v>0.25</v>
      </c>
      <c r="M29" s="85">
        <f t="shared" si="10"/>
        <v>0</v>
      </c>
      <c r="N29" s="1"/>
      <c r="P29" s="15"/>
      <c r="Q29" s="28"/>
      <c r="R29" s="22" t="s">
        <v>128</v>
      </c>
      <c r="S29" s="200">
        <v>0.15</v>
      </c>
      <c r="T29" s="32">
        <v>0.125</v>
      </c>
      <c r="U29" s="30">
        <v>0</v>
      </c>
      <c r="V29" s="32">
        <f>V28</f>
        <v>3.832E-2</v>
      </c>
      <c r="W29" s="33">
        <f>W28</f>
        <v>0</v>
      </c>
      <c r="X29" s="32">
        <v>0.5</v>
      </c>
      <c r="Y29" s="30">
        <v>0</v>
      </c>
      <c r="Z29" s="32">
        <v>0.25</v>
      </c>
      <c r="AA29" s="33">
        <v>0</v>
      </c>
      <c r="AC29" s="15"/>
      <c r="AD29" s="28"/>
      <c r="AE29" s="22" t="s">
        <v>128</v>
      </c>
      <c r="AF29" s="38">
        <v>0.15625</v>
      </c>
      <c r="AG29" s="32">
        <v>0.125</v>
      </c>
      <c r="AH29" s="30">
        <v>0</v>
      </c>
      <c r="AI29" s="32">
        <f>AI28</f>
        <v>2.4813895781637719E-2</v>
      </c>
      <c r="AJ29" s="191">
        <f>AJ28</f>
        <v>0</v>
      </c>
      <c r="AK29" s="32">
        <v>0.5</v>
      </c>
      <c r="AL29" s="30">
        <v>0</v>
      </c>
      <c r="AM29" s="32">
        <v>0.25</v>
      </c>
      <c r="AN29" s="33">
        <v>0</v>
      </c>
      <c r="AP29" s="15"/>
      <c r="AQ29" s="28"/>
      <c r="AR29" s="22" t="s">
        <v>128</v>
      </c>
      <c r="AS29" s="200">
        <v>0.15</v>
      </c>
      <c r="AT29" s="32">
        <f>1/8</f>
        <v>0.125</v>
      </c>
      <c r="AU29" s="30">
        <v>0</v>
      </c>
      <c r="AV29" s="32">
        <f>AV28</f>
        <v>4.2553191489361701E-2</v>
      </c>
      <c r="AW29" s="92">
        <f>AW28</f>
        <v>0</v>
      </c>
      <c r="AX29" s="32">
        <v>0.5</v>
      </c>
      <c r="AY29" s="30">
        <v>0</v>
      </c>
      <c r="AZ29" s="32">
        <v>0.25</v>
      </c>
      <c r="BA29" s="33">
        <v>0</v>
      </c>
      <c r="BC29" s="25"/>
      <c r="BD29" s="47"/>
      <c r="BE29" s="22" t="s">
        <v>128</v>
      </c>
      <c r="BF29" s="202">
        <v>0.15273437500000001</v>
      </c>
      <c r="BG29" s="32">
        <f>1/8</f>
        <v>0.125</v>
      </c>
      <c r="BH29" s="51">
        <v>0</v>
      </c>
      <c r="BI29" s="50">
        <f>BI28</f>
        <v>3.1600000000000003E-2</v>
      </c>
      <c r="BJ29" s="99">
        <f>BJ28</f>
        <v>0</v>
      </c>
      <c r="BK29" s="32">
        <v>0.5</v>
      </c>
      <c r="BL29" s="30">
        <v>0</v>
      </c>
      <c r="BM29" s="32">
        <v>0.25</v>
      </c>
      <c r="BN29" s="33">
        <v>0</v>
      </c>
      <c r="BP29" s="15"/>
      <c r="BQ29" s="28"/>
      <c r="BR29" s="22" t="s">
        <v>128</v>
      </c>
      <c r="BS29" s="38">
        <v>0.15625</v>
      </c>
      <c r="BT29" s="32">
        <f>1/8</f>
        <v>0.125</v>
      </c>
      <c r="BU29" s="30">
        <v>0</v>
      </c>
      <c r="BV29" s="32">
        <f>BV28</f>
        <v>2.3644752018454444E-2</v>
      </c>
      <c r="BW29" s="39">
        <v>0</v>
      </c>
      <c r="BX29" s="32">
        <v>0.5</v>
      </c>
      <c r="BY29" s="30">
        <v>0</v>
      </c>
      <c r="BZ29" s="32">
        <v>0.25</v>
      </c>
      <c r="CA29" s="33">
        <v>0</v>
      </c>
      <c r="CB29" s="36"/>
      <c r="CC29" s="36"/>
      <c r="CD29" s="36"/>
      <c r="CE29" s="36"/>
      <c r="CF29" s="36"/>
      <c r="CG29" s="36"/>
      <c r="CI29" s="15"/>
      <c r="CJ29" s="28"/>
      <c r="CK29" s="22" t="s">
        <v>128</v>
      </c>
      <c r="CL29" s="200">
        <v>0.15</v>
      </c>
      <c r="CM29" s="32">
        <v>0.125</v>
      </c>
      <c r="CN29" s="30">
        <v>0</v>
      </c>
      <c r="CO29" s="32">
        <f>CO28</f>
        <v>4.2560553633218E-2</v>
      </c>
      <c r="CP29" s="39">
        <f>CP28</f>
        <v>0</v>
      </c>
      <c r="CQ29" s="32">
        <v>0.5</v>
      </c>
      <c r="CR29" s="30">
        <v>0</v>
      </c>
      <c r="CS29" s="32">
        <v>0.25</v>
      </c>
      <c r="CT29" s="33">
        <v>0</v>
      </c>
      <c r="CV29" s="25"/>
      <c r="CW29" s="47"/>
      <c r="CX29" s="22" t="s">
        <v>128</v>
      </c>
      <c r="CY29" s="38">
        <v>0.15625</v>
      </c>
      <c r="CZ29" s="32">
        <f>1/8</f>
        <v>0.125</v>
      </c>
      <c r="DA29" s="51">
        <v>0</v>
      </c>
      <c r="DB29" s="50">
        <f>DB28</f>
        <v>1.7120204603580571E-2</v>
      </c>
      <c r="DC29" s="99">
        <f>DC28</f>
        <v>0</v>
      </c>
      <c r="DD29" s="32">
        <v>0.5</v>
      </c>
      <c r="DE29" s="30">
        <v>0</v>
      </c>
      <c r="DF29" s="32">
        <v>0.25</v>
      </c>
      <c r="DG29" s="33">
        <v>0</v>
      </c>
      <c r="DI29" s="25"/>
      <c r="DJ29" s="47"/>
      <c r="DK29" s="22" t="s">
        <v>128</v>
      </c>
      <c r="DL29" s="202">
        <v>0.15273437500000001</v>
      </c>
      <c r="DM29" s="32">
        <f>1/8</f>
        <v>0.125</v>
      </c>
      <c r="DN29" s="51">
        <v>0</v>
      </c>
      <c r="DO29" s="50">
        <f>DO28</f>
        <v>3.1600000000000003E-2</v>
      </c>
      <c r="DP29" s="99">
        <f>DP28</f>
        <v>0</v>
      </c>
      <c r="DQ29" s="32">
        <v>0.5</v>
      </c>
      <c r="DR29" s="30">
        <v>0</v>
      </c>
      <c r="DS29" s="32">
        <v>0.25</v>
      </c>
      <c r="DT29" s="33">
        <v>0</v>
      </c>
    </row>
    <row r="30" spans="1:124" ht="12" customHeight="1" x14ac:dyDescent="0.3">
      <c r="A30" s="1"/>
      <c r="B30" s="25"/>
      <c r="C30" s="47"/>
      <c r="D30" s="20" t="s">
        <v>93</v>
      </c>
      <c r="E30" s="85" t="str">
        <f t="shared" si="2"/>
        <v>fmáx</v>
      </c>
      <c r="F30" s="85" t="str">
        <f t="shared" si="3"/>
        <v>mamáx</v>
      </c>
      <c r="G30" s="85" t="str">
        <f t="shared" si="4"/>
        <v>maemín</v>
      </c>
      <c r="H30" s="86" t="str">
        <f t="shared" si="5"/>
        <v>mbmáx</v>
      </c>
      <c r="I30" s="85" t="str">
        <f t="shared" si="6"/>
        <v>mbemín</v>
      </c>
      <c r="J30" s="85" t="str">
        <f t="shared" si="7"/>
        <v>ra</v>
      </c>
      <c r="K30" s="85" t="str">
        <f t="shared" si="8"/>
        <v>rae</v>
      </c>
      <c r="L30" s="85" t="str">
        <f t="shared" si="9"/>
        <v>rb</v>
      </c>
      <c r="M30" s="85" t="str">
        <f t="shared" si="10"/>
        <v>rbe</v>
      </c>
      <c r="N30" s="1"/>
      <c r="P30" s="483" t="s">
        <v>24</v>
      </c>
      <c r="Q30" s="484"/>
      <c r="R30" s="74" t="s">
        <v>93</v>
      </c>
      <c r="S30" s="20" t="s">
        <v>131</v>
      </c>
      <c r="T30" s="75" t="s">
        <v>132</v>
      </c>
      <c r="U30" s="75" t="s">
        <v>120</v>
      </c>
      <c r="V30" s="75" t="s">
        <v>117</v>
      </c>
      <c r="W30" s="76" t="s">
        <v>121</v>
      </c>
      <c r="X30" s="75" t="s">
        <v>111</v>
      </c>
      <c r="Y30" s="75" t="s">
        <v>112</v>
      </c>
      <c r="Z30" s="75" t="s">
        <v>113</v>
      </c>
      <c r="AA30" s="76" t="s">
        <v>114</v>
      </c>
      <c r="AC30" s="483" t="s">
        <v>24</v>
      </c>
      <c r="AD30" s="484"/>
      <c r="AE30" s="74" t="s">
        <v>93</v>
      </c>
      <c r="AF30" s="20" t="s">
        <v>115</v>
      </c>
      <c r="AG30" s="75" t="s">
        <v>116</v>
      </c>
      <c r="AH30" s="75" t="s">
        <v>120</v>
      </c>
      <c r="AI30" s="75" t="s">
        <v>117</v>
      </c>
      <c r="AJ30" s="76" t="s">
        <v>121</v>
      </c>
      <c r="AK30" s="75" t="s">
        <v>111</v>
      </c>
      <c r="AL30" s="75" t="s">
        <v>112</v>
      </c>
      <c r="AM30" s="75" t="s">
        <v>113</v>
      </c>
      <c r="AN30" s="76" t="s">
        <v>114</v>
      </c>
      <c r="AP30" s="483" t="s">
        <v>24</v>
      </c>
      <c r="AQ30" s="484"/>
      <c r="AR30" s="74" t="s">
        <v>93</v>
      </c>
      <c r="AS30" s="20" t="s">
        <v>115</v>
      </c>
      <c r="AT30" s="75" t="s">
        <v>116</v>
      </c>
      <c r="AU30" s="75" t="s">
        <v>120</v>
      </c>
      <c r="AV30" s="75" t="s">
        <v>117</v>
      </c>
      <c r="AW30" s="76" t="s">
        <v>121</v>
      </c>
      <c r="AX30" s="75" t="s">
        <v>111</v>
      </c>
      <c r="AY30" s="75" t="s">
        <v>112</v>
      </c>
      <c r="AZ30" s="75" t="s">
        <v>113</v>
      </c>
      <c r="BA30" s="76" t="s">
        <v>114</v>
      </c>
      <c r="BC30" s="483" t="s">
        <v>24</v>
      </c>
      <c r="BD30" s="484"/>
      <c r="BE30" s="77" t="s">
        <v>93</v>
      </c>
      <c r="BF30" s="20" t="s">
        <v>115</v>
      </c>
      <c r="BG30" s="75" t="s">
        <v>116</v>
      </c>
      <c r="BH30" s="75" t="s">
        <v>119</v>
      </c>
      <c r="BI30" s="75" t="s">
        <v>141</v>
      </c>
      <c r="BJ30" s="76" t="s">
        <v>118</v>
      </c>
      <c r="BK30" s="75" t="s">
        <v>111</v>
      </c>
      <c r="BL30" s="75" t="s">
        <v>112</v>
      </c>
      <c r="BM30" s="75" t="s">
        <v>113</v>
      </c>
      <c r="BN30" s="76" t="s">
        <v>114</v>
      </c>
      <c r="BP30" s="483" t="s">
        <v>24</v>
      </c>
      <c r="BQ30" s="484"/>
      <c r="BR30" s="74" t="s">
        <v>93</v>
      </c>
      <c r="BS30" s="20" t="s">
        <v>115</v>
      </c>
      <c r="BT30" s="75" t="s">
        <v>116</v>
      </c>
      <c r="BU30" s="75" t="s">
        <v>119</v>
      </c>
      <c r="BV30" s="75" t="s">
        <v>141</v>
      </c>
      <c r="BW30" s="76" t="s">
        <v>118</v>
      </c>
      <c r="BX30" s="75" t="s">
        <v>111</v>
      </c>
      <c r="BY30" s="75" t="s">
        <v>112</v>
      </c>
      <c r="BZ30" s="75" t="s">
        <v>113</v>
      </c>
      <c r="CA30" s="76" t="s">
        <v>114</v>
      </c>
      <c r="CB30" s="74" t="s">
        <v>122</v>
      </c>
      <c r="CC30" s="74" t="s">
        <v>123</v>
      </c>
      <c r="CD30" s="81" t="s">
        <v>124</v>
      </c>
      <c r="CE30" s="81" t="s">
        <v>125</v>
      </c>
      <c r="CF30" s="74" t="s">
        <v>126</v>
      </c>
      <c r="CG30" s="74" t="s">
        <v>127</v>
      </c>
      <c r="CI30" s="483" t="s">
        <v>24</v>
      </c>
      <c r="CJ30" s="484"/>
      <c r="CK30" s="74" t="s">
        <v>93</v>
      </c>
      <c r="CL30" s="20" t="s">
        <v>115</v>
      </c>
      <c r="CM30" s="75" t="s">
        <v>116</v>
      </c>
      <c r="CN30" s="75" t="s">
        <v>119</v>
      </c>
      <c r="CO30" s="75" t="s">
        <v>141</v>
      </c>
      <c r="CP30" s="76" t="s">
        <v>118</v>
      </c>
      <c r="CQ30" s="75" t="s">
        <v>111</v>
      </c>
      <c r="CR30" s="75" t="s">
        <v>112</v>
      </c>
      <c r="CS30" s="75" t="s">
        <v>113</v>
      </c>
      <c r="CT30" s="76" t="s">
        <v>114</v>
      </c>
      <c r="CV30" s="483" t="s">
        <v>24</v>
      </c>
      <c r="CW30" s="484"/>
      <c r="CX30" s="77" t="s">
        <v>93</v>
      </c>
      <c r="CY30" s="20" t="s">
        <v>115</v>
      </c>
      <c r="CZ30" s="75" t="s">
        <v>116</v>
      </c>
      <c r="DA30" s="75" t="s">
        <v>119</v>
      </c>
      <c r="DB30" s="75" t="s">
        <v>141</v>
      </c>
      <c r="DC30" s="76" t="s">
        <v>118</v>
      </c>
      <c r="DD30" s="75" t="s">
        <v>111</v>
      </c>
      <c r="DE30" s="75" t="s">
        <v>112</v>
      </c>
      <c r="DF30" s="75" t="s">
        <v>113</v>
      </c>
      <c r="DG30" s="76" t="s">
        <v>114</v>
      </c>
      <c r="DI30" s="483" t="s">
        <v>24</v>
      </c>
      <c r="DJ30" s="484"/>
      <c r="DK30" s="77" t="s">
        <v>93</v>
      </c>
      <c r="DL30" s="20" t="s">
        <v>115</v>
      </c>
      <c r="DM30" s="75" t="s">
        <v>116</v>
      </c>
      <c r="DN30" s="75" t="s">
        <v>120</v>
      </c>
      <c r="DO30" s="75" t="s">
        <v>141</v>
      </c>
      <c r="DP30" s="76" t="s">
        <v>121</v>
      </c>
      <c r="DQ30" s="75" t="s">
        <v>111</v>
      </c>
      <c r="DR30" s="75" t="s">
        <v>112</v>
      </c>
      <c r="DS30" s="75" t="s">
        <v>113</v>
      </c>
      <c r="DT30" s="76" t="s">
        <v>114</v>
      </c>
    </row>
    <row r="31" spans="1:124" ht="12" customHeight="1" x14ac:dyDescent="0.2">
      <c r="A31" s="1"/>
      <c r="B31" s="25"/>
      <c r="C31" s="47"/>
      <c r="D31" s="68">
        <v>1</v>
      </c>
      <c r="E31" s="85">
        <f t="shared" si="2"/>
        <v>3.2899999999999999E-2</v>
      </c>
      <c r="F31" s="85">
        <f t="shared" si="3"/>
        <v>3.1759999999999997E-2</v>
      </c>
      <c r="G31" s="85">
        <f t="shared" si="4"/>
        <v>0</v>
      </c>
      <c r="H31" s="85">
        <f t="shared" si="5"/>
        <v>3.9129999999999998E-2</v>
      </c>
      <c r="I31" s="85">
        <f t="shared" si="6"/>
        <v>8.3629999999999996E-2</v>
      </c>
      <c r="J31" s="85">
        <f t="shared" si="7"/>
        <v>0.1830127018922193</v>
      </c>
      <c r="K31" s="85">
        <f t="shared" si="8"/>
        <v>0</v>
      </c>
      <c r="L31" s="85">
        <f t="shared" si="9"/>
        <v>0.23205080756887719</v>
      </c>
      <c r="M31" s="85">
        <f t="shared" si="10"/>
        <v>0.40192378864668421</v>
      </c>
      <c r="N31" s="1"/>
      <c r="P31" s="15"/>
      <c r="Q31" s="28"/>
      <c r="R31" s="31">
        <v>1</v>
      </c>
      <c r="S31" s="37">
        <v>3.2899999999999999E-2</v>
      </c>
      <c r="T31" s="32">
        <v>3.1759999999999997E-2</v>
      </c>
      <c r="U31" s="30">
        <v>0</v>
      </c>
      <c r="V31" s="32">
        <v>3.9129999999999998E-2</v>
      </c>
      <c r="W31" s="32">
        <v>8.3629999999999996E-2</v>
      </c>
      <c r="X31" s="40">
        <v>0.1830127018922193</v>
      </c>
      <c r="Y31" s="30">
        <v>0</v>
      </c>
      <c r="Z31" s="32">
        <v>0.23205080756887719</v>
      </c>
      <c r="AA31" s="34">
        <v>0.40192378864668421</v>
      </c>
      <c r="AC31" s="15"/>
      <c r="AD31" s="28"/>
      <c r="AE31" s="31">
        <v>1</v>
      </c>
      <c r="AF31" s="37">
        <v>3.3399999999999999E-2</v>
      </c>
      <c r="AG31" s="32">
        <f>1/41.2</f>
        <v>2.4271844660194174E-2</v>
      </c>
      <c r="AH31" s="30">
        <v>0</v>
      </c>
      <c r="AI31" s="32">
        <f>1/29.4</f>
        <v>3.4013605442176874E-2</v>
      </c>
      <c r="AJ31" s="32">
        <f>1/11.9</f>
        <v>8.4033613445378144E-2</v>
      </c>
      <c r="AK31" s="40">
        <v>0.1830127018922193</v>
      </c>
      <c r="AL31" s="30">
        <v>0</v>
      </c>
      <c r="AM31" s="32">
        <v>0.23205080756887719</v>
      </c>
      <c r="AN31" s="34">
        <v>0.40192378864668421</v>
      </c>
      <c r="AP31" s="15"/>
      <c r="AQ31" s="28"/>
      <c r="AR31" s="31">
        <v>1</v>
      </c>
      <c r="AS31" s="45">
        <f>AF31*(1-0.2^2)</f>
        <v>3.2063999999999995E-2</v>
      </c>
      <c r="AT31" s="32">
        <f>1/32.4</f>
        <v>3.0864197530864199E-2</v>
      </c>
      <c r="AU31" s="30">
        <v>0</v>
      </c>
      <c r="AV31" s="32">
        <f>1/26.5</f>
        <v>3.7735849056603772E-2</v>
      </c>
      <c r="AW31" s="32">
        <f>1/11.9</f>
        <v>8.4033613445378144E-2</v>
      </c>
      <c r="AX31" s="40">
        <v>0.1830127018922193</v>
      </c>
      <c r="AY31" s="30">
        <v>0</v>
      </c>
      <c r="AZ31" s="32">
        <v>0.23205080756887719</v>
      </c>
      <c r="BA31" s="34">
        <v>0.40192378864668421</v>
      </c>
      <c r="BC31" s="25"/>
      <c r="BD31" s="47"/>
      <c r="BE31" s="53">
        <v>1</v>
      </c>
      <c r="BF31" s="49">
        <v>3.2599999999999997E-2</v>
      </c>
      <c r="BG31" s="50">
        <v>2.9100000000000001E-2</v>
      </c>
      <c r="BH31" s="51">
        <v>0</v>
      </c>
      <c r="BI31" s="50">
        <v>3.5400000000000001E-2</v>
      </c>
      <c r="BJ31" s="50">
        <v>8.4000000000000005E-2</v>
      </c>
      <c r="BK31" s="40">
        <v>0.1830127018922193</v>
      </c>
      <c r="BL31" s="30">
        <v>0</v>
      </c>
      <c r="BM31" s="32">
        <v>0.23205080756887719</v>
      </c>
      <c r="BN31" s="34">
        <v>0.40192378864668421</v>
      </c>
      <c r="BP31" s="15"/>
      <c r="BQ31" s="28"/>
      <c r="BR31" s="31">
        <v>1</v>
      </c>
      <c r="BS31" s="84">
        <f>5*CF31*CB31/32</f>
        <v>3.4013605442176874E-2</v>
      </c>
      <c r="BT31" s="78">
        <f>CF31*CB31/CD31</f>
        <v>2.7210884353741499E-2</v>
      </c>
      <c r="BU31" s="79">
        <v>0</v>
      </c>
      <c r="BV31" s="78">
        <f>CG31*CC31*BR31^2/CE31</f>
        <v>3.3407405931122451E-2</v>
      </c>
      <c r="BW31" s="83">
        <f>CC31*BR31^2/8</f>
        <v>8.9285714285714288E-2</v>
      </c>
      <c r="BX31" s="40">
        <v>0.1830127018922193</v>
      </c>
      <c r="BY31" s="30">
        <v>0</v>
      </c>
      <c r="BZ31" s="32">
        <v>0.23205080756887719</v>
      </c>
      <c r="CA31" s="34">
        <v>0.40192378864668421</v>
      </c>
      <c r="CB31" s="46">
        <f>2*BR31^4/(5+2*BR31^4)</f>
        <v>0.2857142857142857</v>
      </c>
      <c r="CC31" s="46">
        <f>1-CB31</f>
        <v>0.7142857142857143</v>
      </c>
      <c r="CD31" s="70">
        <v>8</v>
      </c>
      <c r="CE31" s="71">
        <f>128/9</f>
        <v>14.222222222222221</v>
      </c>
      <c r="CF31" s="46">
        <f>1-(20*CB31)/(3*CD31*BR31^2)</f>
        <v>0.76190476190476197</v>
      </c>
      <c r="CG31" s="46">
        <f>1-(20*CC31*BR31^2)/(3*CE31)</f>
        <v>0.6651785714285714</v>
      </c>
      <c r="CI31" s="15"/>
      <c r="CJ31" s="28"/>
      <c r="CK31" s="31">
        <v>1</v>
      </c>
      <c r="CL31" s="45">
        <f t="shared" ref="CL31:CL41" si="26">(1-$CJ$14^2)*BS31</f>
        <v>3.2653061224489799E-2</v>
      </c>
      <c r="CM31" s="78">
        <f>BT31+$CJ$14*BV31</f>
        <v>3.3892365539965989E-2</v>
      </c>
      <c r="CN31" s="79">
        <v>0</v>
      </c>
      <c r="CO31" s="78">
        <f>$CJ$14*BT31+BV31</f>
        <v>3.8849582801870751E-2</v>
      </c>
      <c r="CP31" s="83">
        <v>8.9285714285714288E-2</v>
      </c>
      <c r="CQ31" s="40">
        <v>0.1830127018922193</v>
      </c>
      <c r="CR31" s="30">
        <v>0</v>
      </c>
      <c r="CS31" s="32">
        <v>0.23205080756887719</v>
      </c>
      <c r="CT31" s="34">
        <v>0.40192378864668421</v>
      </c>
      <c r="CV31" s="25"/>
      <c r="CW31" s="47"/>
      <c r="CX31" s="53">
        <v>1</v>
      </c>
      <c r="CY31" s="45">
        <f>(1-$CW$14^2)/(1-$CW$13^2)*BF31</f>
        <v>3.3350383631713554E-2</v>
      </c>
      <c r="CZ31" s="78">
        <f>(1/(1-$CW$13^2))*((1-$CW$13*$CW$14)*BG31+($CW$14-$CW$13)*BI31)</f>
        <v>2.4337595907928392E-2</v>
      </c>
      <c r="DA31" s="51">
        <v>0</v>
      </c>
      <c r="DB31" s="78">
        <f>(1/(1-$CW$13^2))*((1-$CW$13*$CW$14)*BI31+($CW$14-$CW$13)*BG31)</f>
        <v>3.1749360613810743E-2</v>
      </c>
      <c r="DC31" s="50">
        <v>8.4000000000000005E-2</v>
      </c>
      <c r="DD31" s="40">
        <v>0.1830127018922193</v>
      </c>
      <c r="DE31" s="30">
        <v>0</v>
      </c>
      <c r="DF31" s="32">
        <v>0.23205080756887719</v>
      </c>
      <c r="DG31" s="34">
        <v>0.40192378864668421</v>
      </c>
      <c r="DI31" s="25"/>
      <c r="DJ31" s="47"/>
      <c r="DK31" s="53">
        <v>1</v>
      </c>
      <c r="DL31" s="49">
        <v>3.2599999999999997E-2</v>
      </c>
      <c r="DM31" s="50">
        <v>2.9100000000000001E-2</v>
      </c>
      <c r="DN31" s="51">
        <v>0</v>
      </c>
      <c r="DO31" s="50">
        <v>3.5400000000000001E-2</v>
      </c>
      <c r="DP31" s="50">
        <v>8.4000000000000005E-2</v>
      </c>
      <c r="DQ31" s="40">
        <v>0.1830127018922193</v>
      </c>
      <c r="DR31" s="30">
        <v>0</v>
      </c>
      <c r="DS31" s="32">
        <v>0.23205080756887719</v>
      </c>
      <c r="DT31" s="34">
        <v>0.40192378864668421</v>
      </c>
    </row>
    <row r="32" spans="1:124" ht="12" customHeight="1" x14ac:dyDescent="0.2">
      <c r="A32" s="1"/>
      <c r="B32" s="25"/>
      <c r="C32" s="47"/>
      <c r="D32" s="68">
        <v>1.1000000000000001</v>
      </c>
      <c r="E32" s="85">
        <f t="shared" si="2"/>
        <v>4.1500000000000002E-2</v>
      </c>
      <c r="F32" s="85">
        <f t="shared" si="3"/>
        <v>3.9129999999999998E-2</v>
      </c>
      <c r="G32" s="85">
        <f t="shared" si="4"/>
        <v>0</v>
      </c>
      <c r="H32" s="85">
        <f t="shared" si="5"/>
        <v>4.1239999999999999E-2</v>
      </c>
      <c r="I32" s="85">
        <f t="shared" si="6"/>
        <v>9.146E-2</v>
      </c>
      <c r="J32" s="85">
        <f t="shared" si="7"/>
        <v>0.20131397208144125</v>
      </c>
      <c r="K32" s="85">
        <f t="shared" si="8"/>
        <v>0</v>
      </c>
      <c r="L32" s="85">
        <f t="shared" si="9"/>
        <v>0.24051868274205318</v>
      </c>
      <c r="M32" s="85">
        <f t="shared" si="10"/>
        <v>0.41659057867877614</v>
      </c>
      <c r="N32" s="1"/>
      <c r="P32" s="15"/>
      <c r="Q32" s="28"/>
      <c r="R32" s="31">
        <v>1.1000000000000001</v>
      </c>
      <c r="S32" s="37">
        <v>4.1500000000000002E-2</v>
      </c>
      <c r="T32" s="32">
        <v>3.9129999999999998E-2</v>
      </c>
      <c r="U32" s="30">
        <v>0</v>
      </c>
      <c r="V32" s="32">
        <v>4.1239999999999999E-2</v>
      </c>
      <c r="W32" s="32">
        <v>9.146E-2</v>
      </c>
      <c r="X32" s="40">
        <v>0.20131397208144125</v>
      </c>
      <c r="Y32" s="30">
        <v>0</v>
      </c>
      <c r="Z32" s="32">
        <v>0.24051868274205318</v>
      </c>
      <c r="AA32" s="34">
        <v>0.41659057867877614</v>
      </c>
      <c r="AC32" s="15"/>
      <c r="AD32" s="28"/>
      <c r="AE32" s="31">
        <v>1.1000000000000001</v>
      </c>
      <c r="AF32" s="37">
        <v>4.2200000000000001E-2</v>
      </c>
      <c r="AG32" s="32">
        <f>1/31.9</f>
        <v>3.1347962382445145E-2</v>
      </c>
      <c r="AH32" s="30">
        <v>0</v>
      </c>
      <c r="AI32" s="32">
        <f>1/28.8</f>
        <v>3.4722222222222224E-2</v>
      </c>
      <c r="AJ32" s="32">
        <f>1/10.9</f>
        <v>9.1743119266055037E-2</v>
      </c>
      <c r="AK32" s="40">
        <v>0.20131397208144125</v>
      </c>
      <c r="AL32" s="30">
        <v>0</v>
      </c>
      <c r="AM32" s="32">
        <v>0.24051868274205318</v>
      </c>
      <c r="AN32" s="34">
        <v>0.41659057867877614</v>
      </c>
      <c r="AP32" s="15"/>
      <c r="AQ32" s="28"/>
      <c r="AR32" s="31">
        <v>1.1000000000000001</v>
      </c>
      <c r="AS32" s="45">
        <f t="shared" ref="AS32:AS41" si="27">AF32*(1-0.2^2)</f>
        <v>4.0511999999999999E-2</v>
      </c>
      <c r="AT32" s="32">
        <f>1/26.1</f>
        <v>3.8314176245210725E-2</v>
      </c>
      <c r="AU32" s="30">
        <v>0</v>
      </c>
      <c r="AV32" s="32">
        <f>1/24.4</f>
        <v>4.0983606557377053E-2</v>
      </c>
      <c r="AW32" s="32">
        <f>1/10.9</f>
        <v>9.1743119266055037E-2</v>
      </c>
      <c r="AX32" s="40">
        <v>0.20131397208144125</v>
      </c>
      <c r="AY32" s="30">
        <v>0</v>
      </c>
      <c r="AZ32" s="32">
        <v>0.24051868274205318</v>
      </c>
      <c r="BA32" s="34">
        <v>0.41659057867877614</v>
      </c>
      <c r="BC32" s="25"/>
      <c r="BD32" s="47"/>
      <c r="BE32" s="53">
        <v>1.1000000000000001</v>
      </c>
      <c r="BF32" s="49">
        <v>4.1131000000000008E-2</v>
      </c>
      <c r="BG32" s="50">
        <v>3.6102000000000002E-2</v>
      </c>
      <c r="BH32" s="51">
        <v>0</v>
      </c>
      <c r="BI32" s="50">
        <v>3.7381740000000011E-2</v>
      </c>
      <c r="BJ32" s="50">
        <v>9.1830530000000007E-2</v>
      </c>
      <c r="BK32" s="40">
        <v>0.20131397208144125</v>
      </c>
      <c r="BL32" s="30">
        <v>0</v>
      </c>
      <c r="BM32" s="32">
        <v>0.24051868274205318</v>
      </c>
      <c r="BN32" s="34">
        <v>0.41659057867877614</v>
      </c>
      <c r="BP32" s="15"/>
      <c r="BQ32" s="28"/>
      <c r="BR32" s="31">
        <v>1.1000000000000001</v>
      </c>
      <c r="BS32" s="84">
        <f t="shared" ref="BS32:BS41" si="28">5*CF32*CB32/32</f>
        <v>4.3030036105171199E-2</v>
      </c>
      <c r="BT32" s="78">
        <f t="shared" ref="BT32:BT41" si="29">CF32*CB32/CD32</f>
        <v>3.442402888413696E-2</v>
      </c>
      <c r="BU32" s="79">
        <v>0</v>
      </c>
      <c r="BV32" s="78">
        <f t="shared" ref="BV32:BV41" si="30">CG32*CC32*BR32^2/CE32</f>
        <v>3.4462716128989837E-2</v>
      </c>
      <c r="BW32" s="83">
        <f t="shared" ref="BW32:BW41" si="31">CC32*BR32^2/8</f>
        <v>9.5387351479528787E-2</v>
      </c>
      <c r="BX32" s="40">
        <v>0.20131397208144125</v>
      </c>
      <c r="BY32" s="30">
        <v>0</v>
      </c>
      <c r="BZ32" s="32">
        <v>0.24051868274205318</v>
      </c>
      <c r="CA32" s="34">
        <v>0.41659057867877614</v>
      </c>
      <c r="CB32" s="46">
        <f t="shared" ref="CB32:CB41" si="32">2*BR32^4/(5+2*BR32^4)</f>
        <v>0.36933982492873546</v>
      </c>
      <c r="CC32" s="46">
        <f t="shared" ref="CC32:CC41" si="33">1-CB32</f>
        <v>0.63066017507126459</v>
      </c>
      <c r="CD32" s="70">
        <v>8</v>
      </c>
      <c r="CE32" s="71">
        <f t="shared" ref="CE32:CE41" si="34">128/9</f>
        <v>14.222222222222221</v>
      </c>
      <c r="CF32" s="46">
        <f t="shared" ref="CF32:CF41" si="35">1-(20*CB32)/(3*CD32*BR32^2)</f>
        <v>0.74563372938792327</v>
      </c>
      <c r="CG32" s="46">
        <f t="shared" ref="CG32:CG41" si="36">1-(20*CC32*BR32^2)/(3*CE32)</f>
        <v>0.64229743195176703</v>
      </c>
      <c r="CI32" s="15"/>
      <c r="CJ32" s="28"/>
      <c r="CK32" s="31">
        <v>1.1000000000000001</v>
      </c>
      <c r="CL32" s="45">
        <f t="shared" si="26"/>
        <v>4.1308834660964348E-2</v>
      </c>
      <c r="CM32" s="78">
        <f t="shared" ref="CM32:CM41" si="37">BT32+$CJ$14*BV32</f>
        <v>4.1316572109934932E-2</v>
      </c>
      <c r="CN32" s="79">
        <v>0</v>
      </c>
      <c r="CO32" s="78">
        <f t="shared" ref="CO32:CO41" si="38">$CJ$14*BT32+BV32</f>
        <v>4.1347521905817232E-2</v>
      </c>
      <c r="CP32" s="83">
        <v>9.5387351479528787E-2</v>
      </c>
      <c r="CQ32" s="40">
        <v>0.20131397208144125</v>
      </c>
      <c r="CR32" s="30">
        <v>0</v>
      </c>
      <c r="CS32" s="32">
        <v>0.24051868274205318</v>
      </c>
      <c r="CT32" s="34">
        <v>0.41659057867877614</v>
      </c>
      <c r="CV32" s="25"/>
      <c r="CW32" s="47"/>
      <c r="CX32" s="53">
        <v>1.1000000000000001</v>
      </c>
      <c r="CY32" s="45">
        <f t="shared" ref="CY32:CY41" si="39">(1-$CW$14^2)/(1-$CW$13^2)*BF32</f>
        <v>4.2077749360613821E-2</v>
      </c>
      <c r="CZ32" s="78">
        <f t="shared" ref="CZ32:CZ41" si="40">(1/(1-$CW$13^2))*((1-$CW$13*$CW$14)*BG32+($CW$14-$CW$13)*BI32)</f>
        <v>3.1196663938618929E-2</v>
      </c>
      <c r="DA32" s="51">
        <v>0</v>
      </c>
      <c r="DB32" s="78">
        <f t="shared" ref="DB32:DB41" si="41">(1/(1-$CW$13^2))*((1-$CW$13*$CW$14)*BI32+($CW$14-$CW$13)*BG32)</f>
        <v>3.2702240409207176E-2</v>
      </c>
      <c r="DC32" s="50">
        <v>9.1799999999999993E-2</v>
      </c>
      <c r="DD32" s="40">
        <v>0.20131397208144125</v>
      </c>
      <c r="DE32" s="30">
        <v>0</v>
      </c>
      <c r="DF32" s="32">
        <v>0.24051868274205318</v>
      </c>
      <c r="DG32" s="34">
        <v>0.41659057867877614</v>
      </c>
      <c r="DI32" s="25"/>
      <c r="DJ32" s="47"/>
      <c r="DK32" s="53">
        <v>1.1000000000000001</v>
      </c>
      <c r="DL32" s="49">
        <v>4.1100000000000005E-2</v>
      </c>
      <c r="DM32" s="50">
        <v>3.61E-2</v>
      </c>
      <c r="DN32" s="51">
        <v>0</v>
      </c>
      <c r="DO32" s="50">
        <v>3.7400000000000003E-2</v>
      </c>
      <c r="DP32" s="50">
        <v>9.1799999999999993E-2</v>
      </c>
      <c r="DQ32" s="40">
        <v>0.20131397208144125</v>
      </c>
      <c r="DR32" s="30">
        <v>0</v>
      </c>
      <c r="DS32" s="32">
        <v>0.24051868274205318</v>
      </c>
      <c r="DT32" s="34">
        <v>0.41659057867877614</v>
      </c>
    </row>
    <row r="33" spans="1:124" ht="12" customHeight="1" x14ac:dyDescent="0.2">
      <c r="A33" s="1"/>
      <c r="B33" s="25"/>
      <c r="C33" s="47"/>
      <c r="D33" s="68">
        <v>1.2</v>
      </c>
      <c r="E33" s="85">
        <f t="shared" si="2"/>
        <v>5.0200000000000002E-2</v>
      </c>
      <c r="F33" s="85">
        <f t="shared" si="3"/>
        <v>4.6559999999999997E-2</v>
      </c>
      <c r="G33" s="85">
        <f t="shared" si="4"/>
        <v>0</v>
      </c>
      <c r="H33" s="85">
        <f t="shared" si="5"/>
        <v>4.2560000000000001E-2</v>
      </c>
      <c r="I33" s="85">
        <f t="shared" si="6"/>
        <v>9.8040000000000002E-2</v>
      </c>
      <c r="J33" s="85">
        <f t="shared" si="7"/>
        <v>0.21961524227066315</v>
      </c>
      <c r="K33" s="85">
        <f t="shared" si="8"/>
        <v>0</v>
      </c>
      <c r="L33" s="85">
        <f t="shared" si="9"/>
        <v>0.24630706599091787</v>
      </c>
      <c r="M33" s="85">
        <f t="shared" si="10"/>
        <v>0.42661635255949054</v>
      </c>
      <c r="N33" s="1"/>
      <c r="P33" s="15"/>
      <c r="Q33" s="28"/>
      <c r="R33" s="31">
        <v>1.2</v>
      </c>
      <c r="S33" s="37">
        <v>5.0200000000000002E-2</v>
      </c>
      <c r="T33" s="32">
        <v>4.6559999999999997E-2</v>
      </c>
      <c r="U33" s="30">
        <v>0</v>
      </c>
      <c r="V33" s="32">
        <v>4.2560000000000001E-2</v>
      </c>
      <c r="W33" s="32">
        <v>9.8040000000000002E-2</v>
      </c>
      <c r="X33" s="40">
        <v>0.21961524227066315</v>
      </c>
      <c r="Y33" s="30">
        <v>0</v>
      </c>
      <c r="Z33" s="32">
        <v>0.24630706599091787</v>
      </c>
      <c r="AA33" s="34">
        <v>0.42661635255949054</v>
      </c>
      <c r="AC33" s="15"/>
      <c r="AD33" s="28"/>
      <c r="AE33" s="31">
        <v>1.2</v>
      </c>
      <c r="AF33" s="37">
        <v>5.1200000000000002E-2</v>
      </c>
      <c r="AG33" s="32">
        <f>1/25.9</f>
        <v>3.8610038610038609E-2</v>
      </c>
      <c r="AH33" s="30">
        <v>0</v>
      </c>
      <c r="AI33" s="32">
        <f>1/28.9</f>
        <v>3.4602076124567477E-2</v>
      </c>
      <c r="AJ33" s="32">
        <f>1/10.1</f>
        <v>9.9009900990099015E-2</v>
      </c>
      <c r="AK33" s="40">
        <v>0.21961524227066315</v>
      </c>
      <c r="AL33" s="30">
        <v>0</v>
      </c>
      <c r="AM33" s="32">
        <v>0.24630706599091787</v>
      </c>
      <c r="AN33" s="34">
        <v>0.42661635255949054</v>
      </c>
      <c r="AP33" s="15"/>
      <c r="AQ33" s="28"/>
      <c r="AR33" s="31">
        <v>1.2</v>
      </c>
      <c r="AS33" s="45">
        <f t="shared" si="27"/>
        <v>4.9152000000000001E-2</v>
      </c>
      <c r="AT33" s="32">
        <f>1/22</f>
        <v>4.5454545454545456E-2</v>
      </c>
      <c r="AU33" s="30">
        <v>0</v>
      </c>
      <c r="AV33" s="32">
        <f>1/23.8</f>
        <v>4.2016806722689072E-2</v>
      </c>
      <c r="AW33" s="32">
        <f>1/10.1</f>
        <v>9.9009900990099015E-2</v>
      </c>
      <c r="AX33" s="40">
        <v>0.21961524227066315</v>
      </c>
      <c r="AY33" s="30">
        <v>0</v>
      </c>
      <c r="AZ33" s="32">
        <v>0.24630706599091787</v>
      </c>
      <c r="BA33" s="34">
        <v>0.42661635255949054</v>
      </c>
      <c r="BC33" s="25"/>
      <c r="BD33" s="47"/>
      <c r="BE33" s="53">
        <v>1.2</v>
      </c>
      <c r="BF33" s="49">
        <v>4.9979999999999997E-2</v>
      </c>
      <c r="BG33" s="50">
        <v>4.3459999999999999E-2</v>
      </c>
      <c r="BH33" s="51">
        <v>0</v>
      </c>
      <c r="BI33" s="50">
        <v>3.8597760000000002E-2</v>
      </c>
      <c r="BJ33" s="50">
        <v>9.8789760000000018E-2</v>
      </c>
      <c r="BK33" s="40">
        <v>0.21961524227066315</v>
      </c>
      <c r="BL33" s="30">
        <v>0</v>
      </c>
      <c r="BM33" s="32">
        <v>0.24630706599091787</v>
      </c>
      <c r="BN33" s="34">
        <v>0.42661635255949054</v>
      </c>
      <c r="BP33" s="15"/>
      <c r="BQ33" s="28"/>
      <c r="BR33" s="31">
        <v>1.2</v>
      </c>
      <c r="BS33" s="84">
        <f t="shared" si="28"/>
        <v>5.2254324726627686E-2</v>
      </c>
      <c r="BT33" s="78">
        <f t="shared" si="29"/>
        <v>4.1803459781302149E-2</v>
      </c>
      <c r="BU33" s="79">
        <v>0</v>
      </c>
      <c r="BV33" s="78">
        <f t="shared" si="30"/>
        <v>3.4924488721599367E-2</v>
      </c>
      <c r="BW33" s="83">
        <f t="shared" si="31"/>
        <v>9.8390764386916213E-2</v>
      </c>
      <c r="BX33" s="40">
        <v>0.21961524227066315</v>
      </c>
      <c r="BY33" s="30">
        <v>0</v>
      </c>
      <c r="BZ33" s="32">
        <v>0.24630706599091787</v>
      </c>
      <c r="CA33" s="34">
        <v>0.42661635255949054</v>
      </c>
      <c r="CB33" s="46">
        <f t="shared" si="32"/>
        <v>0.45338464229490988</v>
      </c>
      <c r="CC33" s="46">
        <f t="shared" si="33"/>
        <v>0.54661535770509007</v>
      </c>
      <c r="CD33" s="70">
        <v>8</v>
      </c>
      <c r="CE33" s="71">
        <f t="shared" si="34"/>
        <v>14.222222222222221</v>
      </c>
      <c r="CF33" s="46">
        <f t="shared" si="35"/>
        <v>0.73762462830155684</v>
      </c>
      <c r="CG33" s="46">
        <f t="shared" si="36"/>
        <v>0.63103463354906419</v>
      </c>
      <c r="CI33" s="15"/>
      <c r="CJ33" s="28"/>
      <c r="CK33" s="31">
        <v>1.2</v>
      </c>
      <c r="CL33" s="45">
        <f t="shared" si="26"/>
        <v>5.0164151737562578E-2</v>
      </c>
      <c r="CM33" s="78">
        <f t="shared" si="37"/>
        <v>4.8788357525622023E-2</v>
      </c>
      <c r="CN33" s="79">
        <v>0</v>
      </c>
      <c r="CO33" s="78">
        <f t="shared" si="38"/>
        <v>4.3285180677859796E-2</v>
      </c>
      <c r="CP33" s="83">
        <v>9.8390764386916213E-2</v>
      </c>
      <c r="CQ33" s="40">
        <v>0.21961524227066315</v>
      </c>
      <c r="CR33" s="30">
        <v>0</v>
      </c>
      <c r="CS33" s="32">
        <v>0.24630706599091787</v>
      </c>
      <c r="CT33" s="34">
        <v>0.42661635255949054</v>
      </c>
      <c r="CV33" s="25"/>
      <c r="CW33" s="47"/>
      <c r="CX33" s="53">
        <v>1.2</v>
      </c>
      <c r="CY33" s="45">
        <f t="shared" si="39"/>
        <v>5.1130434782608696E-2</v>
      </c>
      <c r="CZ33" s="78">
        <f t="shared" si="40"/>
        <v>3.8537428132992331E-2</v>
      </c>
      <c r="DA33" s="51">
        <v>0</v>
      </c>
      <c r="DB33" s="78">
        <f t="shared" si="41"/>
        <v>3.2817145780051155E-2</v>
      </c>
      <c r="DC33" s="50">
        <v>9.8800000000000013E-2</v>
      </c>
      <c r="DD33" s="40">
        <v>0.21961524227066315</v>
      </c>
      <c r="DE33" s="30">
        <v>0</v>
      </c>
      <c r="DF33" s="32">
        <v>0.24630706599091787</v>
      </c>
      <c r="DG33" s="34">
        <v>0.42661635255949054</v>
      </c>
      <c r="DI33" s="25"/>
      <c r="DJ33" s="47"/>
      <c r="DK33" s="53">
        <v>1.2</v>
      </c>
      <c r="DL33" s="49">
        <v>0.05</v>
      </c>
      <c r="DM33" s="50">
        <v>4.3499999999999997E-2</v>
      </c>
      <c r="DN33" s="51">
        <v>0</v>
      </c>
      <c r="DO33" s="50">
        <v>3.8599999999999995E-2</v>
      </c>
      <c r="DP33" s="50">
        <v>9.8800000000000013E-2</v>
      </c>
      <c r="DQ33" s="40">
        <v>0.21961524227066315</v>
      </c>
      <c r="DR33" s="30">
        <v>0</v>
      </c>
      <c r="DS33" s="32">
        <v>0.24630706599091787</v>
      </c>
      <c r="DT33" s="34">
        <v>0.42661635255949054</v>
      </c>
    </row>
    <row r="34" spans="1:124" ht="12" customHeight="1" x14ac:dyDescent="0.2">
      <c r="A34" s="1"/>
      <c r="B34" s="25"/>
      <c r="C34" s="47"/>
      <c r="D34" s="68">
        <v>1.3</v>
      </c>
      <c r="E34" s="85">
        <f t="shared" si="2"/>
        <v>5.8900000000000001E-2</v>
      </c>
      <c r="F34" s="85">
        <f t="shared" si="3"/>
        <v>5.3850000000000002E-2</v>
      </c>
      <c r="G34" s="85">
        <f t="shared" si="4"/>
        <v>0</v>
      </c>
      <c r="H34" s="85">
        <f t="shared" si="5"/>
        <v>4.3220000000000001E-2</v>
      </c>
      <c r="I34" s="85">
        <f t="shared" si="6"/>
        <v>0.10340000000000001</v>
      </c>
      <c r="J34" s="85">
        <f t="shared" si="7"/>
        <v>0.2379165124598851</v>
      </c>
      <c r="K34" s="85">
        <f t="shared" si="8"/>
        <v>0</v>
      </c>
      <c r="L34" s="85">
        <f t="shared" si="9"/>
        <v>0.24941595731547139</v>
      </c>
      <c r="M34" s="85">
        <f t="shared" si="10"/>
        <v>0.43200111028882737</v>
      </c>
      <c r="N34" s="1"/>
      <c r="P34" s="15"/>
      <c r="Q34" s="28"/>
      <c r="R34" s="31">
        <v>1.3</v>
      </c>
      <c r="S34" s="37">
        <v>5.8900000000000001E-2</v>
      </c>
      <c r="T34" s="32">
        <v>5.3850000000000002E-2</v>
      </c>
      <c r="U34" s="30">
        <v>0</v>
      </c>
      <c r="V34" s="32">
        <v>4.3220000000000001E-2</v>
      </c>
      <c r="W34" s="32">
        <v>0.10340000000000001</v>
      </c>
      <c r="X34" s="40">
        <v>0.2379165124598851</v>
      </c>
      <c r="Y34" s="30">
        <v>0</v>
      </c>
      <c r="Z34" s="32">
        <v>0.24941595731547139</v>
      </c>
      <c r="AA34" s="34">
        <v>0.43200111028882737</v>
      </c>
      <c r="AC34" s="15"/>
      <c r="AD34" s="28"/>
      <c r="AE34" s="31">
        <v>1.3</v>
      </c>
      <c r="AF34" s="37">
        <v>6.0199999999999997E-2</v>
      </c>
      <c r="AG34" s="32">
        <f>1/21.7</f>
        <v>4.6082949308755762E-2</v>
      </c>
      <c r="AH34" s="30">
        <v>0</v>
      </c>
      <c r="AI34" s="32">
        <f>1/29.7</f>
        <v>3.3670033670033669E-2</v>
      </c>
      <c r="AJ34" s="32">
        <f>1/9.6</f>
        <v>0.10416666666666667</v>
      </c>
      <c r="AK34" s="40">
        <v>0.2379165124598851</v>
      </c>
      <c r="AL34" s="30">
        <v>0</v>
      </c>
      <c r="AM34" s="32">
        <v>0.24941595731547139</v>
      </c>
      <c r="AN34" s="34">
        <v>0.43200111028882737</v>
      </c>
      <c r="AP34" s="15"/>
      <c r="AQ34" s="28"/>
      <c r="AR34" s="31">
        <v>1.3</v>
      </c>
      <c r="AS34" s="45">
        <f t="shared" si="27"/>
        <v>5.7791999999999996E-2</v>
      </c>
      <c r="AT34" s="32">
        <f>1/19</f>
        <v>5.2631578947368418E-2</v>
      </c>
      <c r="AU34" s="30">
        <v>0</v>
      </c>
      <c r="AV34" s="32">
        <f>1/23.7</f>
        <v>4.2194092827004218E-2</v>
      </c>
      <c r="AW34" s="32">
        <f>1/9.6</f>
        <v>0.10416666666666667</v>
      </c>
      <c r="AX34" s="40">
        <v>0.2379165124598851</v>
      </c>
      <c r="AY34" s="30">
        <v>0</v>
      </c>
      <c r="AZ34" s="32">
        <v>0.24941595731547139</v>
      </c>
      <c r="BA34" s="34">
        <v>0.43200111028882737</v>
      </c>
      <c r="BC34" s="25"/>
      <c r="BD34" s="47"/>
      <c r="BE34" s="53">
        <v>1.3</v>
      </c>
      <c r="BF34" s="49">
        <v>5.884000000000001E-2</v>
      </c>
      <c r="BG34" s="50">
        <v>5.0860000000000009E-2</v>
      </c>
      <c r="BH34" s="51">
        <v>0</v>
      </c>
      <c r="BI34" s="50">
        <v>3.9241799999999993E-2</v>
      </c>
      <c r="BJ34" s="50">
        <v>0.10417160000000002</v>
      </c>
      <c r="BK34" s="40">
        <v>0.2379165124598851</v>
      </c>
      <c r="BL34" s="30">
        <v>0</v>
      </c>
      <c r="BM34" s="32">
        <v>0.24941595731547139</v>
      </c>
      <c r="BN34" s="34">
        <v>0.43200111028882737</v>
      </c>
      <c r="BP34" s="15"/>
      <c r="BQ34" s="28"/>
      <c r="BR34" s="31">
        <v>1.3</v>
      </c>
      <c r="BS34" s="84">
        <f t="shared" si="28"/>
        <v>6.1411196260411811E-2</v>
      </c>
      <c r="BT34" s="78">
        <f t="shared" si="29"/>
        <v>4.9128957008329449E-2</v>
      </c>
      <c r="BU34" s="79">
        <v>0</v>
      </c>
      <c r="BV34" s="78">
        <f t="shared" si="30"/>
        <v>3.4955611036479262E-2</v>
      </c>
      <c r="BW34" s="83">
        <f t="shared" si="31"/>
        <v>9.8602527958775985E-2</v>
      </c>
      <c r="BX34" s="40">
        <v>0.2379165124598851</v>
      </c>
      <c r="BY34" s="30">
        <v>0</v>
      </c>
      <c r="BZ34" s="32">
        <v>0.24941595731547139</v>
      </c>
      <c r="CA34" s="34">
        <v>0.43200111028882737</v>
      </c>
      <c r="CB34" s="46">
        <f t="shared" si="32"/>
        <v>0.5332424712010605</v>
      </c>
      <c r="CC34" s="46">
        <f t="shared" si="33"/>
        <v>0.4667575287989395</v>
      </c>
      <c r="CD34" s="70">
        <v>8</v>
      </c>
      <c r="CE34" s="71">
        <f t="shared" si="34"/>
        <v>14.222222222222221</v>
      </c>
      <c r="CF34" s="46">
        <f t="shared" si="35"/>
        <v>0.73705992544326415</v>
      </c>
      <c r="CG34" s="46">
        <f t="shared" si="36"/>
        <v>0.63024052015458998</v>
      </c>
      <c r="CI34" s="15"/>
      <c r="CJ34" s="28"/>
      <c r="CK34" s="31">
        <v>1.3</v>
      </c>
      <c r="CL34" s="45">
        <f t="shared" si="26"/>
        <v>5.8954748409995338E-2</v>
      </c>
      <c r="CM34" s="78">
        <f t="shared" si="37"/>
        <v>5.6120079215625299E-2</v>
      </c>
      <c r="CN34" s="79">
        <v>0</v>
      </c>
      <c r="CO34" s="78">
        <f t="shared" si="38"/>
        <v>4.478140243814515E-2</v>
      </c>
      <c r="CP34" s="83">
        <v>9.8602527958775985E-2</v>
      </c>
      <c r="CQ34" s="40">
        <v>0.2379165124598851</v>
      </c>
      <c r="CR34" s="30">
        <v>0</v>
      </c>
      <c r="CS34" s="32">
        <v>0.24941595731547139</v>
      </c>
      <c r="CT34" s="34">
        <v>0.43200111028882737</v>
      </c>
      <c r="CV34" s="25"/>
      <c r="CW34" s="47"/>
      <c r="CX34" s="53">
        <v>1.3</v>
      </c>
      <c r="CY34" s="45">
        <f t="shared" si="39"/>
        <v>6.0194373401534544E-2</v>
      </c>
      <c r="CZ34" s="78">
        <f t="shared" si="40"/>
        <v>4.6008930946291576E-2</v>
      </c>
      <c r="DA34" s="51">
        <v>0</v>
      </c>
      <c r="DB34" s="78">
        <f t="shared" si="41"/>
        <v>3.234046035805626E-2</v>
      </c>
      <c r="DC34" s="50">
        <v>0.1041</v>
      </c>
      <c r="DD34" s="40">
        <v>0.2379165124598851</v>
      </c>
      <c r="DE34" s="30">
        <v>0</v>
      </c>
      <c r="DF34" s="32">
        <v>0.24941595731547139</v>
      </c>
      <c r="DG34" s="34">
        <v>0.43200111028882737</v>
      </c>
      <c r="DI34" s="25"/>
      <c r="DJ34" s="47"/>
      <c r="DK34" s="53">
        <v>1.3</v>
      </c>
      <c r="DL34" s="49">
        <v>5.8799999999999998E-2</v>
      </c>
      <c r="DM34" s="50">
        <v>5.0900000000000001E-2</v>
      </c>
      <c r="DN34" s="51">
        <v>0</v>
      </c>
      <c r="DO34" s="50">
        <v>3.9199999999999999E-2</v>
      </c>
      <c r="DP34" s="50">
        <v>0.1041</v>
      </c>
      <c r="DQ34" s="40">
        <v>0.2379165124598851</v>
      </c>
      <c r="DR34" s="30">
        <v>0</v>
      </c>
      <c r="DS34" s="32">
        <v>0.24941595731547139</v>
      </c>
      <c r="DT34" s="34">
        <v>0.43200111028882737</v>
      </c>
    </row>
    <row r="35" spans="1:124" ht="12" customHeight="1" x14ac:dyDescent="0.2">
      <c r="A35" s="1"/>
      <c r="B35" s="25"/>
      <c r="C35" s="47"/>
      <c r="D35" s="68">
        <v>1.4</v>
      </c>
      <c r="E35" s="85">
        <f t="shared" si="2"/>
        <v>6.7400000000000002E-2</v>
      </c>
      <c r="F35" s="85">
        <f t="shared" si="3"/>
        <v>6.0859999999999997E-2</v>
      </c>
      <c r="G35" s="85">
        <f t="shared" si="4"/>
        <v>0</v>
      </c>
      <c r="H35" s="85">
        <f t="shared" si="5"/>
        <v>4.3339999999999997E-2</v>
      </c>
      <c r="I35" s="85">
        <f t="shared" si="6"/>
        <v>0.10780000000000001</v>
      </c>
      <c r="J35" s="85">
        <f t="shared" si="7"/>
        <v>0.25606689218135026</v>
      </c>
      <c r="K35" s="85">
        <f t="shared" si="8"/>
        <v>0</v>
      </c>
      <c r="L35" s="85">
        <f t="shared" si="9"/>
        <v>0.25</v>
      </c>
      <c r="M35" s="85">
        <f t="shared" si="10"/>
        <v>0.4330127018922193</v>
      </c>
      <c r="N35" s="1"/>
      <c r="P35" s="15"/>
      <c r="Q35" s="28"/>
      <c r="R35" s="31">
        <v>1.4</v>
      </c>
      <c r="S35" s="37">
        <v>6.7400000000000002E-2</v>
      </c>
      <c r="T35" s="32">
        <v>6.0859999999999997E-2</v>
      </c>
      <c r="U35" s="30">
        <v>0</v>
      </c>
      <c r="V35" s="32">
        <v>4.3339999999999997E-2</v>
      </c>
      <c r="W35" s="32">
        <v>0.10780000000000001</v>
      </c>
      <c r="X35" s="40">
        <v>0.25606689218135026</v>
      </c>
      <c r="Y35" s="30">
        <v>0</v>
      </c>
      <c r="Z35" s="32">
        <v>0.25</v>
      </c>
      <c r="AA35" s="34">
        <v>0.4330127018922193</v>
      </c>
      <c r="AC35" s="15"/>
      <c r="AD35" s="28"/>
      <c r="AE35" s="31">
        <v>1.4</v>
      </c>
      <c r="AF35" s="37">
        <v>6.8900000000000003E-2</v>
      </c>
      <c r="AG35" s="32">
        <f>1/18.8</f>
        <v>5.3191489361702128E-2</v>
      </c>
      <c r="AH35" s="30">
        <v>0</v>
      </c>
      <c r="AI35" s="32">
        <f>1/30.8</f>
        <v>3.2467532467532464E-2</v>
      </c>
      <c r="AJ35" s="32">
        <f>1/9.2</f>
        <v>0.10869565217391305</v>
      </c>
      <c r="AK35" s="40">
        <v>0.25606689218135026</v>
      </c>
      <c r="AL35" s="30">
        <v>0</v>
      </c>
      <c r="AM35" s="32">
        <v>0.25</v>
      </c>
      <c r="AN35" s="34">
        <v>0.4330127018922193</v>
      </c>
      <c r="AP35" s="15"/>
      <c r="AQ35" s="28"/>
      <c r="AR35" s="31">
        <v>1.4</v>
      </c>
      <c r="AS35" s="45">
        <f t="shared" si="27"/>
        <v>6.6143999999999994E-2</v>
      </c>
      <c r="AT35" s="32">
        <f>1/16.8</f>
        <v>5.9523809523809521E-2</v>
      </c>
      <c r="AU35" s="30">
        <v>0</v>
      </c>
      <c r="AV35" s="32">
        <f>1/23.8</f>
        <v>4.2016806722689072E-2</v>
      </c>
      <c r="AW35" s="32">
        <f>1/9.2</f>
        <v>0.10869565217391305</v>
      </c>
      <c r="AX35" s="40">
        <v>0.25606689218135026</v>
      </c>
      <c r="AY35" s="30">
        <v>0</v>
      </c>
      <c r="AZ35" s="32">
        <v>0.25</v>
      </c>
      <c r="BA35" s="34">
        <v>0.4330127018922193</v>
      </c>
      <c r="BC35" s="25"/>
      <c r="BD35" s="47"/>
      <c r="BE35" s="53">
        <v>1.4</v>
      </c>
      <c r="BF35" s="49">
        <v>6.7399999999999988E-2</v>
      </c>
      <c r="BG35" s="50">
        <v>5.7919999999999992E-2</v>
      </c>
      <c r="BH35" s="51">
        <v>0</v>
      </c>
      <c r="BI35" s="50">
        <v>3.9337199999999996E-2</v>
      </c>
      <c r="BJ35" s="50">
        <v>0.10860359999999998</v>
      </c>
      <c r="BK35" s="40">
        <v>0.25606689218135026</v>
      </c>
      <c r="BL35" s="30">
        <v>0</v>
      </c>
      <c r="BM35" s="32">
        <v>0.25</v>
      </c>
      <c r="BN35" s="34">
        <v>0.4330127018922193</v>
      </c>
      <c r="BP35" s="15"/>
      <c r="BQ35" s="28"/>
      <c r="BR35" s="31">
        <v>1.4</v>
      </c>
      <c r="BS35" s="84">
        <f t="shared" si="28"/>
        <v>7.0274138588332841E-2</v>
      </c>
      <c r="BT35" s="78">
        <f t="shared" si="29"/>
        <v>5.621931087066627E-2</v>
      </c>
      <c r="BU35" s="79">
        <v>0</v>
      </c>
      <c r="BV35" s="78">
        <f t="shared" si="30"/>
        <v>3.4651331619205847E-2</v>
      </c>
      <c r="BW35" s="83">
        <f t="shared" si="31"/>
        <v>9.6584458180900709E-2</v>
      </c>
      <c r="BX35" s="40">
        <v>0.25606689218135026</v>
      </c>
      <c r="BY35" s="30">
        <v>0</v>
      </c>
      <c r="BZ35" s="32">
        <v>0.25</v>
      </c>
      <c r="CA35" s="34">
        <v>0.4330127018922193</v>
      </c>
      <c r="CB35" s="46">
        <f t="shared" si="32"/>
        <v>0.60577772171060928</v>
      </c>
      <c r="CC35" s="46">
        <f t="shared" si="33"/>
        <v>0.39422227828939072</v>
      </c>
      <c r="CD35" s="70">
        <v>8</v>
      </c>
      <c r="CE35" s="71">
        <f t="shared" si="34"/>
        <v>14.222222222222221</v>
      </c>
      <c r="CF35" s="46">
        <f t="shared" si="35"/>
        <v>0.74244144485093133</v>
      </c>
      <c r="CG35" s="46">
        <f t="shared" si="36"/>
        <v>0.6378082818216223</v>
      </c>
      <c r="CI35" s="15"/>
      <c r="CJ35" s="28"/>
      <c r="CK35" s="31">
        <v>1.4</v>
      </c>
      <c r="CL35" s="45">
        <f t="shared" si="26"/>
        <v>6.7463173044799526E-2</v>
      </c>
      <c r="CM35" s="78">
        <f t="shared" si="37"/>
        <v>6.3149577194507436E-2</v>
      </c>
      <c r="CN35" s="79">
        <v>0</v>
      </c>
      <c r="CO35" s="78">
        <f t="shared" si="38"/>
        <v>4.5895193793339104E-2</v>
      </c>
      <c r="CP35" s="83">
        <v>9.6584458180900709E-2</v>
      </c>
      <c r="CQ35" s="40">
        <v>0.25606689218135026</v>
      </c>
      <c r="CR35" s="30">
        <v>0</v>
      </c>
      <c r="CS35" s="32">
        <v>0.25</v>
      </c>
      <c r="CT35" s="34">
        <v>0.4330127018922193</v>
      </c>
      <c r="CV35" s="25"/>
      <c r="CW35" s="47"/>
      <c r="CX35" s="53">
        <v>1.4</v>
      </c>
      <c r="CY35" s="45">
        <f t="shared" si="39"/>
        <v>6.8951406649616354E-2</v>
      </c>
      <c r="CZ35" s="78">
        <f t="shared" si="40"/>
        <v>5.3216797953964196E-2</v>
      </c>
      <c r="DA35" s="51">
        <v>0</v>
      </c>
      <c r="DB35" s="78">
        <f t="shared" si="41"/>
        <v>3.1354680306905372E-2</v>
      </c>
      <c r="DC35" s="50">
        <v>0.10859999999999999</v>
      </c>
      <c r="DD35" s="40">
        <v>0.25606689218135026</v>
      </c>
      <c r="DE35" s="30">
        <v>0</v>
      </c>
      <c r="DF35" s="32">
        <v>0.25</v>
      </c>
      <c r="DG35" s="34">
        <v>0.4330127018922193</v>
      </c>
      <c r="DI35" s="25"/>
      <c r="DJ35" s="47"/>
      <c r="DK35" s="53">
        <v>1.4</v>
      </c>
      <c r="DL35" s="49">
        <v>6.7400000000000002E-2</v>
      </c>
      <c r="DM35" s="50">
        <v>5.79E-2</v>
      </c>
      <c r="DN35" s="51">
        <v>0</v>
      </c>
      <c r="DO35" s="50">
        <v>3.9399999999999998E-2</v>
      </c>
      <c r="DP35" s="50">
        <v>0.10859999999999999</v>
      </c>
      <c r="DQ35" s="40">
        <v>0.25606689218135026</v>
      </c>
      <c r="DR35" s="30">
        <v>0</v>
      </c>
      <c r="DS35" s="32">
        <v>0.25</v>
      </c>
      <c r="DT35" s="34">
        <v>0.4330127018922193</v>
      </c>
    </row>
    <row r="36" spans="1:124" ht="12" customHeight="1" x14ac:dyDescent="0.2">
      <c r="A36" s="1"/>
      <c r="B36" s="25"/>
      <c r="C36" s="47"/>
      <c r="D36" s="68">
        <v>1.5</v>
      </c>
      <c r="E36" s="85">
        <f t="shared" si="2"/>
        <v>7.5499999999999998E-2</v>
      </c>
      <c r="F36" s="85">
        <f t="shared" si="3"/>
        <v>6.7460000000000006E-2</v>
      </c>
      <c r="G36" s="85">
        <f t="shared" si="4"/>
        <v>0</v>
      </c>
      <c r="H36" s="85">
        <f t="shared" si="5"/>
        <v>4.3049999999999998E-2</v>
      </c>
      <c r="I36" s="85">
        <f t="shared" si="6"/>
        <v>0.1113</v>
      </c>
      <c r="J36" s="85">
        <f t="shared" si="7"/>
        <v>0.2723290993692602</v>
      </c>
      <c r="K36" s="85">
        <f t="shared" si="8"/>
        <v>0</v>
      </c>
      <c r="L36" s="85">
        <f t="shared" si="9"/>
        <v>0.25</v>
      </c>
      <c r="M36" s="85">
        <f t="shared" si="10"/>
        <v>0.4330127018922193</v>
      </c>
      <c r="N36" s="1"/>
      <c r="P36" s="15"/>
      <c r="Q36" s="28"/>
      <c r="R36" s="31">
        <v>1.5</v>
      </c>
      <c r="S36" s="37">
        <v>7.5499999999999998E-2</v>
      </c>
      <c r="T36" s="32">
        <v>6.7460000000000006E-2</v>
      </c>
      <c r="U36" s="30">
        <v>0</v>
      </c>
      <c r="V36" s="32">
        <v>4.3049999999999998E-2</v>
      </c>
      <c r="W36" s="32">
        <v>0.1113</v>
      </c>
      <c r="X36" s="40">
        <v>0.2723290993692602</v>
      </c>
      <c r="Y36" s="30">
        <v>0</v>
      </c>
      <c r="Z36" s="32">
        <v>0.25</v>
      </c>
      <c r="AA36" s="34">
        <v>0.4330127018922193</v>
      </c>
      <c r="AC36" s="15"/>
      <c r="AD36" s="28"/>
      <c r="AE36" s="31">
        <v>1.5</v>
      </c>
      <c r="AF36" s="37">
        <v>7.7299999999999994E-2</v>
      </c>
      <c r="AG36" s="32">
        <f>1/16.6</f>
        <v>6.0240963855421679E-2</v>
      </c>
      <c r="AH36" s="30">
        <v>0</v>
      </c>
      <c r="AI36" s="32">
        <f>1/32.3</f>
        <v>3.0959752321981428E-2</v>
      </c>
      <c r="AJ36" s="32">
        <f>1/8.9</f>
        <v>0.11235955056179775</v>
      </c>
      <c r="AK36" s="40">
        <v>0.2723290993692602</v>
      </c>
      <c r="AL36" s="30">
        <v>0</v>
      </c>
      <c r="AM36" s="32">
        <v>0.25</v>
      </c>
      <c r="AN36" s="34">
        <v>0.4330127018922193</v>
      </c>
      <c r="AP36" s="15"/>
      <c r="AQ36" s="28"/>
      <c r="AR36" s="31">
        <v>1.5</v>
      </c>
      <c r="AS36" s="45">
        <f t="shared" si="27"/>
        <v>7.4207999999999996E-2</v>
      </c>
      <c r="AT36" s="32">
        <f>1/15.1</f>
        <v>6.6225165562913912E-2</v>
      </c>
      <c r="AU36" s="30">
        <v>0</v>
      </c>
      <c r="AV36" s="32">
        <f t="shared" ref="AV36:AV41" si="42">1/24</f>
        <v>4.1666666666666664E-2</v>
      </c>
      <c r="AW36" s="32">
        <f>1/8.9</f>
        <v>0.11235955056179775</v>
      </c>
      <c r="AX36" s="40">
        <v>0.2723290993692602</v>
      </c>
      <c r="AY36" s="30">
        <v>0</v>
      </c>
      <c r="AZ36" s="32">
        <v>0.25</v>
      </c>
      <c r="BA36" s="34">
        <v>0.4330127018922193</v>
      </c>
      <c r="BC36" s="25"/>
      <c r="BD36" s="47"/>
      <c r="BE36" s="53">
        <v>1.5</v>
      </c>
      <c r="BF36" s="49">
        <v>7.5520000000000004E-2</v>
      </c>
      <c r="BG36" s="50">
        <v>6.4515000000000003E-2</v>
      </c>
      <c r="BH36" s="51">
        <v>0</v>
      </c>
      <c r="BI36" s="50">
        <v>3.8812499999999993E-2</v>
      </c>
      <c r="BJ36" s="50">
        <v>0.1123425</v>
      </c>
      <c r="BK36" s="40">
        <v>0.2723290993692602</v>
      </c>
      <c r="BL36" s="30">
        <v>0</v>
      </c>
      <c r="BM36" s="32">
        <v>0.25</v>
      </c>
      <c r="BN36" s="34">
        <v>0.4330127018922193</v>
      </c>
      <c r="BP36" s="15"/>
      <c r="BQ36" s="28"/>
      <c r="BR36" s="31">
        <v>1.5</v>
      </c>
      <c r="BS36" s="84">
        <f t="shared" si="28"/>
        <v>7.8663940304623994E-2</v>
      </c>
      <c r="BT36" s="78">
        <f t="shared" si="29"/>
        <v>6.293115224369919E-2</v>
      </c>
      <c r="BU36" s="79">
        <v>0</v>
      </c>
      <c r="BV36" s="78">
        <f t="shared" si="30"/>
        <v>3.4064295578341647E-2</v>
      </c>
      <c r="BW36" s="83">
        <f t="shared" si="31"/>
        <v>9.2975206611570244E-2</v>
      </c>
      <c r="BX36" s="40">
        <v>0.2723290993692602</v>
      </c>
      <c r="BY36" s="30">
        <v>0</v>
      </c>
      <c r="BZ36" s="32">
        <v>0.25</v>
      </c>
      <c r="CA36" s="34">
        <v>0.4330127018922193</v>
      </c>
      <c r="CB36" s="46">
        <f t="shared" si="32"/>
        <v>0.66942148760330578</v>
      </c>
      <c r="CC36" s="46">
        <f t="shared" si="33"/>
        <v>0.33057851239669422</v>
      </c>
      <c r="CD36" s="70">
        <v>8</v>
      </c>
      <c r="CE36" s="71">
        <f t="shared" si="34"/>
        <v>14.222222222222221</v>
      </c>
      <c r="CF36" s="46">
        <f t="shared" si="35"/>
        <v>0.75206611570247928</v>
      </c>
      <c r="CG36" s="46">
        <f t="shared" si="36"/>
        <v>0.65134297520661155</v>
      </c>
      <c r="CI36" s="15"/>
      <c r="CJ36" s="28"/>
      <c r="CK36" s="31">
        <v>1.5</v>
      </c>
      <c r="CL36" s="45">
        <f t="shared" si="26"/>
        <v>7.5517382692439031E-2</v>
      </c>
      <c r="CM36" s="78">
        <f t="shared" si="37"/>
        <v>6.9744011359367517E-2</v>
      </c>
      <c r="CN36" s="79">
        <v>0</v>
      </c>
      <c r="CO36" s="78">
        <f t="shared" si="38"/>
        <v>4.6650526027081488E-2</v>
      </c>
      <c r="CP36" s="83">
        <v>9.2975206611570244E-2</v>
      </c>
      <c r="CQ36" s="40">
        <v>0.2723290993692602</v>
      </c>
      <c r="CR36" s="30">
        <v>0</v>
      </c>
      <c r="CS36" s="32">
        <v>0.25</v>
      </c>
      <c r="CT36" s="34">
        <v>0.4330127018922193</v>
      </c>
      <c r="CV36" s="25"/>
      <c r="CW36" s="47"/>
      <c r="CX36" s="53">
        <v>1.5</v>
      </c>
      <c r="CY36" s="45">
        <f t="shared" si="39"/>
        <v>7.7258312020460365E-2</v>
      </c>
      <c r="CZ36" s="78">
        <f t="shared" si="40"/>
        <v>6.0044117647058831E-2</v>
      </c>
      <c r="DA36" s="51">
        <v>0</v>
      </c>
      <c r="DB36" s="78">
        <f t="shared" si="41"/>
        <v>2.9805882352941172E-2</v>
      </c>
      <c r="DC36" s="50">
        <v>0.11230000000000001</v>
      </c>
      <c r="DD36" s="40">
        <v>0.2723290993692602</v>
      </c>
      <c r="DE36" s="30">
        <v>0</v>
      </c>
      <c r="DF36" s="32">
        <v>0.25</v>
      </c>
      <c r="DG36" s="34">
        <v>0.4330127018922193</v>
      </c>
      <c r="DI36" s="25"/>
      <c r="DJ36" s="47"/>
      <c r="DK36" s="53">
        <v>1.5</v>
      </c>
      <c r="DL36" s="49">
        <v>7.5499999999999998E-2</v>
      </c>
      <c r="DM36" s="50">
        <v>6.4500000000000002E-2</v>
      </c>
      <c r="DN36" s="51">
        <v>0</v>
      </c>
      <c r="DO36" s="50">
        <v>3.8800000000000001E-2</v>
      </c>
      <c r="DP36" s="50">
        <v>0.11230000000000001</v>
      </c>
      <c r="DQ36" s="40">
        <v>0.2723290993692602</v>
      </c>
      <c r="DR36" s="30">
        <v>0</v>
      </c>
      <c r="DS36" s="32">
        <v>0.25</v>
      </c>
      <c r="DT36" s="34">
        <v>0.4330127018922193</v>
      </c>
    </row>
    <row r="37" spans="1:124" ht="12" customHeight="1" x14ac:dyDescent="0.2">
      <c r="A37" s="1"/>
      <c r="B37" s="25"/>
      <c r="C37" s="47"/>
      <c r="D37" s="68">
        <v>1.6</v>
      </c>
      <c r="E37" s="85">
        <f t="shared" si="2"/>
        <v>8.3099999999999993E-2</v>
      </c>
      <c r="F37" s="85">
        <f t="shared" si="3"/>
        <v>7.3599999999999999E-2</v>
      </c>
      <c r="G37" s="85">
        <f t="shared" si="4"/>
        <v>0</v>
      </c>
      <c r="H37" s="85">
        <f t="shared" si="5"/>
        <v>4.2450000000000002E-2</v>
      </c>
      <c r="I37" s="85">
        <f t="shared" si="6"/>
        <v>0.114</v>
      </c>
      <c r="J37" s="85">
        <f t="shared" si="7"/>
        <v>0.28655853065868148</v>
      </c>
      <c r="K37" s="85">
        <f t="shared" si="8"/>
        <v>0</v>
      </c>
      <c r="L37" s="85">
        <f t="shared" si="9"/>
        <v>0.25</v>
      </c>
      <c r="M37" s="85">
        <f t="shared" si="10"/>
        <v>0.4330127018922193</v>
      </c>
      <c r="N37" s="1"/>
      <c r="P37" s="15"/>
      <c r="Q37" s="28"/>
      <c r="R37" s="31">
        <v>1.6</v>
      </c>
      <c r="S37" s="37">
        <v>8.3099999999999993E-2</v>
      </c>
      <c r="T37" s="32">
        <v>7.3599999999999999E-2</v>
      </c>
      <c r="U37" s="30">
        <v>0</v>
      </c>
      <c r="V37" s="32">
        <v>4.2450000000000002E-2</v>
      </c>
      <c r="W37" s="32">
        <v>0.114</v>
      </c>
      <c r="X37" s="40">
        <v>0.28655853065868148</v>
      </c>
      <c r="Y37" s="30">
        <v>0</v>
      </c>
      <c r="Z37" s="32">
        <v>0.25</v>
      </c>
      <c r="AA37" s="34">
        <v>0.4330127018922193</v>
      </c>
      <c r="AC37" s="15"/>
      <c r="AD37" s="28"/>
      <c r="AE37" s="31">
        <v>1.6</v>
      </c>
      <c r="AF37" s="37">
        <v>8.5199999999999998E-2</v>
      </c>
      <c r="AG37" s="32">
        <f>1/15</f>
        <v>6.6666666666666666E-2</v>
      </c>
      <c r="AH37" s="30">
        <v>0</v>
      </c>
      <c r="AI37" s="32">
        <f>1/33.6</f>
        <v>2.976190476190476E-2</v>
      </c>
      <c r="AJ37" s="32">
        <f>1/8.7</f>
        <v>0.1149425287356322</v>
      </c>
      <c r="AK37" s="40">
        <v>0.28655853065868148</v>
      </c>
      <c r="AL37" s="30">
        <v>0</v>
      </c>
      <c r="AM37" s="32">
        <v>0.25</v>
      </c>
      <c r="AN37" s="34">
        <v>0.4330127018922193</v>
      </c>
      <c r="AP37" s="15"/>
      <c r="AQ37" s="28"/>
      <c r="AR37" s="31">
        <v>1.6</v>
      </c>
      <c r="AS37" s="45">
        <f t="shared" si="27"/>
        <v>8.179199999999999E-2</v>
      </c>
      <c r="AT37" s="32">
        <f>1/13.8</f>
        <v>7.2463768115942032E-2</v>
      </c>
      <c r="AU37" s="30">
        <v>0</v>
      </c>
      <c r="AV37" s="32">
        <f t="shared" si="42"/>
        <v>4.1666666666666664E-2</v>
      </c>
      <c r="AW37" s="32">
        <f>1/8.7</f>
        <v>0.1149425287356322</v>
      </c>
      <c r="AX37" s="40">
        <v>0.28655853065868148</v>
      </c>
      <c r="AY37" s="30">
        <v>0</v>
      </c>
      <c r="AZ37" s="32">
        <v>0.25</v>
      </c>
      <c r="BA37" s="34">
        <v>0.4330127018922193</v>
      </c>
      <c r="BC37" s="25"/>
      <c r="BD37" s="47"/>
      <c r="BE37" s="53">
        <v>1.6</v>
      </c>
      <c r="BF37" s="49">
        <v>8.3160000000000012E-2</v>
      </c>
      <c r="BG37" s="50">
        <v>7.0696000000000009E-2</v>
      </c>
      <c r="BH37" s="51">
        <v>0</v>
      </c>
      <c r="BI37" s="50">
        <v>3.8154239999999999E-2</v>
      </c>
      <c r="BJ37" s="50">
        <v>0.11549696000000001</v>
      </c>
      <c r="BK37" s="40">
        <v>0.28655853065868148</v>
      </c>
      <c r="BL37" s="30">
        <v>0</v>
      </c>
      <c r="BM37" s="32">
        <v>0.25</v>
      </c>
      <c r="BN37" s="34">
        <v>0.4330127018922193</v>
      </c>
      <c r="BP37" s="15"/>
      <c r="BQ37" s="28"/>
      <c r="BR37" s="31">
        <v>1.6</v>
      </c>
      <c r="BS37" s="84">
        <f t="shared" si="28"/>
        <v>8.6453022402194935E-2</v>
      </c>
      <c r="BT37" s="78">
        <f t="shared" si="29"/>
        <v>6.9162417921755939E-2</v>
      </c>
      <c r="BU37" s="79">
        <v>0</v>
      </c>
      <c r="BV37" s="78">
        <f t="shared" si="30"/>
        <v>3.3234077553102703E-2</v>
      </c>
      <c r="BW37" s="83">
        <f t="shared" si="31"/>
        <v>8.836264027569142E-2</v>
      </c>
      <c r="BX37" s="40">
        <v>0.28655853065868148</v>
      </c>
      <c r="BY37" s="30">
        <v>0</v>
      </c>
      <c r="BZ37" s="32">
        <v>0.25</v>
      </c>
      <c r="CA37" s="34">
        <v>0.4330127018922193</v>
      </c>
      <c r="CB37" s="46">
        <f t="shared" si="32"/>
        <v>0.72386674913846438</v>
      </c>
      <c r="CC37" s="46">
        <f t="shared" si="33"/>
        <v>0.27613325086153562</v>
      </c>
      <c r="CD37" s="70">
        <v>8</v>
      </c>
      <c r="CE37" s="71">
        <f t="shared" si="34"/>
        <v>14.222222222222221</v>
      </c>
      <c r="CF37" s="46">
        <f t="shared" si="35"/>
        <v>0.76436629259815614</v>
      </c>
      <c r="CG37" s="46">
        <f t="shared" si="36"/>
        <v>0.66864009896615717</v>
      </c>
      <c r="CI37" s="15"/>
      <c r="CJ37" s="28"/>
      <c r="CK37" s="31">
        <v>1.6</v>
      </c>
      <c r="CL37" s="45">
        <f t="shared" si="26"/>
        <v>8.2994901506107138E-2</v>
      </c>
      <c r="CM37" s="78">
        <f t="shared" si="37"/>
        <v>7.5809233432376485E-2</v>
      </c>
      <c r="CN37" s="79">
        <v>0</v>
      </c>
      <c r="CO37" s="78">
        <f t="shared" si="38"/>
        <v>4.7066561137453888E-2</v>
      </c>
      <c r="CP37" s="83">
        <v>8.836264027569142E-2</v>
      </c>
      <c r="CQ37" s="40">
        <v>0.28655853065868148</v>
      </c>
      <c r="CR37" s="30">
        <v>0</v>
      </c>
      <c r="CS37" s="32">
        <v>0.25</v>
      </c>
      <c r="CT37" s="34">
        <v>0.4330127018922193</v>
      </c>
      <c r="CV37" s="25"/>
      <c r="CW37" s="47"/>
      <c r="CX37" s="53">
        <v>1.6</v>
      </c>
      <c r="CY37" s="45">
        <f t="shared" si="39"/>
        <v>8.5074168797953986E-2</v>
      </c>
      <c r="CZ37" s="78">
        <f t="shared" si="40"/>
        <v>6.6468403069053716E-2</v>
      </c>
      <c r="DA37" s="51">
        <v>0</v>
      </c>
      <c r="DB37" s="78">
        <f t="shared" si="41"/>
        <v>2.8183979539641944E-2</v>
      </c>
      <c r="DC37" s="50">
        <v>0.11550000000000001</v>
      </c>
      <c r="DD37" s="40">
        <v>0.28655853065868148</v>
      </c>
      <c r="DE37" s="30">
        <v>0</v>
      </c>
      <c r="DF37" s="32">
        <v>0.25</v>
      </c>
      <c r="DG37" s="34">
        <v>0.4330127018922193</v>
      </c>
      <c r="DI37" s="25"/>
      <c r="DJ37" s="47"/>
      <c r="DK37" s="53">
        <v>1.6</v>
      </c>
      <c r="DL37" s="49">
        <v>8.3199999999999996E-2</v>
      </c>
      <c r="DM37" s="50">
        <v>7.0699999999999999E-2</v>
      </c>
      <c r="DN37" s="51">
        <v>0</v>
      </c>
      <c r="DO37" s="50">
        <v>3.8100000000000002E-2</v>
      </c>
      <c r="DP37" s="50">
        <v>0.11550000000000001</v>
      </c>
      <c r="DQ37" s="40">
        <v>0.28655853065868148</v>
      </c>
      <c r="DR37" s="30">
        <v>0</v>
      </c>
      <c r="DS37" s="32">
        <v>0.25</v>
      </c>
      <c r="DT37" s="34">
        <v>0.4330127018922193</v>
      </c>
    </row>
    <row r="38" spans="1:124" ht="12" customHeight="1" x14ac:dyDescent="0.2">
      <c r="A38" s="1"/>
      <c r="B38" s="25"/>
      <c r="C38" s="47"/>
      <c r="D38" s="68">
        <v>1.7</v>
      </c>
      <c r="E38" s="85">
        <f t="shared" si="2"/>
        <v>9.0200000000000002E-2</v>
      </c>
      <c r="F38" s="85">
        <f t="shared" si="3"/>
        <v>7.9250000000000001E-2</v>
      </c>
      <c r="G38" s="85">
        <f t="shared" si="4"/>
        <v>0</v>
      </c>
      <c r="H38" s="85">
        <f t="shared" si="5"/>
        <v>4.1680000000000002E-2</v>
      </c>
      <c r="I38" s="85">
        <f t="shared" si="6"/>
        <v>0.11609999999999999</v>
      </c>
      <c r="J38" s="85">
        <f t="shared" si="7"/>
        <v>0.29911391120817077</v>
      </c>
      <c r="K38" s="85">
        <f t="shared" si="8"/>
        <v>0</v>
      </c>
      <c r="L38" s="85">
        <f t="shared" si="9"/>
        <v>0.25</v>
      </c>
      <c r="M38" s="85">
        <f t="shared" si="10"/>
        <v>0.4330127018922193</v>
      </c>
      <c r="N38" s="1"/>
      <c r="P38" s="15"/>
      <c r="Q38" s="28"/>
      <c r="R38" s="31">
        <v>1.7</v>
      </c>
      <c r="S38" s="37">
        <v>9.0200000000000002E-2</v>
      </c>
      <c r="T38" s="32">
        <v>7.9250000000000001E-2</v>
      </c>
      <c r="U38" s="30">
        <v>0</v>
      </c>
      <c r="V38" s="32">
        <v>4.1680000000000002E-2</v>
      </c>
      <c r="W38" s="32">
        <v>0.11609999999999999</v>
      </c>
      <c r="X38" s="40">
        <v>0.29911391120817077</v>
      </c>
      <c r="Y38" s="30">
        <v>0</v>
      </c>
      <c r="Z38" s="32">
        <v>0.25</v>
      </c>
      <c r="AA38" s="34">
        <v>0.4330127018922193</v>
      </c>
      <c r="AC38" s="15"/>
      <c r="AD38" s="28"/>
      <c r="AE38" s="31">
        <v>1.7</v>
      </c>
      <c r="AF38" s="37">
        <v>9.2600000000000002E-2</v>
      </c>
      <c r="AG38" s="32">
        <f>1/13.8</f>
        <v>7.2463768115942032E-2</v>
      </c>
      <c r="AH38" s="30">
        <v>0</v>
      </c>
      <c r="AI38" s="32">
        <f>1/34.9</f>
        <v>2.865329512893983E-2</v>
      </c>
      <c r="AJ38" s="32">
        <f>1/8.5</f>
        <v>0.11764705882352941</v>
      </c>
      <c r="AK38" s="40">
        <v>0.29911391120817077</v>
      </c>
      <c r="AL38" s="30">
        <v>0</v>
      </c>
      <c r="AM38" s="32">
        <v>0.25</v>
      </c>
      <c r="AN38" s="34">
        <v>0.4330127018922193</v>
      </c>
      <c r="AP38" s="15"/>
      <c r="AQ38" s="28"/>
      <c r="AR38" s="31">
        <v>1.7</v>
      </c>
      <c r="AS38" s="45">
        <f t="shared" si="27"/>
        <v>8.8896000000000003E-2</v>
      </c>
      <c r="AT38" s="32">
        <f>1/12.8</f>
        <v>7.8125E-2</v>
      </c>
      <c r="AU38" s="30">
        <v>0</v>
      </c>
      <c r="AV38" s="32">
        <f t="shared" si="42"/>
        <v>4.1666666666666664E-2</v>
      </c>
      <c r="AW38" s="32">
        <f>1/8.5</f>
        <v>0.11764705882352941</v>
      </c>
      <c r="AX38" s="40">
        <v>0.29911391120817077</v>
      </c>
      <c r="AY38" s="30">
        <v>0</v>
      </c>
      <c r="AZ38" s="32">
        <v>0.25</v>
      </c>
      <c r="BA38" s="34">
        <v>0.4330127018922193</v>
      </c>
      <c r="BC38" s="25"/>
      <c r="BD38" s="47"/>
      <c r="BE38" s="53">
        <v>1.7</v>
      </c>
      <c r="BF38" s="49">
        <v>9.0300000000000005E-2</v>
      </c>
      <c r="BG38" s="50">
        <v>7.6438000000000006E-2</v>
      </c>
      <c r="BH38" s="51">
        <v>0</v>
      </c>
      <c r="BI38" s="50">
        <v>3.7361920000000007E-2</v>
      </c>
      <c r="BJ38" s="50">
        <v>0.11791778</v>
      </c>
      <c r="BK38" s="40">
        <v>0.29911391120817077</v>
      </c>
      <c r="BL38" s="30">
        <v>0</v>
      </c>
      <c r="BM38" s="32">
        <v>0.25</v>
      </c>
      <c r="BN38" s="34">
        <v>0.4330127018922193</v>
      </c>
      <c r="BP38" s="15"/>
      <c r="BQ38" s="28"/>
      <c r="BR38" s="31">
        <v>1.7</v>
      </c>
      <c r="BS38" s="84">
        <f t="shared" si="28"/>
        <v>9.3567356765056287E-2</v>
      </c>
      <c r="BT38" s="78">
        <f t="shared" si="29"/>
        <v>7.4853885412045032E-2</v>
      </c>
      <c r="BU38" s="79">
        <v>0</v>
      </c>
      <c r="BV38" s="78">
        <f t="shared" si="30"/>
        <v>3.2202887049743487E-2</v>
      </c>
      <c r="BW38" s="83">
        <f t="shared" si="31"/>
        <v>8.3221219856064718E-2</v>
      </c>
      <c r="BX38" s="40">
        <v>0.29911391120817077</v>
      </c>
      <c r="BY38" s="30">
        <v>0</v>
      </c>
      <c r="BZ38" s="32">
        <v>0.25</v>
      </c>
      <c r="CA38" s="34">
        <v>0.4330127018922193</v>
      </c>
      <c r="CB38" s="46">
        <f t="shared" si="32"/>
        <v>0.76962984122888656</v>
      </c>
      <c r="CC38" s="46">
        <f t="shared" si="33"/>
        <v>0.23037015877111344</v>
      </c>
      <c r="CD38" s="70">
        <v>8</v>
      </c>
      <c r="CE38" s="71">
        <f t="shared" si="34"/>
        <v>14.222222222222221</v>
      </c>
      <c r="CF38" s="46">
        <f t="shared" si="35"/>
        <v>0.77807674705049401</v>
      </c>
      <c r="CG38" s="46">
        <f t="shared" si="36"/>
        <v>0.6879204255397573</v>
      </c>
      <c r="CI38" s="15"/>
      <c r="CJ38" s="28"/>
      <c r="CK38" s="31">
        <v>1.7</v>
      </c>
      <c r="CL38" s="45">
        <f t="shared" si="26"/>
        <v>8.9824662494454033E-2</v>
      </c>
      <c r="CM38" s="78">
        <f t="shared" si="37"/>
        <v>8.1294462821993735E-2</v>
      </c>
      <c r="CN38" s="79">
        <v>0</v>
      </c>
      <c r="CO38" s="78">
        <f t="shared" si="38"/>
        <v>4.7173664132152494E-2</v>
      </c>
      <c r="CP38" s="83">
        <v>8.3221219856064718E-2</v>
      </c>
      <c r="CQ38" s="40">
        <v>0.29911391120817077</v>
      </c>
      <c r="CR38" s="30">
        <v>0</v>
      </c>
      <c r="CS38" s="32">
        <v>0.25</v>
      </c>
      <c r="CT38" s="34">
        <v>0.4330127018922193</v>
      </c>
      <c r="CV38" s="25"/>
      <c r="CW38" s="47"/>
      <c r="CX38" s="53">
        <v>1.7</v>
      </c>
      <c r="CY38" s="45">
        <f t="shared" si="39"/>
        <v>9.2378516624040938E-2</v>
      </c>
      <c r="CZ38" s="78">
        <f t="shared" si="40"/>
        <v>7.2464155498721233E-2</v>
      </c>
      <c r="DA38" s="51">
        <v>0</v>
      </c>
      <c r="DB38" s="78">
        <f t="shared" si="41"/>
        <v>2.6492296675191821E-2</v>
      </c>
      <c r="DC38" s="50">
        <v>0.11789999999999999</v>
      </c>
      <c r="DD38" s="40">
        <v>0.29911391120817077</v>
      </c>
      <c r="DE38" s="30">
        <v>0</v>
      </c>
      <c r="DF38" s="32">
        <v>0.25</v>
      </c>
      <c r="DG38" s="34">
        <v>0.4330127018922193</v>
      </c>
      <c r="DI38" s="25"/>
      <c r="DJ38" s="47"/>
      <c r="DK38" s="53">
        <v>1.7</v>
      </c>
      <c r="DL38" s="49">
        <v>9.0299999999999991E-2</v>
      </c>
      <c r="DM38" s="50">
        <v>7.4900000000000008E-2</v>
      </c>
      <c r="DN38" s="51">
        <v>0</v>
      </c>
      <c r="DO38" s="50">
        <v>3.7400000000000003E-2</v>
      </c>
      <c r="DP38" s="50">
        <v>0.11789999999999999</v>
      </c>
      <c r="DQ38" s="40">
        <v>0.29911391120817077</v>
      </c>
      <c r="DR38" s="30">
        <v>0</v>
      </c>
      <c r="DS38" s="32">
        <v>0.25</v>
      </c>
      <c r="DT38" s="34">
        <v>0.4330127018922193</v>
      </c>
    </row>
    <row r="39" spans="1:124" ht="12" customHeight="1" x14ac:dyDescent="0.2">
      <c r="A39" s="1"/>
      <c r="B39" s="25"/>
      <c r="C39" s="47"/>
      <c r="D39" s="68">
        <v>1.8</v>
      </c>
      <c r="E39" s="85">
        <f t="shared" si="2"/>
        <v>9.6699999999999994E-2</v>
      </c>
      <c r="F39" s="85">
        <f t="shared" si="3"/>
        <v>8.4390000000000007E-2</v>
      </c>
      <c r="G39" s="85">
        <f t="shared" si="4"/>
        <v>0</v>
      </c>
      <c r="H39" s="85">
        <f t="shared" si="5"/>
        <v>4.086E-2</v>
      </c>
      <c r="I39" s="85">
        <f t="shared" si="6"/>
        <v>0.1178</v>
      </c>
      <c r="J39" s="85">
        <f t="shared" si="7"/>
        <v>0.31027424947438353</v>
      </c>
      <c r="K39" s="85">
        <f t="shared" si="8"/>
        <v>0</v>
      </c>
      <c r="L39" s="85">
        <f t="shared" si="9"/>
        <v>0.25</v>
      </c>
      <c r="M39" s="85">
        <f t="shared" si="10"/>
        <v>0.4330127018922193</v>
      </c>
      <c r="N39" s="1"/>
      <c r="P39" s="15"/>
      <c r="Q39" s="28"/>
      <c r="R39" s="31">
        <v>1.8</v>
      </c>
      <c r="S39" s="37">
        <v>9.6699999999999994E-2</v>
      </c>
      <c r="T39" s="32">
        <v>8.4390000000000007E-2</v>
      </c>
      <c r="U39" s="30">
        <v>0</v>
      </c>
      <c r="V39" s="32">
        <v>4.086E-2</v>
      </c>
      <c r="W39" s="32">
        <v>0.1178</v>
      </c>
      <c r="X39" s="40">
        <v>0.31027424947438353</v>
      </c>
      <c r="Y39" s="30">
        <v>0</v>
      </c>
      <c r="Z39" s="32">
        <v>0.25</v>
      </c>
      <c r="AA39" s="34">
        <v>0.4330127018922193</v>
      </c>
      <c r="AC39" s="15"/>
      <c r="AD39" s="28"/>
      <c r="AE39" s="31">
        <v>1.8</v>
      </c>
      <c r="AF39" s="37">
        <v>9.9400000000000002E-2</v>
      </c>
      <c r="AG39" s="32">
        <f>1/12.8</f>
        <v>7.8125E-2</v>
      </c>
      <c r="AH39" s="30">
        <v>0</v>
      </c>
      <c r="AI39" s="32">
        <f>1/36.2</f>
        <v>2.7624309392265192E-2</v>
      </c>
      <c r="AJ39" s="32">
        <f>1/8.4</f>
        <v>0.11904761904761904</v>
      </c>
      <c r="AK39" s="40">
        <v>0.31027424947438353</v>
      </c>
      <c r="AL39" s="30">
        <v>0</v>
      </c>
      <c r="AM39" s="32">
        <v>0.25</v>
      </c>
      <c r="AN39" s="34">
        <v>0.4330127018922193</v>
      </c>
      <c r="AP39" s="15"/>
      <c r="AQ39" s="28"/>
      <c r="AR39" s="31">
        <v>1.8</v>
      </c>
      <c r="AS39" s="45">
        <f t="shared" si="27"/>
        <v>9.5423999999999995E-2</v>
      </c>
      <c r="AT39" s="32">
        <f>1/12</f>
        <v>8.3333333333333329E-2</v>
      </c>
      <c r="AU39" s="30">
        <v>0</v>
      </c>
      <c r="AV39" s="32">
        <f t="shared" si="42"/>
        <v>4.1666666666666664E-2</v>
      </c>
      <c r="AW39" s="32">
        <f>1/8.4</f>
        <v>0.11904761904761904</v>
      </c>
      <c r="AX39" s="40">
        <v>0.31027424947438353</v>
      </c>
      <c r="AY39" s="30">
        <v>0</v>
      </c>
      <c r="AZ39" s="32">
        <v>0.25</v>
      </c>
      <c r="BA39" s="34">
        <v>0.4330127018922193</v>
      </c>
      <c r="BC39" s="25"/>
      <c r="BD39" s="47"/>
      <c r="BE39" s="53">
        <v>1.8</v>
      </c>
      <c r="BF39" s="49">
        <v>9.69E-2</v>
      </c>
      <c r="BG39" s="56">
        <v>8.1652000000000016E-2</v>
      </c>
      <c r="BH39" s="51">
        <v>0</v>
      </c>
      <c r="BI39" s="50">
        <v>3.6326879999999992E-2</v>
      </c>
      <c r="BJ39" s="50">
        <v>0.11958192000000001</v>
      </c>
      <c r="BK39" s="40">
        <v>0.31027424947438353</v>
      </c>
      <c r="BL39" s="30">
        <v>0</v>
      </c>
      <c r="BM39" s="32">
        <v>0.25</v>
      </c>
      <c r="BN39" s="34">
        <v>0.4330127018922193</v>
      </c>
      <c r="BP39" s="15"/>
      <c r="BQ39" s="28"/>
      <c r="BR39" s="31">
        <v>1.8</v>
      </c>
      <c r="BS39" s="84">
        <f t="shared" si="28"/>
        <v>9.9981518762587193E-2</v>
      </c>
      <c r="BT39" s="78">
        <f t="shared" si="29"/>
        <v>7.9985215010069763E-2</v>
      </c>
      <c r="BU39" s="79">
        <v>0</v>
      </c>
      <c r="BV39" s="78">
        <f t="shared" si="30"/>
        <v>3.1017963031869655E-2</v>
      </c>
      <c r="BW39" s="83">
        <f t="shared" si="31"/>
        <v>7.78989967378593E-2</v>
      </c>
      <c r="BX39" s="40">
        <v>0.31027424947438353</v>
      </c>
      <c r="BY39" s="30">
        <v>0</v>
      </c>
      <c r="BZ39" s="32">
        <v>0.25</v>
      </c>
      <c r="CA39" s="34">
        <v>0.4330127018922193</v>
      </c>
      <c r="CB39" s="46">
        <f t="shared" si="32"/>
        <v>0.80765679817812519</v>
      </c>
      <c r="CC39" s="46">
        <f t="shared" si="33"/>
        <v>0.19234320182187481</v>
      </c>
      <c r="CD39" s="70">
        <v>8</v>
      </c>
      <c r="CE39" s="71">
        <f t="shared" si="34"/>
        <v>14.222222222222221</v>
      </c>
      <c r="CF39" s="46">
        <f t="shared" si="35"/>
        <v>0.7922693420323752</v>
      </c>
      <c r="CG39" s="46">
        <f t="shared" si="36"/>
        <v>0.70787876223302759</v>
      </c>
      <c r="CI39" s="15"/>
      <c r="CJ39" s="28"/>
      <c r="CK39" s="31">
        <v>1.8</v>
      </c>
      <c r="CL39" s="45">
        <f t="shared" si="26"/>
        <v>9.5982258012083696E-2</v>
      </c>
      <c r="CM39" s="78">
        <f t="shared" si="37"/>
        <v>8.6188807616443694E-2</v>
      </c>
      <c r="CN39" s="79">
        <v>0</v>
      </c>
      <c r="CO39" s="78">
        <f t="shared" si="38"/>
        <v>4.7015006033883609E-2</v>
      </c>
      <c r="CP39" s="83">
        <v>7.78989967378593E-2</v>
      </c>
      <c r="CQ39" s="40">
        <v>0.31027424947438353</v>
      </c>
      <c r="CR39" s="30">
        <v>0</v>
      </c>
      <c r="CS39" s="32">
        <v>0.25</v>
      </c>
      <c r="CT39" s="34">
        <v>0.4330127018922193</v>
      </c>
      <c r="CV39" s="25"/>
      <c r="CW39" s="47"/>
      <c r="CX39" s="53">
        <v>1.8</v>
      </c>
      <c r="CY39" s="45">
        <f t="shared" si="39"/>
        <v>9.9130434782608703E-2</v>
      </c>
      <c r="CZ39" s="78">
        <f t="shared" si="40"/>
        <v>7.7957000511508986E-2</v>
      </c>
      <c r="DA39" s="51">
        <v>0</v>
      </c>
      <c r="DB39" s="78">
        <f t="shared" si="41"/>
        <v>2.4633329923273647E-2</v>
      </c>
      <c r="DC39" s="50">
        <v>0.11960000000000001</v>
      </c>
      <c r="DD39" s="40">
        <v>0.31027424947438353</v>
      </c>
      <c r="DE39" s="30">
        <v>0</v>
      </c>
      <c r="DF39" s="32">
        <v>0.25</v>
      </c>
      <c r="DG39" s="34">
        <v>0.4330127018922193</v>
      </c>
      <c r="DI39" s="25"/>
      <c r="DJ39" s="47"/>
      <c r="DK39" s="53">
        <v>1.8</v>
      </c>
      <c r="DL39" s="49">
        <v>9.69E-2</v>
      </c>
      <c r="DM39" s="96">
        <v>7.5600000000000001E-2</v>
      </c>
      <c r="DN39" s="51">
        <v>0</v>
      </c>
      <c r="DO39" s="50">
        <v>3.6299999999999999E-2</v>
      </c>
      <c r="DP39" s="50">
        <v>0.11960000000000001</v>
      </c>
      <c r="DQ39" s="40">
        <v>0.31027424947438353</v>
      </c>
      <c r="DR39" s="30">
        <v>0</v>
      </c>
      <c r="DS39" s="32">
        <v>0.25</v>
      </c>
      <c r="DT39" s="34">
        <v>0.4330127018922193</v>
      </c>
    </row>
    <row r="40" spans="1:124" ht="12" customHeight="1" x14ac:dyDescent="0.2">
      <c r="A40" s="1"/>
      <c r="B40" s="25"/>
      <c r="C40" s="47"/>
      <c r="D40" s="68">
        <v>1.9</v>
      </c>
      <c r="E40" s="85">
        <f t="shared" si="2"/>
        <v>0.1026</v>
      </c>
      <c r="F40" s="85">
        <f t="shared" si="3"/>
        <v>8.9050000000000004E-2</v>
      </c>
      <c r="G40" s="85">
        <f t="shared" si="4"/>
        <v>0</v>
      </c>
      <c r="H40" s="85">
        <f t="shared" si="5"/>
        <v>4.0039999999999999E-2</v>
      </c>
      <c r="I40" s="85">
        <f t="shared" si="6"/>
        <v>0.11899999999999999</v>
      </c>
      <c r="J40" s="85">
        <f t="shared" si="7"/>
        <v>0.32025981529152125</v>
      </c>
      <c r="K40" s="85">
        <f t="shared" si="8"/>
        <v>0</v>
      </c>
      <c r="L40" s="85">
        <f t="shared" si="9"/>
        <v>0.25</v>
      </c>
      <c r="M40" s="85">
        <f t="shared" si="10"/>
        <v>0.4330127018922193</v>
      </c>
      <c r="N40" s="1"/>
      <c r="P40" s="15"/>
      <c r="Q40" s="28"/>
      <c r="R40" s="31">
        <v>1.9</v>
      </c>
      <c r="S40" s="37">
        <v>0.1026</v>
      </c>
      <c r="T40" s="32">
        <v>8.9050000000000004E-2</v>
      </c>
      <c r="U40" s="30">
        <v>0</v>
      </c>
      <c r="V40" s="32">
        <v>4.0039999999999999E-2</v>
      </c>
      <c r="W40" s="32">
        <v>0.11899999999999999</v>
      </c>
      <c r="X40" s="40">
        <v>0.32025981529152125</v>
      </c>
      <c r="Y40" s="30">
        <v>0</v>
      </c>
      <c r="Z40" s="32">
        <v>0.25</v>
      </c>
      <c r="AA40" s="34">
        <v>0.4330127018922193</v>
      </c>
      <c r="AC40" s="15"/>
      <c r="AD40" s="28"/>
      <c r="AE40" s="31">
        <v>1.9</v>
      </c>
      <c r="AF40" s="37">
        <v>0.1056</v>
      </c>
      <c r="AG40" s="32">
        <f>1/12</f>
        <v>8.3333333333333329E-2</v>
      </c>
      <c r="AH40" s="30">
        <v>0</v>
      </c>
      <c r="AI40" s="32">
        <f>1/37.5</f>
        <v>2.6666666666666668E-2</v>
      </c>
      <c r="AJ40" s="32">
        <f>1/8.3</f>
        <v>0.12048192771084336</v>
      </c>
      <c r="AK40" s="40">
        <v>0.32025981529152125</v>
      </c>
      <c r="AL40" s="30">
        <v>0</v>
      </c>
      <c r="AM40" s="32">
        <v>0.25</v>
      </c>
      <c r="AN40" s="34">
        <v>0.4330127018922193</v>
      </c>
      <c r="AP40" s="15"/>
      <c r="AQ40" s="28"/>
      <c r="AR40" s="31">
        <v>1.9</v>
      </c>
      <c r="AS40" s="45">
        <f t="shared" si="27"/>
        <v>0.10137599999999999</v>
      </c>
      <c r="AT40" s="32">
        <f>1/11.3</f>
        <v>8.8495575221238937E-2</v>
      </c>
      <c r="AU40" s="30">
        <v>0</v>
      </c>
      <c r="AV40" s="32">
        <f t="shared" si="42"/>
        <v>4.1666666666666664E-2</v>
      </c>
      <c r="AW40" s="32">
        <f>1/8.3</f>
        <v>0.12048192771084336</v>
      </c>
      <c r="AX40" s="40">
        <v>0.32025981529152125</v>
      </c>
      <c r="AY40" s="30">
        <v>0</v>
      </c>
      <c r="AZ40" s="32">
        <v>0.25</v>
      </c>
      <c r="BA40" s="34">
        <v>0.4330127018922193</v>
      </c>
      <c r="BC40" s="25"/>
      <c r="BD40" s="47"/>
      <c r="BE40" s="53">
        <v>1.9</v>
      </c>
      <c r="BF40" s="49">
        <v>0.10287</v>
      </c>
      <c r="BG40" s="50">
        <v>8.6289999999999992E-2</v>
      </c>
      <c r="BH40" s="51">
        <v>0</v>
      </c>
      <c r="BI40" s="50">
        <v>3.528775E-2</v>
      </c>
      <c r="BJ40" s="50">
        <v>0.12142235000000001</v>
      </c>
      <c r="BK40" s="40">
        <v>0.32025981529152125</v>
      </c>
      <c r="BL40" s="30">
        <v>0</v>
      </c>
      <c r="BM40" s="32">
        <v>0.25</v>
      </c>
      <c r="BN40" s="34">
        <v>0.4330127018922193</v>
      </c>
      <c r="BP40" s="15"/>
      <c r="BQ40" s="28"/>
      <c r="BR40" s="31">
        <v>1.9</v>
      </c>
      <c r="BS40" s="84">
        <f t="shared" si="28"/>
        <v>0.10570828852472687</v>
      </c>
      <c r="BT40" s="78">
        <f t="shared" si="29"/>
        <v>8.456663081978151E-2</v>
      </c>
      <c r="BU40" s="79">
        <v>0</v>
      </c>
      <c r="BV40" s="78">
        <f t="shared" si="30"/>
        <v>2.9727646457515949E-2</v>
      </c>
      <c r="BW40" s="83">
        <f t="shared" si="31"/>
        <v>7.2631839867113912E-2</v>
      </c>
      <c r="BX40" s="40">
        <v>0.32025981529152125</v>
      </c>
      <c r="BY40" s="30">
        <v>0</v>
      </c>
      <c r="BZ40" s="32">
        <v>0.25</v>
      </c>
      <c r="CA40" s="34">
        <v>0.4330127018922193</v>
      </c>
      <c r="CB40" s="46">
        <f t="shared" si="32"/>
        <v>0.8390430141448999</v>
      </c>
      <c r="CC40" s="46">
        <f t="shared" si="33"/>
        <v>0.1609569858551001</v>
      </c>
      <c r="CD40" s="70">
        <v>8</v>
      </c>
      <c r="CE40" s="71">
        <f t="shared" si="34"/>
        <v>14.222222222222221</v>
      </c>
      <c r="CF40" s="46">
        <f t="shared" si="35"/>
        <v>0.80631509368769627</v>
      </c>
      <c r="CG40" s="46">
        <f t="shared" si="36"/>
        <v>0.72763060049832284</v>
      </c>
      <c r="CI40" s="15"/>
      <c r="CJ40" s="28"/>
      <c r="CK40" s="31">
        <v>1.9</v>
      </c>
      <c r="CL40" s="45">
        <f t="shared" si="26"/>
        <v>0.1014799569837378</v>
      </c>
      <c r="CM40" s="78">
        <f t="shared" si="37"/>
        <v>9.0512160111284698E-2</v>
      </c>
      <c r="CN40" s="79">
        <v>0</v>
      </c>
      <c r="CO40" s="78">
        <f t="shared" si="38"/>
        <v>4.6640972621472251E-2</v>
      </c>
      <c r="CP40" s="83">
        <v>7.2631839867113912E-2</v>
      </c>
      <c r="CQ40" s="40">
        <v>0.32025981529152125</v>
      </c>
      <c r="CR40" s="30">
        <v>0</v>
      </c>
      <c r="CS40" s="32">
        <v>0.25</v>
      </c>
      <c r="CT40" s="34">
        <v>0.4330127018922193</v>
      </c>
      <c r="CV40" s="25"/>
      <c r="CW40" s="47"/>
      <c r="CX40" s="53">
        <v>1.9</v>
      </c>
      <c r="CY40" s="45">
        <f t="shared" si="39"/>
        <v>0.1052378516624041</v>
      </c>
      <c r="CZ40" s="78">
        <f t="shared" si="40"/>
        <v>8.2861214833759578E-2</v>
      </c>
      <c r="DA40" s="51">
        <v>0</v>
      </c>
      <c r="DB40" s="78">
        <f t="shared" si="41"/>
        <v>2.2858567774936066E-2</v>
      </c>
      <c r="DC40" s="50">
        <v>0.12140000000000001</v>
      </c>
      <c r="DD40" s="40">
        <v>0.32025981529152125</v>
      </c>
      <c r="DE40" s="30">
        <v>0</v>
      </c>
      <c r="DF40" s="32">
        <v>0.25</v>
      </c>
      <c r="DG40" s="34">
        <v>0.4330127018922193</v>
      </c>
      <c r="DI40" s="25"/>
      <c r="DJ40" s="47"/>
      <c r="DK40" s="53">
        <v>1.9</v>
      </c>
      <c r="DL40" s="49">
        <v>0.10289999999999999</v>
      </c>
      <c r="DM40" s="50">
        <v>8.6300000000000002E-2</v>
      </c>
      <c r="DN40" s="51">
        <v>0</v>
      </c>
      <c r="DO40" s="50">
        <v>3.5299999999999998E-2</v>
      </c>
      <c r="DP40" s="50">
        <v>0.12140000000000001</v>
      </c>
      <c r="DQ40" s="40">
        <v>0.32025981529152125</v>
      </c>
      <c r="DR40" s="30">
        <v>0</v>
      </c>
      <c r="DS40" s="32">
        <v>0.25</v>
      </c>
      <c r="DT40" s="34">
        <v>0.4330127018922193</v>
      </c>
    </row>
    <row r="41" spans="1:124" ht="12" customHeight="1" x14ac:dyDescent="0.2">
      <c r="A41" s="1"/>
      <c r="B41" s="25"/>
      <c r="C41" s="47"/>
      <c r="D41" s="68">
        <v>2</v>
      </c>
      <c r="E41" s="85">
        <f t="shared" si="2"/>
        <v>0.1079</v>
      </c>
      <c r="F41" s="85">
        <f t="shared" si="3"/>
        <v>9.3240000000000003E-2</v>
      </c>
      <c r="G41" s="85">
        <f t="shared" si="4"/>
        <v>0</v>
      </c>
      <c r="H41" s="85">
        <f t="shared" si="5"/>
        <v>3.9329999999999997E-2</v>
      </c>
      <c r="I41" s="85">
        <f t="shared" si="6"/>
        <v>0.1198</v>
      </c>
      <c r="J41" s="85">
        <f t="shared" si="7"/>
        <v>0.3292468245269452</v>
      </c>
      <c r="K41" s="85">
        <f t="shared" si="8"/>
        <v>0</v>
      </c>
      <c r="L41" s="85">
        <f t="shared" si="9"/>
        <v>0.25</v>
      </c>
      <c r="M41" s="85">
        <f t="shared" si="10"/>
        <v>0.4330127018922193</v>
      </c>
      <c r="N41" s="1"/>
      <c r="P41" s="15"/>
      <c r="Q41" s="28"/>
      <c r="R41" s="31">
        <v>2</v>
      </c>
      <c r="S41" s="37">
        <v>0.1079</v>
      </c>
      <c r="T41" s="32">
        <v>9.3240000000000003E-2</v>
      </c>
      <c r="U41" s="30">
        <v>0</v>
      </c>
      <c r="V41" s="32">
        <v>3.9329999999999997E-2</v>
      </c>
      <c r="W41" s="32">
        <v>0.1198</v>
      </c>
      <c r="X41" s="40">
        <v>0.3292468245269452</v>
      </c>
      <c r="Y41" s="30">
        <v>0</v>
      </c>
      <c r="Z41" s="32">
        <v>0.25</v>
      </c>
      <c r="AA41" s="34">
        <v>0.4330127018922193</v>
      </c>
      <c r="AC41" s="15"/>
      <c r="AD41" s="28"/>
      <c r="AE41" s="31">
        <v>2</v>
      </c>
      <c r="AF41" s="37">
        <v>0.11119999999999999</v>
      </c>
      <c r="AG41" s="32">
        <f>1/11.4</f>
        <v>8.771929824561403E-2</v>
      </c>
      <c r="AH41" s="30">
        <v>0</v>
      </c>
      <c r="AI41" s="32">
        <f>1/38.8</f>
        <v>2.5773195876288662E-2</v>
      </c>
      <c r="AJ41" s="32">
        <f>1/8.2</f>
        <v>0.12195121951219513</v>
      </c>
      <c r="AK41" s="40">
        <v>0.3292468245269452</v>
      </c>
      <c r="AL41" s="30">
        <v>0</v>
      </c>
      <c r="AM41" s="32">
        <v>0.25</v>
      </c>
      <c r="AN41" s="34">
        <v>0.4330127018922193</v>
      </c>
      <c r="AP41" s="15"/>
      <c r="AQ41" s="28"/>
      <c r="AR41" s="31">
        <v>2</v>
      </c>
      <c r="AS41" s="45">
        <f t="shared" si="27"/>
        <v>0.10675199999999999</v>
      </c>
      <c r="AT41" s="32">
        <f>1/10.8</f>
        <v>9.2592592592592587E-2</v>
      </c>
      <c r="AU41" s="30">
        <v>0</v>
      </c>
      <c r="AV41" s="32">
        <f t="shared" si="42"/>
        <v>4.1666666666666664E-2</v>
      </c>
      <c r="AW41" s="32">
        <f>1/8.2</f>
        <v>0.12195121951219513</v>
      </c>
      <c r="AX41" s="40">
        <v>0.3292468245269452</v>
      </c>
      <c r="AY41" s="30">
        <v>0</v>
      </c>
      <c r="AZ41" s="32">
        <v>0.25</v>
      </c>
      <c r="BA41" s="34">
        <v>0.4330127018922193</v>
      </c>
      <c r="BC41" s="25"/>
      <c r="BD41" s="47"/>
      <c r="BE41" s="53">
        <v>2</v>
      </c>
      <c r="BF41" s="49">
        <v>0.1087</v>
      </c>
      <c r="BG41" s="50">
        <v>9.0800000000000006E-2</v>
      </c>
      <c r="BH41" s="51">
        <v>0</v>
      </c>
      <c r="BI41" s="50">
        <v>3.3599999999999998E-2</v>
      </c>
      <c r="BJ41" s="50">
        <v>0.122</v>
      </c>
      <c r="BK41" s="40">
        <v>0.3292468245269452</v>
      </c>
      <c r="BL41" s="30">
        <v>0</v>
      </c>
      <c r="BM41" s="32">
        <v>0.25</v>
      </c>
      <c r="BN41" s="34">
        <v>0.4330127018922193</v>
      </c>
      <c r="BP41" s="15"/>
      <c r="BQ41" s="28"/>
      <c r="BR41" s="31">
        <v>2</v>
      </c>
      <c r="BS41" s="84">
        <f t="shared" si="28"/>
        <v>0.11078646213781349</v>
      </c>
      <c r="BT41" s="78">
        <f t="shared" si="29"/>
        <v>8.8629169710250796E-2</v>
      </c>
      <c r="BU41" s="79">
        <v>0</v>
      </c>
      <c r="BV41" s="78">
        <f t="shared" si="30"/>
        <v>2.8376666362308251E-2</v>
      </c>
      <c r="BW41" s="83">
        <f t="shared" si="31"/>
        <v>6.7567567567567544E-2</v>
      </c>
      <c r="BX41" s="40">
        <v>0.3292468245269452</v>
      </c>
      <c r="BY41" s="30">
        <v>0</v>
      </c>
      <c r="BZ41" s="32">
        <v>0.25</v>
      </c>
      <c r="CA41" s="34">
        <v>0.4330127018922193</v>
      </c>
      <c r="CB41" s="46">
        <f t="shared" si="32"/>
        <v>0.86486486486486491</v>
      </c>
      <c r="CC41" s="46">
        <f t="shared" si="33"/>
        <v>0.13513513513513509</v>
      </c>
      <c r="CD41" s="70">
        <v>8</v>
      </c>
      <c r="CE41" s="71">
        <f t="shared" si="34"/>
        <v>14.222222222222221</v>
      </c>
      <c r="CF41" s="46">
        <f t="shared" si="35"/>
        <v>0.81981981981981977</v>
      </c>
      <c r="CG41" s="46">
        <f t="shared" si="36"/>
        <v>0.74662162162162171</v>
      </c>
      <c r="CI41" s="15"/>
      <c r="CJ41" s="28"/>
      <c r="CK41" s="31">
        <v>2</v>
      </c>
      <c r="CL41" s="45">
        <f t="shared" si="26"/>
        <v>0.10635500365230094</v>
      </c>
      <c r="CM41" s="78">
        <f t="shared" si="37"/>
        <v>9.4304502982712451E-2</v>
      </c>
      <c r="CN41" s="79">
        <v>0</v>
      </c>
      <c r="CO41" s="78">
        <f t="shared" si="38"/>
        <v>4.6102500304358411E-2</v>
      </c>
      <c r="CP41" s="83">
        <v>6.7567567567567544E-2</v>
      </c>
      <c r="CQ41" s="40">
        <v>0.3292468245269452</v>
      </c>
      <c r="CR41" s="30">
        <v>0</v>
      </c>
      <c r="CS41" s="32">
        <v>0.25</v>
      </c>
      <c r="CT41" s="34">
        <v>0.4330127018922193</v>
      </c>
      <c r="CV41" s="25"/>
      <c r="CW41" s="47"/>
      <c r="CX41" s="53">
        <v>2</v>
      </c>
      <c r="CY41" s="45">
        <f t="shared" si="39"/>
        <v>0.11120204603580564</v>
      </c>
      <c r="CZ41" s="78">
        <f t="shared" si="40"/>
        <v>8.7734015345268548E-2</v>
      </c>
      <c r="DA41" s="51">
        <v>0</v>
      </c>
      <c r="DB41" s="78">
        <f t="shared" si="41"/>
        <v>2.0439897698209718E-2</v>
      </c>
      <c r="DC41" s="50">
        <v>0.122</v>
      </c>
      <c r="DD41" s="40">
        <v>0.3292468245269452</v>
      </c>
      <c r="DE41" s="30">
        <v>0</v>
      </c>
      <c r="DF41" s="32">
        <v>0.25</v>
      </c>
      <c r="DG41" s="34">
        <v>0.4330127018922193</v>
      </c>
      <c r="DI41" s="25"/>
      <c r="DJ41" s="47"/>
      <c r="DK41" s="53">
        <v>2</v>
      </c>
      <c r="DL41" s="49">
        <v>0.10869999999999999</v>
      </c>
      <c r="DM41" s="50">
        <v>9.0800000000000006E-2</v>
      </c>
      <c r="DN41" s="51">
        <v>0</v>
      </c>
      <c r="DO41" s="50">
        <v>3.3599999999999998E-2</v>
      </c>
      <c r="DP41" s="50">
        <v>0.122</v>
      </c>
      <c r="DQ41" s="40">
        <v>0.3292468245269452</v>
      </c>
      <c r="DR41" s="30">
        <v>0</v>
      </c>
      <c r="DS41" s="32">
        <v>0.25</v>
      </c>
      <c r="DT41" s="34">
        <v>0.4330127018922193</v>
      </c>
    </row>
    <row r="42" spans="1:124" ht="12" customHeight="1" x14ac:dyDescent="0.2">
      <c r="A42" s="1"/>
      <c r="B42" s="54"/>
      <c r="C42" s="55"/>
      <c r="D42" s="22" t="s">
        <v>128</v>
      </c>
      <c r="E42" s="85">
        <f t="shared" si="2"/>
        <v>0.15</v>
      </c>
      <c r="F42" s="85">
        <f t="shared" si="3"/>
        <v>0.125</v>
      </c>
      <c r="G42" s="85">
        <f t="shared" si="4"/>
        <v>0</v>
      </c>
      <c r="H42" s="85">
        <f t="shared" si="5"/>
        <v>3.9329999999999997E-2</v>
      </c>
      <c r="I42" s="85">
        <f t="shared" si="6"/>
        <v>0.1198</v>
      </c>
      <c r="J42" s="85">
        <f t="shared" si="7"/>
        <v>0.5</v>
      </c>
      <c r="K42" s="85">
        <f t="shared" si="8"/>
        <v>0</v>
      </c>
      <c r="L42" s="85">
        <f t="shared" si="9"/>
        <v>0.25</v>
      </c>
      <c r="M42" s="85">
        <f t="shared" si="10"/>
        <v>0.4330127018922193</v>
      </c>
      <c r="N42" s="1"/>
      <c r="P42" s="17"/>
      <c r="Q42" s="29"/>
      <c r="R42" s="22" t="s">
        <v>128</v>
      </c>
      <c r="S42" s="200">
        <v>0.15</v>
      </c>
      <c r="T42" s="32">
        <v>0.125</v>
      </c>
      <c r="U42" s="30">
        <v>0</v>
      </c>
      <c r="V42" s="32">
        <f>V41</f>
        <v>3.9329999999999997E-2</v>
      </c>
      <c r="W42" s="92">
        <f>W41</f>
        <v>0.1198</v>
      </c>
      <c r="X42" s="41">
        <v>0.5</v>
      </c>
      <c r="Y42" s="30">
        <v>0</v>
      </c>
      <c r="Z42" s="32">
        <v>0.25</v>
      </c>
      <c r="AA42" s="34">
        <v>0.4330127018922193</v>
      </c>
      <c r="AC42" s="17"/>
      <c r="AD42" s="29"/>
      <c r="AE42" s="22" t="s">
        <v>128</v>
      </c>
      <c r="AF42" s="38">
        <v>0.15625</v>
      </c>
      <c r="AG42" s="32">
        <v>0.125</v>
      </c>
      <c r="AH42" s="30">
        <v>0</v>
      </c>
      <c r="AI42" s="32">
        <f>AI41</f>
        <v>2.5773195876288662E-2</v>
      </c>
      <c r="AJ42" s="92">
        <f>AJ41</f>
        <v>0.12195121951219513</v>
      </c>
      <c r="AK42" s="41">
        <v>0.5</v>
      </c>
      <c r="AL42" s="30">
        <v>0</v>
      </c>
      <c r="AM42" s="32">
        <v>0.25</v>
      </c>
      <c r="AN42" s="34">
        <v>0.4330127018922193</v>
      </c>
      <c r="AP42" s="17"/>
      <c r="AQ42" s="29"/>
      <c r="AR42" s="22" t="s">
        <v>128</v>
      </c>
      <c r="AS42" s="200">
        <v>0.15</v>
      </c>
      <c r="AT42" s="32">
        <f>1/8</f>
        <v>0.125</v>
      </c>
      <c r="AU42" s="30">
        <v>0</v>
      </c>
      <c r="AV42" s="32">
        <f>AV41</f>
        <v>4.1666666666666664E-2</v>
      </c>
      <c r="AW42" s="92">
        <f>AW41</f>
        <v>0.12195121951219513</v>
      </c>
      <c r="AX42" s="41">
        <v>0.5</v>
      </c>
      <c r="AY42" s="30">
        <v>0</v>
      </c>
      <c r="AZ42" s="32">
        <v>0.25</v>
      </c>
      <c r="BA42" s="34">
        <v>0.4330127018922193</v>
      </c>
      <c r="BC42" s="54"/>
      <c r="BD42" s="55"/>
      <c r="BE42" s="22" t="s">
        <v>128</v>
      </c>
      <c r="BF42" s="202">
        <v>0.15273437500000001</v>
      </c>
      <c r="BG42" s="32">
        <f>1/8</f>
        <v>0.125</v>
      </c>
      <c r="BH42" s="51">
        <v>0</v>
      </c>
      <c r="BI42" s="50">
        <f>BI41</f>
        <v>3.3599999999999998E-2</v>
      </c>
      <c r="BJ42" s="99">
        <f>BJ41</f>
        <v>0.122</v>
      </c>
      <c r="BK42" s="41">
        <v>0.5</v>
      </c>
      <c r="BL42" s="30">
        <v>0</v>
      </c>
      <c r="BM42" s="32">
        <v>0.25</v>
      </c>
      <c r="BN42" s="34">
        <v>0.4330127018922193</v>
      </c>
      <c r="BP42" s="17"/>
      <c r="BQ42" s="29"/>
      <c r="BR42" s="22" t="s">
        <v>128</v>
      </c>
      <c r="BS42" s="38">
        <v>0.15625</v>
      </c>
      <c r="BT42" s="32">
        <f>1/8</f>
        <v>0.125</v>
      </c>
      <c r="BU42" s="30">
        <v>0</v>
      </c>
      <c r="BV42" s="32">
        <f>BV41</f>
        <v>2.8376666362308251E-2</v>
      </c>
      <c r="BW42" s="32">
        <f>BW41</f>
        <v>6.7567567567567544E-2</v>
      </c>
      <c r="BX42" s="41">
        <v>0.5</v>
      </c>
      <c r="BY42" s="30">
        <v>0</v>
      </c>
      <c r="BZ42" s="32">
        <v>0.25</v>
      </c>
      <c r="CA42" s="34">
        <v>0.4330127018922193</v>
      </c>
      <c r="CB42" s="36"/>
      <c r="CC42" s="36"/>
      <c r="CD42" s="36"/>
      <c r="CE42" s="36"/>
      <c r="CF42" s="36"/>
      <c r="CG42" s="36"/>
      <c r="CI42" s="17"/>
      <c r="CJ42" s="29"/>
      <c r="CK42" s="22" t="s">
        <v>128</v>
      </c>
      <c r="CL42" s="200">
        <v>0.15</v>
      </c>
      <c r="CM42" s="32">
        <v>0.125</v>
      </c>
      <c r="CN42" s="30">
        <v>0</v>
      </c>
      <c r="CO42" s="50">
        <f>CO41</f>
        <v>4.6102500304358411E-2</v>
      </c>
      <c r="CP42" s="99">
        <f>CP41</f>
        <v>6.7567567567567544E-2</v>
      </c>
      <c r="CQ42" s="41">
        <v>0.5</v>
      </c>
      <c r="CR42" s="30">
        <v>0</v>
      </c>
      <c r="CS42" s="32">
        <v>0.25</v>
      </c>
      <c r="CT42" s="34">
        <v>0.4330127018922193</v>
      </c>
      <c r="CV42" s="54"/>
      <c r="CW42" s="55"/>
      <c r="CX42" s="22" t="s">
        <v>128</v>
      </c>
      <c r="CY42" s="38">
        <v>0.15625</v>
      </c>
      <c r="CZ42" s="32">
        <f>1/8</f>
        <v>0.125</v>
      </c>
      <c r="DA42" s="51">
        <v>0</v>
      </c>
      <c r="DB42" s="50">
        <f>DB41</f>
        <v>2.0439897698209718E-2</v>
      </c>
      <c r="DC42" s="99">
        <f>DC41</f>
        <v>0.122</v>
      </c>
      <c r="DD42" s="41">
        <v>0.5</v>
      </c>
      <c r="DE42" s="30">
        <v>0</v>
      </c>
      <c r="DF42" s="32">
        <v>0.25</v>
      </c>
      <c r="DG42" s="34">
        <v>0.4330127018922193</v>
      </c>
      <c r="DI42" s="54"/>
      <c r="DJ42" s="55"/>
      <c r="DK42" s="22" t="s">
        <v>128</v>
      </c>
      <c r="DL42" s="202">
        <v>0.15273437500000001</v>
      </c>
      <c r="DM42" s="32">
        <f>1/8</f>
        <v>0.125</v>
      </c>
      <c r="DN42" s="51">
        <v>0</v>
      </c>
      <c r="DO42" s="50">
        <f>DO41</f>
        <v>3.3599999999999998E-2</v>
      </c>
      <c r="DP42" s="99">
        <f>DP41</f>
        <v>0.122</v>
      </c>
      <c r="DQ42" s="41">
        <v>0.5</v>
      </c>
      <c r="DR42" s="30">
        <v>0</v>
      </c>
      <c r="DS42" s="32">
        <v>0.25</v>
      </c>
      <c r="DT42" s="34">
        <v>0.4330127018922193</v>
      </c>
    </row>
    <row r="43" spans="1:124" ht="12" customHeight="1" x14ac:dyDescent="0.3">
      <c r="A43" s="1"/>
      <c r="B43" s="25"/>
      <c r="C43" s="47"/>
      <c r="D43" s="20" t="s">
        <v>93</v>
      </c>
      <c r="E43" s="85" t="str">
        <f t="shared" si="2"/>
        <v>fmáx</v>
      </c>
      <c r="F43" s="85" t="str">
        <f t="shared" si="3"/>
        <v>mamáx</v>
      </c>
      <c r="G43" s="85" t="str">
        <f t="shared" si="4"/>
        <v>maemín</v>
      </c>
      <c r="H43" s="85" t="str">
        <f t="shared" si="5"/>
        <v>mbmáx</v>
      </c>
      <c r="I43" s="85" t="str">
        <f t="shared" si="6"/>
        <v>mbemín</v>
      </c>
      <c r="J43" s="85" t="str">
        <f t="shared" si="7"/>
        <v>ra</v>
      </c>
      <c r="K43" s="85" t="str">
        <f t="shared" si="8"/>
        <v>rae</v>
      </c>
      <c r="L43" s="85" t="str">
        <f t="shared" si="9"/>
        <v>rb</v>
      </c>
      <c r="M43" s="85" t="str">
        <f t="shared" si="10"/>
        <v>rbe</v>
      </c>
      <c r="N43" s="1"/>
      <c r="P43" s="483" t="s">
        <v>25</v>
      </c>
      <c r="Q43" s="484"/>
      <c r="R43" s="74" t="s">
        <v>93</v>
      </c>
      <c r="S43" s="20" t="s">
        <v>131</v>
      </c>
      <c r="T43" s="75" t="s">
        <v>132</v>
      </c>
      <c r="U43" s="75" t="s">
        <v>120</v>
      </c>
      <c r="V43" s="75" t="s">
        <v>117</v>
      </c>
      <c r="W43" s="76" t="s">
        <v>121</v>
      </c>
      <c r="X43" s="75" t="s">
        <v>111</v>
      </c>
      <c r="Y43" s="75" t="s">
        <v>112</v>
      </c>
      <c r="Z43" s="75" t="s">
        <v>113</v>
      </c>
      <c r="AA43" s="76" t="s">
        <v>114</v>
      </c>
      <c r="AC43" s="483" t="s">
        <v>25</v>
      </c>
      <c r="AD43" s="484"/>
      <c r="AE43" s="74" t="s">
        <v>93</v>
      </c>
      <c r="AF43" s="20" t="s">
        <v>115</v>
      </c>
      <c r="AG43" s="75" t="s">
        <v>116</v>
      </c>
      <c r="AH43" s="75" t="s">
        <v>120</v>
      </c>
      <c r="AI43" s="75" t="s">
        <v>117</v>
      </c>
      <c r="AJ43" s="76" t="s">
        <v>121</v>
      </c>
      <c r="AK43" s="75" t="s">
        <v>111</v>
      </c>
      <c r="AL43" s="75" t="s">
        <v>112</v>
      </c>
      <c r="AM43" s="75" t="s">
        <v>113</v>
      </c>
      <c r="AN43" s="76" t="s">
        <v>114</v>
      </c>
      <c r="AP43" s="483" t="s">
        <v>25</v>
      </c>
      <c r="AQ43" s="484"/>
      <c r="AR43" s="74" t="s">
        <v>93</v>
      </c>
      <c r="AS43" s="20" t="s">
        <v>115</v>
      </c>
      <c r="AT43" s="75" t="s">
        <v>116</v>
      </c>
      <c r="AU43" s="75" t="s">
        <v>120</v>
      </c>
      <c r="AV43" s="75" t="s">
        <v>117</v>
      </c>
      <c r="AW43" s="76" t="s">
        <v>121</v>
      </c>
      <c r="AX43" s="75" t="s">
        <v>111</v>
      </c>
      <c r="AY43" s="75" t="s">
        <v>112</v>
      </c>
      <c r="AZ43" s="75" t="s">
        <v>113</v>
      </c>
      <c r="BA43" s="76" t="s">
        <v>114</v>
      </c>
      <c r="BC43" s="483" t="s">
        <v>25</v>
      </c>
      <c r="BD43" s="484"/>
      <c r="BE43" s="77" t="s">
        <v>93</v>
      </c>
      <c r="BF43" s="20" t="s">
        <v>115</v>
      </c>
      <c r="BG43" s="75" t="s">
        <v>116</v>
      </c>
      <c r="BH43" s="75" t="s">
        <v>119</v>
      </c>
      <c r="BI43" s="75" t="s">
        <v>141</v>
      </c>
      <c r="BJ43" s="76" t="s">
        <v>118</v>
      </c>
      <c r="BK43" s="75" t="s">
        <v>111</v>
      </c>
      <c r="BL43" s="75" t="s">
        <v>112</v>
      </c>
      <c r="BM43" s="75" t="s">
        <v>113</v>
      </c>
      <c r="BN43" s="76" t="s">
        <v>114</v>
      </c>
      <c r="BP43" s="483" t="s">
        <v>25</v>
      </c>
      <c r="BQ43" s="484"/>
      <c r="BR43" s="74" t="s">
        <v>93</v>
      </c>
      <c r="BS43" s="20" t="s">
        <v>115</v>
      </c>
      <c r="BT43" s="75" t="s">
        <v>116</v>
      </c>
      <c r="BU43" s="75" t="s">
        <v>119</v>
      </c>
      <c r="BV43" s="75" t="s">
        <v>141</v>
      </c>
      <c r="BW43" s="76" t="s">
        <v>118</v>
      </c>
      <c r="BX43" s="75" t="s">
        <v>111</v>
      </c>
      <c r="BY43" s="75" t="s">
        <v>112</v>
      </c>
      <c r="BZ43" s="75" t="s">
        <v>113</v>
      </c>
      <c r="CA43" s="76" t="s">
        <v>114</v>
      </c>
      <c r="CB43" s="74" t="s">
        <v>122</v>
      </c>
      <c r="CC43" s="74" t="s">
        <v>123</v>
      </c>
      <c r="CD43" s="81" t="s">
        <v>124</v>
      </c>
      <c r="CE43" s="81" t="s">
        <v>125</v>
      </c>
      <c r="CF43" s="74" t="s">
        <v>126</v>
      </c>
      <c r="CG43" s="74" t="s">
        <v>127</v>
      </c>
      <c r="CI43" s="483" t="s">
        <v>25</v>
      </c>
      <c r="CJ43" s="484"/>
      <c r="CK43" s="74" t="s">
        <v>93</v>
      </c>
      <c r="CL43" s="20" t="s">
        <v>115</v>
      </c>
      <c r="CM43" s="75" t="s">
        <v>116</v>
      </c>
      <c r="CN43" s="75" t="s">
        <v>119</v>
      </c>
      <c r="CO43" s="75" t="s">
        <v>141</v>
      </c>
      <c r="CP43" s="76" t="s">
        <v>118</v>
      </c>
      <c r="CQ43" s="75" t="s">
        <v>111</v>
      </c>
      <c r="CR43" s="75" t="s">
        <v>112</v>
      </c>
      <c r="CS43" s="75" t="s">
        <v>113</v>
      </c>
      <c r="CT43" s="76" t="s">
        <v>114</v>
      </c>
      <c r="CV43" s="483" t="s">
        <v>25</v>
      </c>
      <c r="CW43" s="484"/>
      <c r="CX43" s="77" t="s">
        <v>93</v>
      </c>
      <c r="CY43" s="20" t="s">
        <v>115</v>
      </c>
      <c r="CZ43" s="75" t="s">
        <v>116</v>
      </c>
      <c r="DA43" s="75" t="s">
        <v>119</v>
      </c>
      <c r="DB43" s="75" t="s">
        <v>141</v>
      </c>
      <c r="DC43" s="76" t="s">
        <v>118</v>
      </c>
      <c r="DD43" s="75" t="s">
        <v>111</v>
      </c>
      <c r="DE43" s="75" t="s">
        <v>112</v>
      </c>
      <c r="DF43" s="75" t="s">
        <v>113</v>
      </c>
      <c r="DG43" s="76" t="s">
        <v>114</v>
      </c>
      <c r="DI43" s="483" t="s">
        <v>25</v>
      </c>
      <c r="DJ43" s="484"/>
      <c r="DK43" s="77" t="s">
        <v>93</v>
      </c>
      <c r="DL43" s="20" t="s">
        <v>115</v>
      </c>
      <c r="DM43" s="75" t="s">
        <v>116</v>
      </c>
      <c r="DN43" s="75" t="s">
        <v>120</v>
      </c>
      <c r="DO43" s="75" t="s">
        <v>141</v>
      </c>
      <c r="DP43" s="76" t="s">
        <v>121</v>
      </c>
      <c r="DQ43" s="75" t="s">
        <v>111</v>
      </c>
      <c r="DR43" s="75" t="s">
        <v>112</v>
      </c>
      <c r="DS43" s="75" t="s">
        <v>113</v>
      </c>
      <c r="DT43" s="76" t="s">
        <v>114</v>
      </c>
    </row>
    <row r="44" spans="1:124" ht="12" customHeight="1" x14ac:dyDescent="0.2">
      <c r="A44" s="1"/>
      <c r="B44" s="25"/>
      <c r="C44" s="47"/>
      <c r="D44" s="68">
        <v>1</v>
      </c>
      <c r="E44" s="85">
        <f t="shared" si="2"/>
        <v>2.2200000000000001E-2</v>
      </c>
      <c r="F44" s="85">
        <f t="shared" si="3"/>
        <v>2.1659999999999999E-2</v>
      </c>
      <c r="G44" s="85">
        <f t="shared" si="4"/>
        <v>0</v>
      </c>
      <c r="H44" s="85">
        <f t="shared" si="5"/>
        <v>3.1890000000000002E-2</v>
      </c>
      <c r="I44" s="85">
        <f t="shared" si="6"/>
        <v>6.9690000000000002E-2</v>
      </c>
      <c r="J44" s="85">
        <f t="shared" si="7"/>
        <v>0.14433756729740643</v>
      </c>
      <c r="K44" s="85">
        <f t="shared" si="8"/>
        <v>0</v>
      </c>
      <c r="L44" s="85">
        <f t="shared" si="9"/>
        <v>0</v>
      </c>
      <c r="M44" s="85">
        <f t="shared" si="10"/>
        <v>0.35566243270259357</v>
      </c>
      <c r="N44" s="1"/>
      <c r="P44" s="15"/>
      <c r="Q44" s="28"/>
      <c r="R44" s="31">
        <v>1</v>
      </c>
      <c r="S44" s="37">
        <v>2.2200000000000001E-2</v>
      </c>
      <c r="T44" s="32">
        <v>2.1659999999999999E-2</v>
      </c>
      <c r="U44" s="30">
        <v>0</v>
      </c>
      <c r="V44" s="32">
        <v>3.1890000000000002E-2</v>
      </c>
      <c r="W44" s="32">
        <v>6.9690000000000002E-2</v>
      </c>
      <c r="X44" s="40">
        <v>0.14433756729740643</v>
      </c>
      <c r="Y44" s="30">
        <v>0</v>
      </c>
      <c r="Z44" s="30">
        <v>0</v>
      </c>
      <c r="AA44" s="34">
        <v>0.35566243270259357</v>
      </c>
      <c r="AC44" s="15"/>
      <c r="AD44" s="28"/>
      <c r="AE44" s="31">
        <v>1</v>
      </c>
      <c r="AF44" s="37">
        <v>2.3E-2</v>
      </c>
      <c r="AG44" s="32">
        <f>1/63.3</f>
        <v>1.5797788309636653E-2</v>
      </c>
      <c r="AH44" s="30">
        <v>0</v>
      </c>
      <c r="AI44" s="44">
        <f>1/35.1</f>
        <v>2.8490028490028491E-2</v>
      </c>
      <c r="AJ44" s="32">
        <f>1/14.3</f>
        <v>6.9930069930069921E-2</v>
      </c>
      <c r="AK44" s="40">
        <v>0.14433756729740643</v>
      </c>
      <c r="AL44" s="30">
        <v>0</v>
      </c>
      <c r="AM44" s="30">
        <v>0</v>
      </c>
      <c r="AN44" s="34">
        <v>0.35566243270259357</v>
      </c>
      <c r="AP44" s="15"/>
      <c r="AQ44" s="28"/>
      <c r="AR44" s="31">
        <v>1</v>
      </c>
      <c r="AS44" s="45">
        <f>AF44*(1-0.2^2)</f>
        <v>2.2079999999999999E-2</v>
      </c>
      <c r="AT44" s="32">
        <f>1/46.1</f>
        <v>2.1691973969631236E-2</v>
      </c>
      <c r="AU44" s="30">
        <v>0</v>
      </c>
      <c r="AV44" s="44">
        <f>1/31.6</f>
        <v>3.164556962025316E-2</v>
      </c>
      <c r="AW44" s="32">
        <f>1/14.3</f>
        <v>6.9930069930069921E-2</v>
      </c>
      <c r="AX44" s="40">
        <v>0.14433756729740643</v>
      </c>
      <c r="AY44" s="30">
        <v>0</v>
      </c>
      <c r="AZ44" s="30">
        <v>0</v>
      </c>
      <c r="BA44" s="34">
        <v>0.35566243270259357</v>
      </c>
      <c r="BC44" s="25"/>
      <c r="BD44" s="47"/>
      <c r="BE44" s="53">
        <v>1</v>
      </c>
      <c r="BF44" s="49">
        <v>2.2499999999999999E-2</v>
      </c>
      <c r="BG44" s="50">
        <v>2.01E-2</v>
      </c>
      <c r="BH44" s="51">
        <v>0</v>
      </c>
      <c r="BI44" s="56">
        <v>3.09E-2</v>
      </c>
      <c r="BJ44" s="50">
        <v>6.9900000000000004E-2</v>
      </c>
      <c r="BK44" s="40">
        <v>0.14433756729740643</v>
      </c>
      <c r="BL44" s="30">
        <v>0</v>
      </c>
      <c r="BM44" s="30">
        <v>0</v>
      </c>
      <c r="BN44" s="34">
        <v>0.35566243270259357</v>
      </c>
      <c r="BP44" s="15"/>
      <c r="BQ44" s="28"/>
      <c r="BR44" s="31">
        <v>1</v>
      </c>
      <c r="BS44" s="84">
        <f>5*CF44*CB44/32</f>
        <v>2.2424768518518517E-2</v>
      </c>
      <c r="BT44" s="78">
        <f>CF44*CB44/CD44</f>
        <v>1.7939814814814815E-2</v>
      </c>
      <c r="BU44" s="79">
        <v>0</v>
      </c>
      <c r="BV44" s="78">
        <f>CG44*CC44*BR44^2/CE44</f>
        <v>2.6684670781893002E-2</v>
      </c>
      <c r="BW44" s="83">
        <f>CC44*BR44^2/12</f>
        <v>6.9444444444444448E-2</v>
      </c>
      <c r="BX44" s="40">
        <v>0.14433756729740643</v>
      </c>
      <c r="BY44" s="30">
        <v>0</v>
      </c>
      <c r="BZ44" s="30">
        <v>0</v>
      </c>
      <c r="CA44" s="34">
        <v>0.35566243270259357</v>
      </c>
      <c r="CB44" s="46">
        <f>BR31^4/(5+BR31^4)</f>
        <v>0.16666666666666666</v>
      </c>
      <c r="CC44" s="46">
        <f>1-CB44</f>
        <v>0.83333333333333337</v>
      </c>
      <c r="CD44" s="70">
        <v>8</v>
      </c>
      <c r="CE44" s="70">
        <v>24</v>
      </c>
      <c r="CF44" s="46">
        <f>1-(20*CB44)/(3*CD44*BR44^2)</f>
        <v>0.86111111111111116</v>
      </c>
      <c r="CG44" s="46">
        <f>1-(20*CC44*BR44^2)/(3*CE44)</f>
        <v>0.76851851851851849</v>
      </c>
      <c r="CI44" s="15"/>
      <c r="CJ44" s="28"/>
      <c r="CK44" s="31">
        <v>1</v>
      </c>
      <c r="CL44" s="45">
        <f t="shared" ref="CL44:CL54" si="43">(1-$CJ$14^2)*BS44</f>
        <v>2.1527777777777778E-2</v>
      </c>
      <c r="CM44" s="78">
        <f>BT44+$CJ$14*BV44</f>
        <v>2.3276748971193417E-2</v>
      </c>
      <c r="CN44" s="79">
        <v>0</v>
      </c>
      <c r="CO44" s="78">
        <f>$CJ$14*BT44+BV44</f>
        <v>3.0272633744855965E-2</v>
      </c>
      <c r="CP44" s="83">
        <v>6.9444444444444448E-2</v>
      </c>
      <c r="CQ44" s="40">
        <v>0.14433756729740643</v>
      </c>
      <c r="CR44" s="30">
        <v>0</v>
      </c>
      <c r="CS44" s="30">
        <v>0</v>
      </c>
      <c r="CT44" s="34">
        <v>0.35566243270259357</v>
      </c>
      <c r="CV44" s="25"/>
      <c r="CW44" s="47"/>
      <c r="CX44" s="53">
        <v>1</v>
      </c>
      <c r="CY44" s="45">
        <f>(1-$CW$14^2)/(1-$CW$13^2)*BF44</f>
        <v>2.3017902813299233E-2</v>
      </c>
      <c r="CZ44" s="78">
        <f>(1/(1-$CW$13^2))*((1-$CW$13*$CW$14)*BG44+($CW$14-$CW$13)*BI44)</f>
        <v>1.5820971867007674E-2</v>
      </c>
      <c r="DA44" s="51">
        <v>0</v>
      </c>
      <c r="DB44" s="78">
        <f>(1/(1-$CW$13^2))*((1-$CW$13*$CW$14)*BI44+($CW$14-$CW$13)*BG44)</f>
        <v>2.8526854219948852E-2</v>
      </c>
      <c r="DC44" s="50">
        <v>6.9900000000000004E-2</v>
      </c>
      <c r="DD44" s="40">
        <v>0.14433756729740643</v>
      </c>
      <c r="DE44" s="30">
        <v>0</v>
      </c>
      <c r="DF44" s="30">
        <v>0</v>
      </c>
      <c r="DG44" s="34">
        <v>0.35566243270259357</v>
      </c>
      <c r="DI44" s="25"/>
      <c r="DJ44" s="47"/>
      <c r="DK44" s="53">
        <v>1</v>
      </c>
      <c r="DL44" s="49">
        <v>2.2499999999999999E-2</v>
      </c>
      <c r="DM44" s="50">
        <v>2.0099999999999996E-2</v>
      </c>
      <c r="DN44" s="51">
        <v>0</v>
      </c>
      <c r="DO44" s="56">
        <v>3.0899999999999997E-2</v>
      </c>
      <c r="DP44" s="50">
        <v>6.9900000000000004E-2</v>
      </c>
      <c r="DQ44" s="40">
        <v>0.14433756729740643</v>
      </c>
      <c r="DR44" s="30">
        <v>0</v>
      </c>
      <c r="DS44" s="30">
        <v>0</v>
      </c>
      <c r="DT44" s="34">
        <v>0.35566243270259357</v>
      </c>
    </row>
    <row r="45" spans="1:124" ht="12" customHeight="1" x14ac:dyDescent="0.2">
      <c r="A45" s="1"/>
      <c r="B45" s="25"/>
      <c r="C45" s="47"/>
      <c r="D45" s="68">
        <v>1.1000000000000001</v>
      </c>
      <c r="E45" s="85">
        <f t="shared" si="2"/>
        <v>2.92E-2</v>
      </c>
      <c r="F45" s="85">
        <f t="shared" si="3"/>
        <v>2.7980000000000001E-2</v>
      </c>
      <c r="G45" s="85">
        <f t="shared" si="4"/>
        <v>0</v>
      </c>
      <c r="H45" s="85">
        <f t="shared" si="5"/>
        <v>3.5020000000000003E-2</v>
      </c>
      <c r="I45" s="85">
        <f t="shared" si="6"/>
        <v>7.8539999999999999E-2</v>
      </c>
      <c r="J45" s="85">
        <f t="shared" si="7"/>
        <v>0.15877132402714708</v>
      </c>
      <c r="K45" s="85">
        <f t="shared" si="8"/>
        <v>0</v>
      </c>
      <c r="L45" s="85">
        <f t="shared" si="9"/>
        <v>0</v>
      </c>
      <c r="M45" s="85">
        <f t="shared" si="10"/>
        <v>0.37535154357013822</v>
      </c>
      <c r="N45" s="1"/>
      <c r="P45" s="15"/>
      <c r="Q45" s="28"/>
      <c r="R45" s="31">
        <v>1.1000000000000001</v>
      </c>
      <c r="S45" s="37">
        <v>2.92E-2</v>
      </c>
      <c r="T45" s="32">
        <v>2.7980000000000001E-2</v>
      </c>
      <c r="U45" s="30">
        <v>0</v>
      </c>
      <c r="V45" s="32">
        <v>3.5020000000000003E-2</v>
      </c>
      <c r="W45" s="32">
        <v>7.8539999999999999E-2</v>
      </c>
      <c r="X45" s="40">
        <v>0.15877132402714708</v>
      </c>
      <c r="Y45" s="30">
        <v>0</v>
      </c>
      <c r="Z45" s="30">
        <v>0</v>
      </c>
      <c r="AA45" s="34">
        <v>0.37535154357013822</v>
      </c>
      <c r="AC45" s="15"/>
      <c r="AD45" s="28"/>
      <c r="AE45" s="31">
        <v>1.1000000000000001</v>
      </c>
      <c r="AF45" s="37">
        <v>3.0300000000000001E-2</v>
      </c>
      <c r="AG45" s="32">
        <f>1/46.1</f>
        <v>2.1691973969631236E-2</v>
      </c>
      <c r="AH45" s="30">
        <v>0</v>
      </c>
      <c r="AI45" s="32">
        <f>1/32.9</f>
        <v>3.0395136778115502E-2</v>
      </c>
      <c r="AJ45" s="32">
        <f>1/12.7</f>
        <v>7.874015748031496E-2</v>
      </c>
      <c r="AK45" s="40">
        <v>0.15877132402714708</v>
      </c>
      <c r="AL45" s="30">
        <v>0</v>
      </c>
      <c r="AM45" s="30">
        <v>0</v>
      </c>
      <c r="AN45" s="34">
        <v>0.37535154357013822</v>
      </c>
      <c r="AP45" s="15"/>
      <c r="AQ45" s="28"/>
      <c r="AR45" s="31">
        <v>1.1000000000000001</v>
      </c>
      <c r="AS45" s="45">
        <f t="shared" ref="AS45:AS54" si="44">AF45*(1-0.2^2)</f>
        <v>2.9087999999999999E-2</v>
      </c>
      <c r="AT45" s="32">
        <f>1/36</f>
        <v>2.7777777777777776E-2</v>
      </c>
      <c r="AU45" s="30">
        <v>0</v>
      </c>
      <c r="AV45" s="32">
        <f>1/28.8</f>
        <v>3.4722222222222224E-2</v>
      </c>
      <c r="AW45" s="32">
        <f>1/12.7</f>
        <v>7.874015748031496E-2</v>
      </c>
      <c r="AX45" s="40">
        <v>0.15877132402714708</v>
      </c>
      <c r="AY45" s="30">
        <v>0</v>
      </c>
      <c r="AZ45" s="30">
        <v>0</v>
      </c>
      <c r="BA45" s="34">
        <v>0.37535154357013822</v>
      </c>
      <c r="BC45" s="25"/>
      <c r="BD45" s="47"/>
      <c r="BE45" s="53">
        <v>1.1000000000000001</v>
      </c>
      <c r="BF45" s="49">
        <v>2.9683000000000005E-2</v>
      </c>
      <c r="BG45" s="50">
        <v>2.6278000000000003E-2</v>
      </c>
      <c r="BH45" s="51">
        <v>0</v>
      </c>
      <c r="BI45" s="50">
        <v>3.3567819999999998E-2</v>
      </c>
      <c r="BJ45" s="50">
        <v>7.868267000000001E-2</v>
      </c>
      <c r="BK45" s="40">
        <v>0.15877132402714708</v>
      </c>
      <c r="BL45" s="30">
        <v>0</v>
      </c>
      <c r="BM45" s="30">
        <v>0</v>
      </c>
      <c r="BN45" s="34">
        <v>0.37535154357013822</v>
      </c>
      <c r="BP45" s="15"/>
      <c r="BQ45" s="28"/>
      <c r="BR45" s="31">
        <v>1.1000000000000001</v>
      </c>
      <c r="BS45" s="84">
        <f t="shared" ref="BS45:BS54" si="45">5*CF45*CB45/32</f>
        <v>2.9869669820837635E-2</v>
      </c>
      <c r="BT45" s="78">
        <f t="shared" ref="BT45:BT54" si="46">CF45*CB45/CD45</f>
        <v>2.3895735856670111E-2</v>
      </c>
      <c r="BU45" s="79">
        <v>0</v>
      </c>
      <c r="BV45" s="78">
        <f t="shared" ref="BV45:BV54" si="47">CG45*CC45*BR45^2/CE45</f>
        <v>2.885876977722265E-2</v>
      </c>
      <c r="BW45" s="83">
        <f t="shared" ref="BW45:BW54" si="48">CC45*BR45^2/12</f>
        <v>7.7994874254214308E-2</v>
      </c>
      <c r="BX45" s="40">
        <v>0.15877132402714708</v>
      </c>
      <c r="BY45" s="30">
        <v>0</v>
      </c>
      <c r="BZ45" s="30">
        <v>0</v>
      </c>
      <c r="CA45" s="34">
        <v>0.37535154357013822</v>
      </c>
      <c r="CB45" s="46">
        <f t="shared" ref="CB45:CB54" si="49">BR32^4/(5+BR32^4)</f>
        <v>0.2264971148342384</v>
      </c>
      <c r="CC45" s="46">
        <f t="shared" ref="CC45:CC54" si="50">1-CB45</f>
        <v>0.7735028851657616</v>
      </c>
      <c r="CD45" s="70">
        <v>8</v>
      </c>
      <c r="CE45" s="70">
        <v>24</v>
      </c>
      <c r="CF45" s="46">
        <f t="shared" ref="CF45:CF54" si="51">1-(20*CB45)/(3*CD45*BR45^2)</f>
        <v>0.84401025149157138</v>
      </c>
      <c r="CG45" s="46">
        <f t="shared" ref="CG45:CG54" si="52">1-(20*CC45*BR45^2)/(3*CE45)</f>
        <v>0.7400170858192856</v>
      </c>
      <c r="CI45" s="15"/>
      <c r="CJ45" s="28"/>
      <c r="CK45" s="31">
        <v>1.1000000000000001</v>
      </c>
      <c r="CL45" s="45">
        <f t="shared" si="43"/>
        <v>2.8674883028004128E-2</v>
      </c>
      <c r="CM45" s="78">
        <f t="shared" ref="CM45:CM54" si="53">BT45+$CJ$14*BV45</f>
        <v>2.9667489812114641E-2</v>
      </c>
      <c r="CN45" s="79">
        <v>0</v>
      </c>
      <c r="CO45" s="78">
        <f t="shared" ref="CO45:CO54" si="54">$CJ$14*BT45+BV45</f>
        <v>3.3637916948556675E-2</v>
      </c>
      <c r="CP45" s="83">
        <v>7.7994874254214308E-2</v>
      </c>
      <c r="CQ45" s="40">
        <v>0.15877132402714708</v>
      </c>
      <c r="CR45" s="30">
        <v>0</v>
      </c>
      <c r="CS45" s="30">
        <v>0</v>
      </c>
      <c r="CT45" s="34">
        <v>0.37535154357013822</v>
      </c>
      <c r="CV45" s="25"/>
      <c r="CW45" s="47"/>
      <c r="CX45" s="53">
        <v>1.1000000000000001</v>
      </c>
      <c r="CY45" s="45">
        <f t="shared" ref="CY45:CY54" si="55">(1-$CW$14^2)/(1-$CW$13^2)*BF45</f>
        <v>3.0366240409207167E-2</v>
      </c>
      <c r="CZ45" s="78">
        <f t="shared" ref="CZ45:CZ54" si="56">(1/(1-$CW$13^2))*((1-$CW$13*$CW$14)*BG45+($CW$14-$CW$13)*BI45)</f>
        <v>2.1731792327365732E-2</v>
      </c>
      <c r="DA45" s="51">
        <v>0</v>
      </c>
      <c r="DB45" s="78">
        <f t="shared" ref="DB45:DB54" si="57">(1/(1-$CW$13^2))*((1-$CW$13*$CW$14)*BI45+($CW$14-$CW$13)*BG45)</f>
        <v>3.0308051150895143E-2</v>
      </c>
      <c r="DC45" s="50">
        <v>7.8700000000000006E-2</v>
      </c>
      <c r="DD45" s="40">
        <v>0.15877132402714708</v>
      </c>
      <c r="DE45" s="30">
        <v>0</v>
      </c>
      <c r="DF45" s="30">
        <v>0</v>
      </c>
      <c r="DG45" s="34">
        <v>0.37535154357013822</v>
      </c>
      <c r="DI45" s="25"/>
      <c r="DJ45" s="47"/>
      <c r="DK45" s="53">
        <v>1.1000000000000001</v>
      </c>
      <c r="DL45" s="49">
        <v>2.9700000000000001E-2</v>
      </c>
      <c r="DM45" s="50">
        <v>2.63E-2</v>
      </c>
      <c r="DN45" s="51">
        <v>0</v>
      </c>
      <c r="DO45" s="50">
        <v>3.3599999999999998E-2</v>
      </c>
      <c r="DP45" s="50">
        <v>7.8700000000000006E-2</v>
      </c>
      <c r="DQ45" s="40">
        <v>0.15877132402714708</v>
      </c>
      <c r="DR45" s="30">
        <v>0</v>
      </c>
      <c r="DS45" s="30">
        <v>0</v>
      </c>
      <c r="DT45" s="34">
        <v>0.37535154357013822</v>
      </c>
    </row>
    <row r="46" spans="1:124" ht="12" customHeight="1" x14ac:dyDescent="0.2">
      <c r="A46" s="1"/>
      <c r="B46" s="25"/>
      <c r="C46" s="47"/>
      <c r="D46" s="68">
        <v>1.2</v>
      </c>
      <c r="E46" s="85">
        <f t="shared" si="2"/>
        <v>3.6900000000000002E-2</v>
      </c>
      <c r="F46" s="85">
        <f t="shared" si="3"/>
        <v>3.474E-2</v>
      </c>
      <c r="G46" s="85">
        <f t="shared" si="4"/>
        <v>0</v>
      </c>
      <c r="H46" s="85">
        <f t="shared" si="5"/>
        <v>3.7499999999999999E-2</v>
      </c>
      <c r="I46" s="85">
        <f t="shared" si="6"/>
        <v>8.6459999999999995E-2</v>
      </c>
      <c r="J46" s="85">
        <f t="shared" si="7"/>
        <v>0.1732050807568877</v>
      </c>
      <c r="K46" s="85">
        <f t="shared" si="8"/>
        <v>0</v>
      </c>
      <c r="L46" s="85">
        <f t="shared" si="9"/>
        <v>0</v>
      </c>
      <c r="M46" s="85">
        <f t="shared" si="10"/>
        <v>0.3921539030917347</v>
      </c>
      <c r="N46" s="1"/>
      <c r="P46" s="15"/>
      <c r="Q46" s="28"/>
      <c r="R46" s="31">
        <v>1.2</v>
      </c>
      <c r="S46" s="37">
        <v>3.6900000000000002E-2</v>
      </c>
      <c r="T46" s="32">
        <v>3.474E-2</v>
      </c>
      <c r="U46" s="30">
        <v>0</v>
      </c>
      <c r="V46" s="32">
        <v>3.7499999999999999E-2</v>
      </c>
      <c r="W46" s="32">
        <v>8.6459999999999995E-2</v>
      </c>
      <c r="X46" s="40">
        <v>0.1732050807568877</v>
      </c>
      <c r="Y46" s="30">
        <v>0</v>
      </c>
      <c r="Z46" s="30">
        <v>0</v>
      </c>
      <c r="AA46" s="34">
        <v>0.3921539030917347</v>
      </c>
      <c r="AC46" s="15"/>
      <c r="AD46" s="28"/>
      <c r="AE46" s="31">
        <v>1.2</v>
      </c>
      <c r="AF46" s="37">
        <v>3.8300000000000001E-2</v>
      </c>
      <c r="AG46" s="32">
        <f>1/35.5</f>
        <v>2.8169014084507043E-2</v>
      </c>
      <c r="AH46" s="30">
        <v>0</v>
      </c>
      <c r="AI46" s="32">
        <f>1/31.7</f>
        <v>3.1545741324921134E-2</v>
      </c>
      <c r="AJ46" s="32">
        <f>1/11.5</f>
        <v>8.6956521739130432E-2</v>
      </c>
      <c r="AK46" s="40">
        <v>0.1732050807568877</v>
      </c>
      <c r="AL46" s="30">
        <v>0</v>
      </c>
      <c r="AM46" s="30">
        <v>0</v>
      </c>
      <c r="AN46" s="34">
        <v>0.3921539030917347</v>
      </c>
      <c r="AP46" s="15"/>
      <c r="AQ46" s="28"/>
      <c r="AR46" s="31">
        <v>1.2</v>
      </c>
      <c r="AS46" s="45">
        <f t="shared" si="44"/>
        <v>3.6768000000000002E-2</v>
      </c>
      <c r="AT46" s="32">
        <f>1/29</f>
        <v>3.4482758620689655E-2</v>
      </c>
      <c r="AU46" s="30">
        <v>0</v>
      </c>
      <c r="AV46" s="32">
        <f>1/26.9</f>
        <v>3.717472118959108E-2</v>
      </c>
      <c r="AW46" s="32">
        <f>1/11.5</f>
        <v>8.6956521739130432E-2</v>
      </c>
      <c r="AX46" s="40">
        <v>0.1732050807568877</v>
      </c>
      <c r="AY46" s="30">
        <v>0</v>
      </c>
      <c r="AZ46" s="30">
        <v>0</v>
      </c>
      <c r="BA46" s="34">
        <v>0.3921539030917347</v>
      </c>
      <c r="BC46" s="25"/>
      <c r="BD46" s="47"/>
      <c r="BE46" s="53">
        <v>1.2</v>
      </c>
      <c r="BF46" s="49">
        <v>3.7387999999999991E-2</v>
      </c>
      <c r="BG46" s="50">
        <v>3.2899999999999992E-2</v>
      </c>
      <c r="BH46" s="51">
        <v>0</v>
      </c>
      <c r="BI46" s="50">
        <v>3.5608320000000006E-2</v>
      </c>
      <c r="BJ46" s="50">
        <v>8.6561280000000004E-2</v>
      </c>
      <c r="BK46" s="40">
        <v>0.1732050807568877</v>
      </c>
      <c r="BL46" s="30">
        <v>0</v>
      </c>
      <c r="BM46" s="30">
        <v>0</v>
      </c>
      <c r="BN46" s="34">
        <v>0.3921539030917347</v>
      </c>
      <c r="BP46" s="15"/>
      <c r="BQ46" s="28"/>
      <c r="BR46" s="31">
        <v>1.2</v>
      </c>
      <c r="BS46" s="84">
        <f t="shared" si="45"/>
        <v>3.8033682981959652E-2</v>
      </c>
      <c r="BT46" s="78">
        <f t="shared" si="46"/>
        <v>3.042694638556772E-2</v>
      </c>
      <c r="BU46" s="79">
        <v>0</v>
      </c>
      <c r="BV46" s="78">
        <f t="shared" si="47"/>
        <v>3.0419809098286375E-2</v>
      </c>
      <c r="BW46" s="83">
        <f t="shared" si="48"/>
        <v>8.482243836236146E-2</v>
      </c>
      <c r="BX46" s="40">
        <v>0.1732050807568877</v>
      </c>
      <c r="BY46" s="30">
        <v>0</v>
      </c>
      <c r="BZ46" s="30">
        <v>0</v>
      </c>
      <c r="CA46" s="34">
        <v>0.3921539030917347</v>
      </c>
      <c r="CB46" s="46">
        <f t="shared" si="49"/>
        <v>0.29314634698032116</v>
      </c>
      <c r="CC46" s="46">
        <f t="shared" si="50"/>
        <v>0.70685365301967884</v>
      </c>
      <c r="CD46" s="70">
        <v>8</v>
      </c>
      <c r="CE46" s="70">
        <v>24</v>
      </c>
      <c r="CF46" s="46">
        <f t="shared" si="51"/>
        <v>0.83035512327527716</v>
      </c>
      <c r="CG46" s="46">
        <f t="shared" si="52"/>
        <v>0.71725853879212842</v>
      </c>
      <c r="CI46" s="15"/>
      <c r="CJ46" s="28"/>
      <c r="CK46" s="31">
        <v>1.2</v>
      </c>
      <c r="CL46" s="45">
        <f t="shared" si="43"/>
        <v>3.6512335662681264E-2</v>
      </c>
      <c r="CM46" s="78">
        <f t="shared" si="53"/>
        <v>3.6510908205224998E-2</v>
      </c>
      <c r="CN46" s="79">
        <v>0</v>
      </c>
      <c r="CO46" s="78">
        <f t="shared" si="54"/>
        <v>3.6505198375399922E-2</v>
      </c>
      <c r="CP46" s="83">
        <v>8.482243836236146E-2</v>
      </c>
      <c r="CQ46" s="40">
        <v>0.1732050807568877</v>
      </c>
      <c r="CR46" s="30">
        <v>0</v>
      </c>
      <c r="CS46" s="30">
        <v>0</v>
      </c>
      <c r="CT46" s="34">
        <v>0.3921539030917347</v>
      </c>
      <c r="CV46" s="25"/>
      <c r="CW46" s="47"/>
      <c r="CX46" s="53">
        <v>1.2</v>
      </c>
      <c r="CY46" s="45">
        <f t="shared" si="55"/>
        <v>3.8248593350383622E-2</v>
      </c>
      <c r="CZ46" s="78">
        <f t="shared" si="56"/>
        <v>2.819309667519181E-2</v>
      </c>
      <c r="DA46" s="51">
        <v>0</v>
      </c>
      <c r="DB46" s="78">
        <f t="shared" si="57"/>
        <v>3.1379355498721236E-2</v>
      </c>
      <c r="DC46" s="50">
        <v>8.6500000000000007E-2</v>
      </c>
      <c r="DD46" s="40">
        <v>0.1732050807568877</v>
      </c>
      <c r="DE46" s="30">
        <v>0</v>
      </c>
      <c r="DF46" s="30">
        <v>0</v>
      </c>
      <c r="DG46" s="34">
        <v>0.3921539030917347</v>
      </c>
      <c r="DI46" s="25"/>
      <c r="DJ46" s="47"/>
      <c r="DK46" s="53">
        <v>1.2</v>
      </c>
      <c r="DL46" s="49">
        <v>3.7400000000000003E-2</v>
      </c>
      <c r="DM46" s="50">
        <v>3.2199999999999999E-2</v>
      </c>
      <c r="DN46" s="51">
        <v>0</v>
      </c>
      <c r="DO46" s="50">
        <v>3.56E-2</v>
      </c>
      <c r="DP46" s="50">
        <v>8.6500000000000007E-2</v>
      </c>
      <c r="DQ46" s="40">
        <v>0.1732050807568877</v>
      </c>
      <c r="DR46" s="30">
        <v>0</v>
      </c>
      <c r="DS46" s="30">
        <v>0</v>
      </c>
      <c r="DT46" s="34">
        <v>0.3921539030917347</v>
      </c>
    </row>
    <row r="47" spans="1:124" ht="12" customHeight="1" x14ac:dyDescent="0.2">
      <c r="A47" s="1"/>
      <c r="B47" s="25"/>
      <c r="C47" s="47"/>
      <c r="D47" s="68">
        <v>1.3</v>
      </c>
      <c r="E47" s="85">
        <f t="shared" si="2"/>
        <v>4.5100000000000001E-2</v>
      </c>
      <c r="F47" s="85">
        <f t="shared" si="3"/>
        <v>4.1739999999999999E-2</v>
      </c>
      <c r="G47" s="85">
        <f t="shared" si="4"/>
        <v>0</v>
      </c>
      <c r="H47" s="85">
        <f t="shared" si="5"/>
        <v>3.9329999999999997E-2</v>
      </c>
      <c r="I47" s="85">
        <f t="shared" si="6"/>
        <v>9.3369999999999995E-2</v>
      </c>
      <c r="J47" s="85">
        <f t="shared" si="7"/>
        <v>0.18763883748662835</v>
      </c>
      <c r="K47" s="85">
        <f t="shared" si="8"/>
        <v>0</v>
      </c>
      <c r="L47" s="85">
        <f t="shared" si="9"/>
        <v>0</v>
      </c>
      <c r="M47" s="85">
        <f t="shared" si="10"/>
        <v>0.40606951126738311</v>
      </c>
      <c r="N47" s="1"/>
      <c r="P47" s="15"/>
      <c r="Q47" s="28"/>
      <c r="R47" s="31">
        <v>1.3</v>
      </c>
      <c r="S47" s="37">
        <v>4.5100000000000001E-2</v>
      </c>
      <c r="T47" s="32">
        <v>4.1739999999999999E-2</v>
      </c>
      <c r="U47" s="30">
        <v>0</v>
      </c>
      <c r="V47" s="32">
        <v>3.9329999999999997E-2</v>
      </c>
      <c r="W47" s="32">
        <v>9.3369999999999995E-2</v>
      </c>
      <c r="X47" s="40">
        <v>0.18763883748662835</v>
      </c>
      <c r="Y47" s="30">
        <v>0</v>
      </c>
      <c r="Z47" s="30">
        <v>0</v>
      </c>
      <c r="AA47" s="34">
        <v>0.40606951126738311</v>
      </c>
      <c r="AC47" s="15"/>
      <c r="AD47" s="28"/>
      <c r="AE47" s="31">
        <v>1.3</v>
      </c>
      <c r="AF47" s="37">
        <v>4.6699999999999998E-2</v>
      </c>
      <c r="AG47" s="32">
        <f>1/28.5</f>
        <v>3.5087719298245612E-2</v>
      </c>
      <c r="AH47" s="30">
        <v>0</v>
      </c>
      <c r="AI47" s="32">
        <f>1/31.2</f>
        <v>3.2051282051282055E-2</v>
      </c>
      <c r="AJ47" s="32">
        <f>1/10.7</f>
        <v>9.3457943925233655E-2</v>
      </c>
      <c r="AK47" s="40">
        <v>0.18763883748662835</v>
      </c>
      <c r="AL47" s="30">
        <v>0</v>
      </c>
      <c r="AM47" s="30">
        <v>0</v>
      </c>
      <c r="AN47" s="34">
        <v>0.40606951126738311</v>
      </c>
      <c r="AP47" s="15"/>
      <c r="AQ47" s="28"/>
      <c r="AR47" s="31">
        <v>1.3</v>
      </c>
      <c r="AS47" s="45">
        <f t="shared" si="44"/>
        <v>4.4831999999999997E-2</v>
      </c>
      <c r="AT47" s="32">
        <f>1/24.1</f>
        <v>4.1493775933609957E-2</v>
      </c>
      <c r="AU47" s="30">
        <v>0</v>
      </c>
      <c r="AV47" s="32">
        <f>1/25.6</f>
        <v>3.90625E-2</v>
      </c>
      <c r="AW47" s="32">
        <f>1/10.7</f>
        <v>9.3457943925233655E-2</v>
      </c>
      <c r="AX47" s="40">
        <v>0.18763883748662835</v>
      </c>
      <c r="AY47" s="30">
        <v>0</v>
      </c>
      <c r="AZ47" s="30">
        <v>0</v>
      </c>
      <c r="BA47" s="34">
        <v>0.40606951126738311</v>
      </c>
      <c r="BC47" s="25"/>
      <c r="BD47" s="47"/>
      <c r="BE47" s="53">
        <v>1.3</v>
      </c>
      <c r="BF47" s="49">
        <v>4.5600000000000009E-2</v>
      </c>
      <c r="BG47" s="50">
        <v>3.9900000000000005E-2</v>
      </c>
      <c r="BH47" s="51">
        <v>0</v>
      </c>
      <c r="BI47" s="50">
        <v>3.7247599999999999E-2</v>
      </c>
      <c r="BJ47" s="50">
        <v>9.3828800000000004E-2</v>
      </c>
      <c r="BK47" s="40">
        <v>0.18763883748662835</v>
      </c>
      <c r="BL47" s="30">
        <v>0</v>
      </c>
      <c r="BM47" s="30">
        <v>0</v>
      </c>
      <c r="BN47" s="34">
        <v>0.40606951126738311</v>
      </c>
      <c r="BP47" s="15"/>
      <c r="BQ47" s="28"/>
      <c r="BR47" s="31">
        <v>1.3</v>
      </c>
      <c r="BS47" s="84">
        <f t="shared" si="45"/>
        <v>4.662176834441676E-2</v>
      </c>
      <c r="BT47" s="78">
        <f t="shared" si="46"/>
        <v>3.7297414675533415E-2</v>
      </c>
      <c r="BU47" s="79">
        <v>0</v>
      </c>
      <c r="BV47" s="78">
        <f t="shared" si="47"/>
        <v>3.1426397427369197E-2</v>
      </c>
      <c r="BW47" s="83">
        <f t="shared" si="48"/>
        <v>8.9633108879299719E-2</v>
      </c>
      <c r="BX47" s="40">
        <v>0.18763883748662835</v>
      </c>
      <c r="BY47" s="30">
        <v>0</v>
      </c>
      <c r="BZ47" s="30">
        <v>0</v>
      </c>
      <c r="CA47" s="34">
        <v>0.40606951126738311</v>
      </c>
      <c r="CB47" s="46">
        <f t="shared" si="49"/>
        <v>0.36355188961443979</v>
      </c>
      <c r="CC47" s="46">
        <f t="shared" si="50"/>
        <v>0.63644811038556015</v>
      </c>
      <c r="CD47" s="70">
        <v>8</v>
      </c>
      <c r="CE47" s="70">
        <v>24</v>
      </c>
      <c r="CF47" s="46">
        <f t="shared" si="51"/>
        <v>0.82073378224140048</v>
      </c>
      <c r="CG47" s="46">
        <f t="shared" si="52"/>
        <v>0.70122297040233428</v>
      </c>
      <c r="CI47" s="15"/>
      <c r="CJ47" s="28"/>
      <c r="CK47" s="31">
        <v>1.3</v>
      </c>
      <c r="CL47" s="45">
        <f t="shared" si="43"/>
        <v>4.4756897610640091E-2</v>
      </c>
      <c r="CM47" s="78">
        <f t="shared" si="53"/>
        <v>4.3582694161007254E-2</v>
      </c>
      <c r="CN47" s="79">
        <v>0</v>
      </c>
      <c r="CO47" s="78">
        <f t="shared" si="54"/>
        <v>3.888588036247588E-2</v>
      </c>
      <c r="CP47" s="83">
        <v>8.9633108879299719E-2</v>
      </c>
      <c r="CQ47" s="40">
        <v>0.18763883748662835</v>
      </c>
      <c r="CR47" s="30">
        <v>0</v>
      </c>
      <c r="CS47" s="30">
        <v>0</v>
      </c>
      <c r="CT47" s="34">
        <v>0.40606951126738311</v>
      </c>
      <c r="CV47" s="25"/>
      <c r="CW47" s="47"/>
      <c r="CX47" s="53">
        <v>1.3</v>
      </c>
      <c r="CY47" s="45">
        <f t="shared" si="55"/>
        <v>4.6649616368286455E-2</v>
      </c>
      <c r="CZ47" s="78">
        <f t="shared" si="56"/>
        <v>3.510267007672635E-2</v>
      </c>
      <c r="DA47" s="51">
        <v>0</v>
      </c>
      <c r="DB47" s="78">
        <f t="shared" si="57"/>
        <v>3.1982199488491049E-2</v>
      </c>
      <c r="DC47" s="50">
        <v>9.3299999999999994E-2</v>
      </c>
      <c r="DD47" s="40">
        <v>0.18763883748662835</v>
      </c>
      <c r="DE47" s="30">
        <v>0</v>
      </c>
      <c r="DF47" s="30">
        <v>0</v>
      </c>
      <c r="DG47" s="34">
        <v>0.40606951126738311</v>
      </c>
      <c r="DI47" s="25"/>
      <c r="DJ47" s="47"/>
      <c r="DK47" s="53">
        <v>1.3</v>
      </c>
      <c r="DL47" s="49">
        <v>4.5599999999999995E-2</v>
      </c>
      <c r="DM47" s="50">
        <v>3.9900000000000005E-2</v>
      </c>
      <c r="DN47" s="51">
        <v>0</v>
      </c>
      <c r="DO47" s="50">
        <v>3.7200000000000004E-2</v>
      </c>
      <c r="DP47" s="50">
        <v>9.3299999999999994E-2</v>
      </c>
      <c r="DQ47" s="40">
        <v>0.18763883748662835</v>
      </c>
      <c r="DR47" s="30">
        <v>0</v>
      </c>
      <c r="DS47" s="30">
        <v>0</v>
      </c>
      <c r="DT47" s="34">
        <v>0.40606951126738311</v>
      </c>
    </row>
    <row r="48" spans="1:124" ht="12" customHeight="1" x14ac:dyDescent="0.2">
      <c r="A48" s="1"/>
      <c r="B48" s="25"/>
      <c r="C48" s="47"/>
      <c r="D48" s="68">
        <v>1.4</v>
      </c>
      <c r="E48" s="85">
        <f t="shared" si="2"/>
        <v>5.33E-2</v>
      </c>
      <c r="F48" s="85">
        <f t="shared" si="3"/>
        <v>4.8779999999999997E-2</v>
      </c>
      <c r="G48" s="85">
        <f t="shared" si="4"/>
        <v>0</v>
      </c>
      <c r="H48" s="85">
        <f t="shared" si="5"/>
        <v>4.0559999999999999E-2</v>
      </c>
      <c r="I48" s="85">
        <f t="shared" si="6"/>
        <v>9.9260000000000001E-2</v>
      </c>
      <c r="J48" s="85">
        <f t="shared" si="7"/>
        <v>0.202072594216369</v>
      </c>
      <c r="K48" s="85">
        <f t="shared" si="8"/>
        <v>0</v>
      </c>
      <c r="L48" s="85">
        <f t="shared" si="9"/>
        <v>0</v>
      </c>
      <c r="M48" s="85">
        <f t="shared" si="10"/>
        <v>0.41709836809708339</v>
      </c>
      <c r="N48" s="1"/>
      <c r="P48" s="15"/>
      <c r="Q48" s="28"/>
      <c r="R48" s="31">
        <v>1.4</v>
      </c>
      <c r="S48" s="37">
        <v>5.33E-2</v>
      </c>
      <c r="T48" s="32">
        <v>4.8779999999999997E-2</v>
      </c>
      <c r="U48" s="30">
        <v>0</v>
      </c>
      <c r="V48" s="32">
        <v>4.0559999999999999E-2</v>
      </c>
      <c r="W48" s="32">
        <v>9.9260000000000001E-2</v>
      </c>
      <c r="X48" s="40">
        <v>0.202072594216369</v>
      </c>
      <c r="Y48" s="30">
        <v>0</v>
      </c>
      <c r="Z48" s="30">
        <v>0</v>
      </c>
      <c r="AA48" s="34">
        <v>0.41709836809708339</v>
      </c>
      <c r="AC48" s="15"/>
      <c r="AD48" s="28"/>
      <c r="AE48" s="31">
        <v>1.4</v>
      </c>
      <c r="AF48" s="37">
        <v>5.5300000000000002E-2</v>
      </c>
      <c r="AG48" s="32">
        <f>1/23.7</f>
        <v>4.2194092827004218E-2</v>
      </c>
      <c r="AH48" s="30">
        <v>0</v>
      </c>
      <c r="AI48" s="32">
        <f>1/31.4</f>
        <v>3.1847133757961783E-2</v>
      </c>
      <c r="AJ48" s="32">
        <f>1/10</f>
        <v>0.1</v>
      </c>
      <c r="AK48" s="40">
        <v>0.202072594216369</v>
      </c>
      <c r="AL48" s="30">
        <v>0</v>
      </c>
      <c r="AM48" s="30">
        <v>0</v>
      </c>
      <c r="AN48" s="34">
        <v>0.41709836809708339</v>
      </c>
      <c r="AP48" s="15"/>
      <c r="AQ48" s="28"/>
      <c r="AR48" s="31">
        <v>1.4</v>
      </c>
      <c r="AS48" s="45">
        <f t="shared" si="44"/>
        <v>5.3088000000000003E-2</v>
      </c>
      <c r="AT48" s="32">
        <f>1/20.6</f>
        <v>4.8543689320388349E-2</v>
      </c>
      <c r="AU48" s="30">
        <v>0</v>
      </c>
      <c r="AV48" s="32">
        <f>1/24.8</f>
        <v>4.0322580645161289E-2</v>
      </c>
      <c r="AW48" s="32">
        <f>1/10</f>
        <v>0.1</v>
      </c>
      <c r="AX48" s="40">
        <v>0.202072594216369</v>
      </c>
      <c r="AY48" s="30">
        <v>0</v>
      </c>
      <c r="AZ48" s="30">
        <v>0</v>
      </c>
      <c r="BA48" s="34">
        <v>0.41709836809708339</v>
      </c>
      <c r="BC48" s="25"/>
      <c r="BD48" s="47"/>
      <c r="BE48" s="53">
        <v>1.4</v>
      </c>
      <c r="BF48" s="49">
        <v>5.4069999999999993E-2</v>
      </c>
      <c r="BG48" s="50">
        <v>4.6919999999999996E-2</v>
      </c>
      <c r="BH48" s="51">
        <v>0</v>
      </c>
      <c r="BI48" s="50">
        <v>3.8122000000000003E-2</v>
      </c>
      <c r="BJ48" s="50">
        <v>9.9940399999999985E-2</v>
      </c>
      <c r="BK48" s="40">
        <v>0.202072594216369</v>
      </c>
      <c r="BL48" s="30">
        <v>0</v>
      </c>
      <c r="BM48" s="30">
        <v>0</v>
      </c>
      <c r="BN48" s="34">
        <v>0.41709836809708339</v>
      </c>
      <c r="BP48" s="15"/>
      <c r="BQ48" s="28"/>
      <c r="BR48" s="31">
        <v>1.4</v>
      </c>
      <c r="BS48" s="84">
        <f t="shared" si="45"/>
        <v>5.5347917772440788E-2</v>
      </c>
      <c r="BT48" s="78">
        <f t="shared" si="46"/>
        <v>4.4278334217952631E-2</v>
      </c>
      <c r="BU48" s="79">
        <v>0</v>
      </c>
      <c r="BV48" s="78">
        <f t="shared" si="47"/>
        <v>3.1963944841763882E-2</v>
      </c>
      <c r="BW48" s="83">
        <f t="shared" si="48"/>
        <v>9.2366389190493434E-2</v>
      </c>
      <c r="BX48" s="40">
        <v>0.202072594216369</v>
      </c>
      <c r="BY48" s="30">
        <v>0</v>
      </c>
      <c r="BZ48" s="30">
        <v>0</v>
      </c>
      <c r="CA48" s="34">
        <v>0.41709836809708339</v>
      </c>
      <c r="CB48" s="46">
        <f t="shared" si="49"/>
        <v>0.43449149475208093</v>
      </c>
      <c r="CC48" s="46">
        <f t="shared" si="50"/>
        <v>0.56550850524791907</v>
      </c>
      <c r="CD48" s="70">
        <v>8</v>
      </c>
      <c r="CE48" s="70">
        <v>24</v>
      </c>
      <c r="CF48" s="46">
        <f t="shared" si="51"/>
        <v>0.8152672216190131</v>
      </c>
      <c r="CG48" s="46">
        <f t="shared" si="52"/>
        <v>0.69211203603168858</v>
      </c>
      <c r="CI48" s="15"/>
      <c r="CJ48" s="28"/>
      <c r="CK48" s="31">
        <v>1.4</v>
      </c>
      <c r="CL48" s="45">
        <f t="shared" si="43"/>
        <v>5.3134001061543153E-2</v>
      </c>
      <c r="CM48" s="78">
        <f t="shared" si="53"/>
        <v>5.0671123186305407E-2</v>
      </c>
      <c r="CN48" s="79">
        <v>0</v>
      </c>
      <c r="CO48" s="78">
        <f t="shared" si="54"/>
        <v>4.0819611685354411E-2</v>
      </c>
      <c r="CP48" s="83">
        <v>9.2366389190493434E-2</v>
      </c>
      <c r="CQ48" s="40">
        <v>0.202072594216369</v>
      </c>
      <c r="CR48" s="30">
        <v>0</v>
      </c>
      <c r="CS48" s="30">
        <v>0</v>
      </c>
      <c r="CT48" s="34">
        <v>0.41709836809708339</v>
      </c>
      <c r="CV48" s="25"/>
      <c r="CW48" s="47"/>
      <c r="CX48" s="53">
        <v>1.4</v>
      </c>
      <c r="CY48" s="45">
        <f t="shared" si="55"/>
        <v>5.5314578005115085E-2</v>
      </c>
      <c r="CZ48" s="78">
        <f t="shared" si="56"/>
        <v>4.215007672634271E-2</v>
      </c>
      <c r="DA48" s="51">
        <v>0</v>
      </c>
      <c r="DB48" s="78">
        <f t="shared" si="57"/>
        <v>3.1799488491048598E-2</v>
      </c>
      <c r="DC48" s="50">
        <v>0.1</v>
      </c>
      <c r="DD48" s="40">
        <v>0.202072594216369</v>
      </c>
      <c r="DE48" s="30">
        <v>0</v>
      </c>
      <c r="DF48" s="30">
        <v>0</v>
      </c>
      <c r="DG48" s="34">
        <v>0.41709836809708339</v>
      </c>
      <c r="DI48" s="25"/>
      <c r="DJ48" s="47"/>
      <c r="DK48" s="53">
        <v>1.4</v>
      </c>
      <c r="DL48" s="49">
        <v>5.4100000000000002E-2</v>
      </c>
      <c r="DM48" s="50">
        <v>4.6900000000000004E-2</v>
      </c>
      <c r="DN48" s="51">
        <v>0</v>
      </c>
      <c r="DO48" s="50">
        <v>3.8199999999999998E-2</v>
      </c>
      <c r="DP48" s="50">
        <v>0.1</v>
      </c>
      <c r="DQ48" s="40">
        <v>0.202072594216369</v>
      </c>
      <c r="DR48" s="30">
        <v>0</v>
      </c>
      <c r="DS48" s="30">
        <v>0</v>
      </c>
      <c r="DT48" s="34">
        <v>0.41709836809708339</v>
      </c>
    </row>
    <row r="49" spans="1:124" ht="12" customHeight="1" x14ac:dyDescent="0.2">
      <c r="A49" s="1"/>
      <c r="B49" s="25"/>
      <c r="C49" s="47"/>
      <c r="D49" s="68">
        <v>1.5</v>
      </c>
      <c r="E49" s="85">
        <f t="shared" si="2"/>
        <v>6.1600000000000002E-2</v>
      </c>
      <c r="F49" s="85">
        <f t="shared" si="3"/>
        <v>5.5690000000000003E-2</v>
      </c>
      <c r="G49" s="85">
        <f t="shared" si="4"/>
        <v>0</v>
      </c>
      <c r="H49" s="85">
        <f t="shared" si="5"/>
        <v>4.1239999999999999E-2</v>
      </c>
      <c r="I49" s="85">
        <f t="shared" si="6"/>
        <v>0.1042</v>
      </c>
      <c r="J49" s="85">
        <f t="shared" si="7"/>
        <v>0.21650635094610968</v>
      </c>
      <c r="K49" s="85">
        <f t="shared" si="8"/>
        <v>0</v>
      </c>
      <c r="L49" s="85">
        <f t="shared" si="9"/>
        <v>0</v>
      </c>
      <c r="M49" s="85">
        <f t="shared" si="10"/>
        <v>0.42524047358083555</v>
      </c>
      <c r="N49" s="1"/>
      <c r="P49" s="15"/>
      <c r="Q49" s="28"/>
      <c r="R49" s="31">
        <v>1.5</v>
      </c>
      <c r="S49" s="37">
        <v>6.1600000000000002E-2</v>
      </c>
      <c r="T49" s="32">
        <v>5.5690000000000003E-2</v>
      </c>
      <c r="U49" s="30">
        <v>0</v>
      </c>
      <c r="V49" s="32">
        <v>4.1239999999999999E-2</v>
      </c>
      <c r="W49" s="32">
        <v>0.1042</v>
      </c>
      <c r="X49" s="40">
        <v>0.21650635094610968</v>
      </c>
      <c r="Y49" s="30">
        <v>0</v>
      </c>
      <c r="Z49" s="30">
        <v>0</v>
      </c>
      <c r="AA49" s="34">
        <v>0.42524047358083555</v>
      </c>
      <c r="AC49" s="15"/>
      <c r="AD49" s="28"/>
      <c r="AE49" s="31">
        <v>1.5</v>
      </c>
      <c r="AF49" s="37">
        <v>6.3899999999999998E-2</v>
      </c>
      <c r="AG49" s="32">
        <f>1/20.4</f>
        <v>4.9019607843137261E-2</v>
      </c>
      <c r="AH49" s="30">
        <v>0</v>
      </c>
      <c r="AI49" s="32">
        <f>1/32.1</f>
        <v>3.1152647975077882E-2</v>
      </c>
      <c r="AJ49" s="32">
        <f>1/9.5</f>
        <v>0.10526315789473684</v>
      </c>
      <c r="AK49" s="40">
        <v>0.21650635094610968</v>
      </c>
      <c r="AL49" s="30">
        <v>0</v>
      </c>
      <c r="AM49" s="30">
        <v>0</v>
      </c>
      <c r="AN49" s="34">
        <v>0.42524047358083555</v>
      </c>
      <c r="AP49" s="15"/>
      <c r="AQ49" s="28"/>
      <c r="AR49" s="31">
        <v>1.5</v>
      </c>
      <c r="AS49" s="45">
        <f t="shared" si="44"/>
        <v>6.1343999999999996E-2</v>
      </c>
      <c r="AT49" s="32">
        <f>1/18.1</f>
        <v>5.5248618784530384E-2</v>
      </c>
      <c r="AU49" s="30">
        <v>0</v>
      </c>
      <c r="AV49" s="32">
        <f>1/24.4</f>
        <v>4.0983606557377053E-2</v>
      </c>
      <c r="AW49" s="32">
        <f>1/9.5</f>
        <v>0.10526315789473684</v>
      </c>
      <c r="AX49" s="40">
        <v>0.21650635094610968</v>
      </c>
      <c r="AY49" s="30">
        <v>0</v>
      </c>
      <c r="AZ49" s="30">
        <v>0</v>
      </c>
      <c r="BA49" s="34">
        <v>0.42524047358083555</v>
      </c>
      <c r="BC49" s="25"/>
      <c r="BD49" s="47"/>
      <c r="BE49" s="53">
        <v>1.5</v>
      </c>
      <c r="BF49" s="49">
        <v>6.2480000000000008E-2</v>
      </c>
      <c r="BG49" s="50">
        <v>5.3710000000000001E-2</v>
      </c>
      <c r="BH49" s="51">
        <v>0</v>
      </c>
      <c r="BI49" s="50">
        <v>3.9003749999999997E-2</v>
      </c>
      <c r="BJ49" s="50">
        <v>0.10495125000000001</v>
      </c>
      <c r="BK49" s="40">
        <v>0.21650635094610968</v>
      </c>
      <c r="BL49" s="30">
        <v>0</v>
      </c>
      <c r="BM49" s="30">
        <v>0</v>
      </c>
      <c r="BN49" s="34">
        <v>0.42524047358083555</v>
      </c>
      <c r="BP49" s="15"/>
      <c r="BQ49" s="28"/>
      <c r="BR49" s="31">
        <v>1.5</v>
      </c>
      <c r="BS49" s="84">
        <f t="shared" si="45"/>
        <v>6.3962376065738194E-2</v>
      </c>
      <c r="BT49" s="78">
        <f t="shared" si="46"/>
        <v>5.1169900852590558E-2</v>
      </c>
      <c r="BU49" s="79">
        <v>0</v>
      </c>
      <c r="BV49" s="78">
        <f t="shared" si="47"/>
        <v>3.2116816480845647E-2</v>
      </c>
      <c r="BW49" s="83">
        <f t="shared" si="48"/>
        <v>9.3167701863354047E-2</v>
      </c>
      <c r="BX49" s="40">
        <v>0.21650635094610968</v>
      </c>
      <c r="BY49" s="30">
        <v>0</v>
      </c>
      <c r="BZ49" s="30">
        <v>0</v>
      </c>
      <c r="CA49" s="34">
        <v>0.42524047358083555</v>
      </c>
      <c r="CB49" s="46">
        <f t="shared" si="49"/>
        <v>0.50310559006211175</v>
      </c>
      <c r="CC49" s="46">
        <f t="shared" si="50"/>
        <v>0.49689440993788825</v>
      </c>
      <c r="CD49" s="70">
        <v>8</v>
      </c>
      <c r="CE49" s="70">
        <v>24</v>
      </c>
      <c r="CF49" s="46">
        <f t="shared" si="51"/>
        <v>0.81366459627329191</v>
      </c>
      <c r="CG49" s="46">
        <f t="shared" si="52"/>
        <v>0.68944099378881984</v>
      </c>
      <c r="CI49" s="15"/>
      <c r="CJ49" s="28"/>
      <c r="CK49" s="31">
        <v>1.5</v>
      </c>
      <c r="CL49" s="45">
        <f t="shared" si="43"/>
        <v>6.1403881023108661E-2</v>
      </c>
      <c r="CM49" s="78">
        <f t="shared" si="53"/>
        <v>5.759326414875969E-2</v>
      </c>
      <c r="CN49" s="79">
        <v>0</v>
      </c>
      <c r="CO49" s="78">
        <f t="shared" si="54"/>
        <v>4.2350796651363758E-2</v>
      </c>
      <c r="CP49" s="83">
        <v>9.3167701863354047E-2</v>
      </c>
      <c r="CQ49" s="40">
        <v>0.21650635094610968</v>
      </c>
      <c r="CR49" s="30">
        <v>0</v>
      </c>
      <c r="CS49" s="30">
        <v>0</v>
      </c>
      <c r="CT49" s="34">
        <v>0.42524047358083555</v>
      </c>
      <c r="CV49" s="25"/>
      <c r="CW49" s="47"/>
      <c r="CX49" s="53">
        <v>1.5</v>
      </c>
      <c r="CY49" s="45">
        <f t="shared" si="55"/>
        <v>6.3918158567774955E-2</v>
      </c>
      <c r="CZ49" s="78">
        <f t="shared" si="56"/>
        <v>4.8961061381074179E-2</v>
      </c>
      <c r="DA49" s="51">
        <v>0</v>
      </c>
      <c r="DB49" s="78">
        <f t="shared" si="57"/>
        <v>3.1659590792838872E-2</v>
      </c>
      <c r="DC49" s="50">
        <v>0.10490000000000001</v>
      </c>
      <c r="DD49" s="40">
        <v>0.21650635094610968</v>
      </c>
      <c r="DE49" s="30">
        <v>0</v>
      </c>
      <c r="DF49" s="30">
        <v>0</v>
      </c>
      <c r="DG49" s="34">
        <v>0.42524047358083555</v>
      </c>
      <c r="DI49" s="25"/>
      <c r="DJ49" s="47"/>
      <c r="DK49" s="53">
        <v>1.5</v>
      </c>
      <c r="DL49" s="49">
        <v>6.25E-2</v>
      </c>
      <c r="DM49" s="50">
        <v>5.3699999999999998E-2</v>
      </c>
      <c r="DN49" s="51">
        <v>0</v>
      </c>
      <c r="DO49" s="50">
        <v>3.9E-2</v>
      </c>
      <c r="DP49" s="50">
        <v>0.10490000000000001</v>
      </c>
      <c r="DQ49" s="40">
        <v>0.21650635094610968</v>
      </c>
      <c r="DR49" s="30">
        <v>0</v>
      </c>
      <c r="DS49" s="30">
        <v>0</v>
      </c>
      <c r="DT49" s="34">
        <v>0.42524047358083555</v>
      </c>
    </row>
    <row r="50" spans="1:124" ht="12" customHeight="1" x14ac:dyDescent="0.2">
      <c r="A50" s="1"/>
      <c r="B50" s="25"/>
      <c r="C50" s="47"/>
      <c r="D50" s="68">
        <v>1.6</v>
      </c>
      <c r="E50" s="85">
        <f t="shared" si="2"/>
        <v>6.9599999999999995E-2</v>
      </c>
      <c r="F50" s="85">
        <f t="shared" si="3"/>
        <v>6.2350000000000003E-2</v>
      </c>
      <c r="G50" s="85">
        <f t="shared" si="4"/>
        <v>0</v>
      </c>
      <c r="H50" s="85">
        <f t="shared" si="5"/>
        <v>4.147E-2</v>
      </c>
      <c r="I50" s="85">
        <f t="shared" si="6"/>
        <v>0.1082</v>
      </c>
      <c r="J50" s="85">
        <f t="shared" si="7"/>
        <v>0.2309401076758503</v>
      </c>
      <c r="K50" s="85">
        <f t="shared" si="8"/>
        <v>0</v>
      </c>
      <c r="L50" s="85">
        <f t="shared" si="9"/>
        <v>0</v>
      </c>
      <c r="M50" s="85">
        <f t="shared" si="10"/>
        <v>0.43049582771863948</v>
      </c>
      <c r="N50" s="1"/>
      <c r="P50" s="15"/>
      <c r="Q50" s="28"/>
      <c r="R50" s="31">
        <v>1.6</v>
      </c>
      <c r="S50" s="37">
        <v>6.9599999999999995E-2</v>
      </c>
      <c r="T50" s="32">
        <v>6.2350000000000003E-2</v>
      </c>
      <c r="U50" s="30">
        <v>0</v>
      </c>
      <c r="V50" s="32">
        <v>4.147E-2</v>
      </c>
      <c r="W50" s="32">
        <v>0.1082</v>
      </c>
      <c r="X50" s="40">
        <v>0.2309401076758503</v>
      </c>
      <c r="Y50" s="30">
        <v>0</v>
      </c>
      <c r="Z50" s="30">
        <v>0</v>
      </c>
      <c r="AA50" s="34">
        <v>0.43049582771863948</v>
      </c>
      <c r="AC50" s="15"/>
      <c r="AD50" s="28"/>
      <c r="AE50" s="31">
        <v>1.6</v>
      </c>
      <c r="AF50" s="37">
        <v>7.22E-2</v>
      </c>
      <c r="AG50" s="32">
        <f>1/17.9</f>
        <v>5.5865921787709501E-2</v>
      </c>
      <c r="AH50" s="30">
        <v>0</v>
      </c>
      <c r="AI50" s="32">
        <f>1/33.3</f>
        <v>3.0030030030030033E-2</v>
      </c>
      <c r="AJ50" s="32">
        <f>1/9.2</f>
        <v>0.10869565217391305</v>
      </c>
      <c r="AK50" s="40">
        <v>0.2309401076758503</v>
      </c>
      <c r="AL50" s="30">
        <v>0</v>
      </c>
      <c r="AM50" s="30">
        <v>0</v>
      </c>
      <c r="AN50" s="34">
        <v>0.43049582771863948</v>
      </c>
      <c r="AP50" s="15"/>
      <c r="AQ50" s="28"/>
      <c r="AR50" s="31">
        <v>1.6</v>
      </c>
      <c r="AS50" s="45">
        <f t="shared" si="44"/>
        <v>6.9311999999999999E-2</v>
      </c>
      <c r="AT50" s="32">
        <f>1/16.2</f>
        <v>6.1728395061728399E-2</v>
      </c>
      <c r="AU50" s="30">
        <v>0</v>
      </c>
      <c r="AV50" s="32">
        <f>1/24.3</f>
        <v>4.1152263374485597E-2</v>
      </c>
      <c r="AW50" s="32">
        <f>1/9.2</f>
        <v>0.10869565217391305</v>
      </c>
      <c r="AX50" s="40">
        <v>0.2309401076758503</v>
      </c>
      <c r="AY50" s="30">
        <v>0</v>
      </c>
      <c r="AZ50" s="30">
        <v>0</v>
      </c>
      <c r="BA50" s="34">
        <v>0.43049582771863948</v>
      </c>
      <c r="BC50" s="25"/>
      <c r="BD50" s="47"/>
      <c r="BE50" s="53">
        <v>1.6</v>
      </c>
      <c r="BF50" s="49">
        <v>7.059600000000002E-2</v>
      </c>
      <c r="BG50" s="50">
        <v>6.0332000000000004E-2</v>
      </c>
      <c r="BH50" s="51">
        <v>0</v>
      </c>
      <c r="BI50" s="50">
        <v>3.8932480000000005E-2</v>
      </c>
      <c r="BJ50" s="50">
        <v>0.10905600000000001</v>
      </c>
      <c r="BK50" s="40">
        <v>0.2309401076758503</v>
      </c>
      <c r="BL50" s="30">
        <v>0</v>
      </c>
      <c r="BM50" s="30">
        <v>0</v>
      </c>
      <c r="BN50" s="34">
        <v>0.43049582771863948</v>
      </c>
      <c r="BP50" s="15"/>
      <c r="BQ50" s="28"/>
      <c r="BR50" s="31">
        <v>1.6</v>
      </c>
      <c r="BS50" s="84">
        <f t="shared" si="45"/>
        <v>7.2265081733207961E-2</v>
      </c>
      <c r="BT50" s="78">
        <f t="shared" si="46"/>
        <v>5.7812065386566379E-2</v>
      </c>
      <c r="BU50" s="79">
        <v>0</v>
      </c>
      <c r="BV50" s="78">
        <f t="shared" si="47"/>
        <v>3.1955666920014177E-2</v>
      </c>
      <c r="BW50" s="83">
        <f t="shared" si="48"/>
        <v>9.2323316253519819E-2</v>
      </c>
      <c r="BX50" s="40">
        <v>0.2309401076758503</v>
      </c>
      <c r="BY50" s="30">
        <v>0</v>
      </c>
      <c r="BZ50" s="30">
        <v>0</v>
      </c>
      <c r="CA50" s="34">
        <v>0.43049582771863948</v>
      </c>
      <c r="CB50" s="46">
        <f t="shared" si="49"/>
        <v>0.56723445506162595</v>
      </c>
      <c r="CC50" s="46">
        <f t="shared" si="50"/>
        <v>0.43276554493837405</v>
      </c>
      <c r="CD50" s="70">
        <v>8</v>
      </c>
      <c r="CE50" s="70">
        <v>24</v>
      </c>
      <c r="CF50" s="46">
        <f t="shared" si="51"/>
        <v>0.81535336749296039</v>
      </c>
      <c r="CG50" s="46">
        <f t="shared" si="52"/>
        <v>0.69225561248826728</v>
      </c>
      <c r="CI50" s="15"/>
      <c r="CJ50" s="28"/>
      <c r="CK50" s="31">
        <v>1.6</v>
      </c>
      <c r="CL50" s="45">
        <f t="shared" si="43"/>
        <v>6.9374478463879646E-2</v>
      </c>
      <c r="CM50" s="78">
        <f t="shared" si="53"/>
        <v>6.4203198770569209E-2</v>
      </c>
      <c r="CN50" s="79">
        <v>0</v>
      </c>
      <c r="CO50" s="78">
        <f t="shared" si="54"/>
        <v>4.3518079997327451E-2</v>
      </c>
      <c r="CP50" s="83">
        <v>9.2323316253519819E-2</v>
      </c>
      <c r="CQ50" s="40">
        <v>0.2309401076758503</v>
      </c>
      <c r="CR50" s="30">
        <v>0</v>
      </c>
      <c r="CS50" s="30">
        <v>0</v>
      </c>
      <c r="CT50" s="34">
        <v>0.43049582771863948</v>
      </c>
      <c r="CV50" s="25"/>
      <c r="CW50" s="47"/>
      <c r="CX50" s="53">
        <v>1.6</v>
      </c>
      <c r="CY50" s="45">
        <f t="shared" si="55"/>
        <v>7.2220971867007697E-2</v>
      </c>
      <c r="CZ50" s="78">
        <f t="shared" si="56"/>
        <v>5.5746422506393868E-2</v>
      </c>
      <c r="DA50" s="51">
        <v>0</v>
      </c>
      <c r="DB50" s="78">
        <f t="shared" si="57"/>
        <v>3.0570516624040929E-2</v>
      </c>
      <c r="DC50" s="50">
        <v>0.1091</v>
      </c>
      <c r="DD50" s="40">
        <v>0.2309401076758503</v>
      </c>
      <c r="DE50" s="30">
        <v>0</v>
      </c>
      <c r="DF50" s="30">
        <v>0</v>
      </c>
      <c r="DG50" s="34">
        <v>0.43049582771863948</v>
      </c>
      <c r="DI50" s="25"/>
      <c r="DJ50" s="47"/>
      <c r="DK50" s="53">
        <v>1.6</v>
      </c>
      <c r="DL50" s="49">
        <v>7.0599999999999996E-2</v>
      </c>
      <c r="DM50" s="50">
        <v>6.0299999999999999E-2</v>
      </c>
      <c r="DN50" s="51">
        <v>0</v>
      </c>
      <c r="DO50" s="50">
        <v>3.8900000000000004E-2</v>
      </c>
      <c r="DP50" s="50">
        <v>0.1091</v>
      </c>
      <c r="DQ50" s="40">
        <v>0.2309401076758503</v>
      </c>
      <c r="DR50" s="30">
        <v>0</v>
      </c>
      <c r="DS50" s="30">
        <v>0</v>
      </c>
      <c r="DT50" s="34">
        <v>0.43049582771863948</v>
      </c>
    </row>
    <row r="51" spans="1:124" ht="12" customHeight="1" x14ac:dyDescent="0.2">
      <c r="A51" s="1"/>
      <c r="B51" s="25"/>
      <c r="C51" s="47"/>
      <c r="D51" s="68">
        <v>1.7</v>
      </c>
      <c r="E51" s="85">
        <f t="shared" si="2"/>
        <v>7.7299999999999994E-2</v>
      </c>
      <c r="F51" s="85">
        <f t="shared" si="3"/>
        <v>6.8659999999999999E-2</v>
      </c>
      <c r="G51" s="85">
        <f t="shared" si="4"/>
        <v>0</v>
      </c>
      <c r="H51" s="85">
        <f t="shared" si="5"/>
        <v>4.1329999999999999E-2</v>
      </c>
      <c r="I51" s="85">
        <f t="shared" si="6"/>
        <v>0.1114</v>
      </c>
      <c r="J51" s="85">
        <f t="shared" si="7"/>
        <v>0.24537386440559095</v>
      </c>
      <c r="K51" s="85">
        <f t="shared" si="8"/>
        <v>0</v>
      </c>
      <c r="L51" s="85">
        <f t="shared" si="9"/>
        <v>0</v>
      </c>
      <c r="M51" s="85">
        <f t="shared" si="10"/>
        <v>0.43286443051049545</v>
      </c>
      <c r="N51" s="1"/>
      <c r="P51" s="15"/>
      <c r="Q51" s="28"/>
      <c r="R51" s="31">
        <v>1.7</v>
      </c>
      <c r="S51" s="37">
        <v>7.7299999999999994E-2</v>
      </c>
      <c r="T51" s="32">
        <v>6.8659999999999999E-2</v>
      </c>
      <c r="U51" s="30">
        <v>0</v>
      </c>
      <c r="V51" s="32">
        <v>4.1329999999999999E-2</v>
      </c>
      <c r="W51" s="32">
        <v>0.1114</v>
      </c>
      <c r="X51" s="40">
        <v>0.24537386440559095</v>
      </c>
      <c r="Y51" s="30">
        <v>0</v>
      </c>
      <c r="Z51" s="30">
        <v>0</v>
      </c>
      <c r="AA51" s="34">
        <v>0.43286443051049545</v>
      </c>
      <c r="AC51" s="15"/>
      <c r="AD51" s="28"/>
      <c r="AE51" s="31">
        <v>1.7</v>
      </c>
      <c r="AF51" s="37">
        <v>8.0199999999999994E-2</v>
      </c>
      <c r="AG51" s="32">
        <f>1/16</f>
        <v>6.25E-2</v>
      </c>
      <c r="AH51" s="30">
        <v>0</v>
      </c>
      <c r="AI51" s="32">
        <f>1/34.9</f>
        <v>2.865329512893983E-2</v>
      </c>
      <c r="AJ51" s="32">
        <f>1/8.9</f>
        <v>0.11235955056179775</v>
      </c>
      <c r="AK51" s="40">
        <v>0.24537386440559095</v>
      </c>
      <c r="AL51" s="30">
        <v>0</v>
      </c>
      <c r="AM51" s="30">
        <v>0</v>
      </c>
      <c r="AN51" s="34">
        <v>0.43286443051049545</v>
      </c>
      <c r="AP51" s="15"/>
      <c r="AQ51" s="28"/>
      <c r="AR51" s="31">
        <v>1.7</v>
      </c>
      <c r="AS51" s="45">
        <f t="shared" si="44"/>
        <v>7.6991999999999991E-2</v>
      </c>
      <c r="AT51" s="32">
        <f>1/14.7</f>
        <v>6.8027210884353748E-2</v>
      </c>
      <c r="AU51" s="30">
        <v>0</v>
      </c>
      <c r="AV51" s="32">
        <f>1/24.3</f>
        <v>4.1152263374485597E-2</v>
      </c>
      <c r="AW51" s="32">
        <f>1/8.9</f>
        <v>0.11235955056179775</v>
      </c>
      <c r="AX51" s="40">
        <v>0.24537386440559095</v>
      </c>
      <c r="AY51" s="30">
        <v>0</v>
      </c>
      <c r="AZ51" s="30">
        <v>0</v>
      </c>
      <c r="BA51" s="34">
        <v>0.43286443051049545</v>
      </c>
      <c r="BC51" s="25"/>
      <c r="BD51" s="47"/>
      <c r="BE51" s="53">
        <v>1.7</v>
      </c>
      <c r="BF51" s="49">
        <v>7.8385999999999983E-2</v>
      </c>
      <c r="BG51" s="50">
        <v>6.6701999999999997E-2</v>
      </c>
      <c r="BH51" s="51">
        <v>0</v>
      </c>
      <c r="BI51" s="50">
        <v>3.8067080000000003E-2</v>
      </c>
      <c r="BJ51" s="50">
        <v>0.11242099999999998</v>
      </c>
      <c r="BK51" s="40">
        <v>0.24537386440559095</v>
      </c>
      <c r="BL51" s="30">
        <v>0</v>
      </c>
      <c r="BM51" s="30">
        <v>0</v>
      </c>
      <c r="BN51" s="34">
        <v>0.43286443051049545</v>
      </c>
      <c r="BP51" s="15"/>
      <c r="BQ51" s="28"/>
      <c r="BR51" s="31">
        <v>1.7</v>
      </c>
      <c r="BS51" s="84">
        <f t="shared" si="45"/>
        <v>8.010938242926105E-2</v>
      </c>
      <c r="BT51" s="78">
        <f t="shared" si="46"/>
        <v>6.408750594340884E-2</v>
      </c>
      <c r="BU51" s="79">
        <v>0</v>
      </c>
      <c r="BV51" s="78">
        <f t="shared" si="47"/>
        <v>3.1537055373900155E-2</v>
      </c>
      <c r="BW51" s="83">
        <f t="shared" si="48"/>
        <v>9.0185563818924855E-2</v>
      </c>
      <c r="BX51" s="40">
        <v>0.24537386440559095</v>
      </c>
      <c r="BY51" s="30">
        <v>0</v>
      </c>
      <c r="BZ51" s="30">
        <v>0</v>
      </c>
      <c r="CA51" s="34">
        <v>0.43286443051049545</v>
      </c>
      <c r="CB51" s="46">
        <f t="shared" si="49"/>
        <v>0.62552707064806279</v>
      </c>
      <c r="CC51" s="46">
        <f t="shared" si="50"/>
        <v>0.37447292935193721</v>
      </c>
      <c r="CD51" s="70">
        <v>8</v>
      </c>
      <c r="CE51" s="70">
        <v>24</v>
      </c>
      <c r="CF51" s="46">
        <f t="shared" si="51"/>
        <v>0.81962887236215021</v>
      </c>
      <c r="CG51" s="46">
        <f t="shared" si="52"/>
        <v>0.6993814539369172</v>
      </c>
      <c r="CI51" s="15"/>
      <c r="CJ51" s="28"/>
      <c r="CK51" s="31">
        <v>1.7</v>
      </c>
      <c r="CL51" s="45">
        <f t="shared" si="43"/>
        <v>7.69050071320906E-2</v>
      </c>
      <c r="CM51" s="78">
        <f t="shared" si="53"/>
        <v>7.0394917018188868E-2</v>
      </c>
      <c r="CN51" s="79">
        <v>0</v>
      </c>
      <c r="CO51" s="78">
        <f t="shared" si="54"/>
        <v>4.4354556562581922E-2</v>
      </c>
      <c r="CP51" s="83">
        <v>9.0185563818924855E-2</v>
      </c>
      <c r="CQ51" s="40">
        <v>0.24537386440559095</v>
      </c>
      <c r="CR51" s="30">
        <v>0</v>
      </c>
      <c r="CS51" s="30">
        <v>0</v>
      </c>
      <c r="CT51" s="34">
        <v>0.43286443051049545</v>
      </c>
      <c r="CV51" s="25"/>
      <c r="CW51" s="47"/>
      <c r="CX51" s="53">
        <v>1.7</v>
      </c>
      <c r="CY51" s="45">
        <f t="shared" si="55"/>
        <v>8.0190281329923258E-2</v>
      </c>
      <c r="CZ51" s="78">
        <f t="shared" si="56"/>
        <v>6.2395844501278774E-2</v>
      </c>
      <c r="DA51" s="51">
        <v>0</v>
      </c>
      <c r="DB51" s="78">
        <f t="shared" si="57"/>
        <v>2.8707703324808188E-2</v>
      </c>
      <c r="DC51" s="50">
        <v>0.1124</v>
      </c>
      <c r="DD51" s="40">
        <v>0.24537386440559095</v>
      </c>
      <c r="DE51" s="30">
        <v>0</v>
      </c>
      <c r="DF51" s="30">
        <v>0</v>
      </c>
      <c r="DG51" s="34">
        <v>0.43286443051049545</v>
      </c>
      <c r="DI51" s="25"/>
      <c r="DJ51" s="47"/>
      <c r="DK51" s="53">
        <v>1.7</v>
      </c>
      <c r="DL51" s="49">
        <v>7.8399999999999997E-2</v>
      </c>
      <c r="DM51" s="50">
        <v>6.6699999999999995E-2</v>
      </c>
      <c r="DN51" s="51">
        <v>0</v>
      </c>
      <c r="DO51" s="50">
        <v>3.8100000000000002E-2</v>
      </c>
      <c r="DP51" s="50">
        <v>0.1124</v>
      </c>
      <c r="DQ51" s="40">
        <v>0.24537386440559095</v>
      </c>
      <c r="DR51" s="30">
        <v>0</v>
      </c>
      <c r="DS51" s="30">
        <v>0</v>
      </c>
      <c r="DT51" s="34">
        <v>0.43286443051049545</v>
      </c>
    </row>
    <row r="52" spans="1:124" ht="12" customHeight="1" x14ac:dyDescent="0.2">
      <c r="A52" s="1"/>
      <c r="B52" s="25"/>
      <c r="C52" s="47"/>
      <c r="D52" s="68">
        <v>1.8</v>
      </c>
      <c r="E52" s="85">
        <f t="shared" si="2"/>
        <v>8.4599999999999995E-2</v>
      </c>
      <c r="F52" s="85">
        <f t="shared" si="3"/>
        <v>7.4550000000000005E-2</v>
      </c>
      <c r="G52" s="85">
        <f t="shared" si="4"/>
        <v>0</v>
      </c>
      <c r="H52" s="85">
        <f t="shared" si="5"/>
        <v>4.0899999999999999E-2</v>
      </c>
      <c r="I52" s="85">
        <f t="shared" si="6"/>
        <v>0.114</v>
      </c>
      <c r="J52" s="85">
        <f t="shared" si="7"/>
        <v>0.25943738783765596</v>
      </c>
      <c r="K52" s="85">
        <f t="shared" si="8"/>
        <v>0</v>
      </c>
      <c r="L52" s="85">
        <f t="shared" si="9"/>
        <v>0</v>
      </c>
      <c r="M52" s="85">
        <f t="shared" si="10"/>
        <v>0.4330127018922193</v>
      </c>
      <c r="N52" s="1"/>
      <c r="P52" s="15"/>
      <c r="Q52" s="28"/>
      <c r="R52" s="31">
        <v>1.8</v>
      </c>
      <c r="S52" s="37">
        <v>8.4599999999999995E-2</v>
      </c>
      <c r="T52" s="32">
        <v>7.4550000000000005E-2</v>
      </c>
      <c r="U52" s="30">
        <v>0</v>
      </c>
      <c r="V52" s="32">
        <v>4.0899999999999999E-2</v>
      </c>
      <c r="W52" s="32">
        <v>0.114</v>
      </c>
      <c r="X52" s="40">
        <v>0.25943738783765596</v>
      </c>
      <c r="Y52" s="30">
        <v>0</v>
      </c>
      <c r="Z52" s="30">
        <v>0</v>
      </c>
      <c r="AA52" s="34">
        <v>0.4330127018922193</v>
      </c>
      <c r="AC52" s="15"/>
      <c r="AD52" s="28"/>
      <c r="AE52" s="31">
        <v>1.8</v>
      </c>
      <c r="AF52" s="37">
        <v>8.7800000000000003E-2</v>
      </c>
      <c r="AG52" s="32">
        <f>1/14.6</f>
        <v>6.8493150684931503E-2</v>
      </c>
      <c r="AH52" s="30">
        <v>0</v>
      </c>
      <c r="AI52" s="32">
        <f>1/37.1</f>
        <v>2.6954177897574122E-2</v>
      </c>
      <c r="AJ52" s="32">
        <f>1/8.7</f>
        <v>0.1149425287356322</v>
      </c>
      <c r="AK52" s="40">
        <v>0.25943738783765596</v>
      </c>
      <c r="AL52" s="30">
        <v>0</v>
      </c>
      <c r="AM52" s="30">
        <v>0</v>
      </c>
      <c r="AN52" s="34">
        <v>0.4330127018922193</v>
      </c>
      <c r="AP52" s="15"/>
      <c r="AQ52" s="28"/>
      <c r="AR52" s="31">
        <v>1.8</v>
      </c>
      <c r="AS52" s="45">
        <f t="shared" si="44"/>
        <v>8.4288000000000002E-2</v>
      </c>
      <c r="AT52" s="32">
        <f>1/13.5</f>
        <v>7.407407407407407E-2</v>
      </c>
      <c r="AU52" s="30">
        <v>0</v>
      </c>
      <c r="AV52" s="32">
        <f>1/24.3</f>
        <v>4.1152263374485597E-2</v>
      </c>
      <c r="AW52" s="32">
        <f>1/8.7</f>
        <v>0.1149425287356322</v>
      </c>
      <c r="AX52" s="40">
        <v>0.25943738783765596</v>
      </c>
      <c r="AY52" s="30">
        <v>0</v>
      </c>
      <c r="AZ52" s="30">
        <v>0</v>
      </c>
      <c r="BA52" s="34">
        <v>0.4330127018922193</v>
      </c>
      <c r="BC52" s="25"/>
      <c r="BD52" s="47"/>
      <c r="BE52" s="53">
        <v>1.8</v>
      </c>
      <c r="BF52" s="49">
        <v>8.5844000000000004E-2</v>
      </c>
      <c r="BG52" s="50">
        <v>7.2708000000000009E-2</v>
      </c>
      <c r="BH52" s="51">
        <v>0</v>
      </c>
      <c r="BI52" s="50">
        <v>3.7545119999999994E-2</v>
      </c>
      <c r="BJ52" s="50">
        <v>0.115344</v>
      </c>
      <c r="BK52" s="40">
        <v>0.25943738783765596</v>
      </c>
      <c r="BL52" s="30">
        <v>0</v>
      </c>
      <c r="BM52" s="30">
        <v>0</v>
      </c>
      <c r="BN52" s="34">
        <v>0.4330127018922193</v>
      </c>
      <c r="BP52" s="15"/>
      <c r="BQ52" s="28"/>
      <c r="BR52" s="31">
        <v>1.8</v>
      </c>
      <c r="BS52" s="84">
        <f t="shared" si="45"/>
        <v>8.7399647993293333E-2</v>
      </c>
      <c r="BT52" s="78">
        <f t="shared" si="46"/>
        <v>6.9919718394634678E-2</v>
      </c>
      <c r="BU52" s="79">
        <v>0</v>
      </c>
      <c r="BV52" s="78">
        <f t="shared" si="47"/>
        <v>3.0908134806238202E-2</v>
      </c>
      <c r="BW52" s="83">
        <f t="shared" si="48"/>
        <v>8.71102622341524E-2</v>
      </c>
      <c r="BX52" s="40">
        <v>0.25943738783765596</v>
      </c>
      <c r="BY52" s="30">
        <v>0</v>
      </c>
      <c r="BZ52" s="30">
        <v>0</v>
      </c>
      <c r="CA52" s="34">
        <v>0.4330127018922193</v>
      </c>
      <c r="CB52" s="46">
        <f t="shared" si="49"/>
        <v>0.67736939913276895</v>
      </c>
      <c r="CC52" s="46">
        <f t="shared" si="50"/>
        <v>0.32263060086723105</v>
      </c>
      <c r="CD52" s="70">
        <v>8</v>
      </c>
      <c r="CE52" s="70">
        <v>24</v>
      </c>
      <c r="CF52" s="46">
        <f t="shared" si="51"/>
        <v>0.82577947553169517</v>
      </c>
      <c r="CG52" s="46">
        <f t="shared" si="52"/>
        <v>0.70963245921949203</v>
      </c>
      <c r="CI52" s="15"/>
      <c r="CJ52" s="28"/>
      <c r="CK52" s="31">
        <v>1.8</v>
      </c>
      <c r="CL52" s="45">
        <f t="shared" si="43"/>
        <v>8.3903662073561591E-2</v>
      </c>
      <c r="CM52" s="78">
        <f t="shared" si="53"/>
        <v>7.6101345355882324E-2</v>
      </c>
      <c r="CN52" s="79">
        <v>0</v>
      </c>
      <c r="CO52" s="78">
        <f t="shared" si="54"/>
        <v>4.4892078485165139E-2</v>
      </c>
      <c r="CP52" s="83">
        <v>8.71102622341524E-2</v>
      </c>
      <c r="CQ52" s="40">
        <v>0.25943738783765596</v>
      </c>
      <c r="CR52" s="30">
        <v>0</v>
      </c>
      <c r="CS52" s="30">
        <v>0</v>
      </c>
      <c r="CT52" s="34">
        <v>0.4330127018922193</v>
      </c>
      <c r="CV52" s="25"/>
      <c r="CW52" s="47"/>
      <c r="CX52" s="53">
        <v>1.8</v>
      </c>
      <c r="CY52" s="45">
        <f t="shared" si="55"/>
        <v>8.7819948849104865E-2</v>
      </c>
      <c r="CZ52" s="78">
        <f t="shared" si="56"/>
        <v>6.8620186189258331E-2</v>
      </c>
      <c r="DA52" s="51">
        <v>0</v>
      </c>
      <c r="DB52" s="78">
        <f t="shared" si="57"/>
        <v>2.7252092071611247E-2</v>
      </c>
      <c r="DC52" s="50">
        <v>0.1153</v>
      </c>
      <c r="DD52" s="40">
        <v>0.25943738783765596</v>
      </c>
      <c r="DE52" s="30">
        <v>0</v>
      </c>
      <c r="DF52" s="30">
        <v>0</v>
      </c>
      <c r="DG52" s="34">
        <v>0.4330127018922193</v>
      </c>
      <c r="DI52" s="25"/>
      <c r="DJ52" s="47"/>
      <c r="DK52" s="53">
        <v>1.8</v>
      </c>
      <c r="DL52" s="49">
        <v>8.5800000000000001E-2</v>
      </c>
      <c r="DM52" s="50">
        <v>7.2700000000000001E-2</v>
      </c>
      <c r="DN52" s="51">
        <v>0</v>
      </c>
      <c r="DO52" s="50">
        <v>3.7599999999999995E-2</v>
      </c>
      <c r="DP52" s="50">
        <v>0.1153</v>
      </c>
      <c r="DQ52" s="40">
        <v>0.25943738783765596</v>
      </c>
      <c r="DR52" s="30">
        <v>0</v>
      </c>
      <c r="DS52" s="30">
        <v>0</v>
      </c>
      <c r="DT52" s="34">
        <v>0.4330127018922193</v>
      </c>
    </row>
    <row r="53" spans="1:124" ht="12" customHeight="1" x14ac:dyDescent="0.2">
      <c r="A53" s="1"/>
      <c r="B53" s="25"/>
      <c r="C53" s="47"/>
      <c r="D53" s="68">
        <v>1.9</v>
      </c>
      <c r="E53" s="85">
        <f t="shared" si="2"/>
        <v>9.1399999999999995E-2</v>
      </c>
      <c r="F53" s="85">
        <f t="shared" si="3"/>
        <v>0.08</v>
      </c>
      <c r="G53" s="85">
        <f t="shared" si="4"/>
        <v>0</v>
      </c>
      <c r="H53" s="85">
        <f t="shared" si="5"/>
        <v>4.0259999999999997E-2</v>
      </c>
      <c r="I53" s="85">
        <f t="shared" si="6"/>
        <v>0.11600000000000001</v>
      </c>
      <c r="J53" s="85">
        <f t="shared" si="7"/>
        <v>0.27209857795146353</v>
      </c>
      <c r="K53" s="85">
        <f t="shared" si="8"/>
        <v>0</v>
      </c>
      <c r="L53" s="85">
        <f t="shared" si="9"/>
        <v>0</v>
      </c>
      <c r="M53" s="85">
        <f t="shared" si="10"/>
        <v>0.4330127018922193</v>
      </c>
      <c r="N53" s="1"/>
      <c r="P53" s="15"/>
      <c r="Q53" s="28"/>
      <c r="R53" s="31">
        <v>1.9</v>
      </c>
      <c r="S53" s="37">
        <v>9.1399999999999995E-2</v>
      </c>
      <c r="T53" s="32">
        <v>0.08</v>
      </c>
      <c r="U53" s="30">
        <v>0</v>
      </c>
      <c r="V53" s="32">
        <v>4.0259999999999997E-2</v>
      </c>
      <c r="W53" s="32">
        <v>0.11600000000000001</v>
      </c>
      <c r="X53" s="40">
        <v>0.27209857795146353</v>
      </c>
      <c r="Y53" s="30">
        <v>0</v>
      </c>
      <c r="Z53" s="30">
        <v>0</v>
      </c>
      <c r="AA53" s="34">
        <v>0.4330127018922193</v>
      </c>
      <c r="AC53" s="15"/>
      <c r="AD53" s="28"/>
      <c r="AE53" s="31">
        <v>1.9</v>
      </c>
      <c r="AF53" s="37">
        <v>9.4899999999999998E-2</v>
      </c>
      <c r="AG53" s="32">
        <f>1/13.4</f>
        <v>7.4626865671641784E-2</v>
      </c>
      <c r="AH53" s="30">
        <v>0</v>
      </c>
      <c r="AI53" s="32">
        <f>1/39.7</f>
        <v>2.5188916876574305E-2</v>
      </c>
      <c r="AJ53" s="32">
        <f>1/8.5</f>
        <v>0.11764705882352941</v>
      </c>
      <c r="AK53" s="40">
        <v>0.27209857795146353</v>
      </c>
      <c r="AL53" s="30">
        <v>0</v>
      </c>
      <c r="AM53" s="30">
        <v>0</v>
      </c>
      <c r="AN53" s="34">
        <v>0.4330127018922193</v>
      </c>
      <c r="AP53" s="15"/>
      <c r="AQ53" s="28"/>
      <c r="AR53" s="31">
        <v>1.9</v>
      </c>
      <c r="AS53" s="45">
        <f t="shared" si="44"/>
        <v>9.1103999999999991E-2</v>
      </c>
      <c r="AT53" s="32">
        <f>1/12.6</f>
        <v>7.9365079365079361E-2</v>
      </c>
      <c r="AU53" s="30">
        <v>0</v>
      </c>
      <c r="AV53" s="32">
        <f>1/24.3</f>
        <v>4.1152263374485597E-2</v>
      </c>
      <c r="AW53" s="32">
        <f>1/8.5</f>
        <v>0.11764705882352941</v>
      </c>
      <c r="AX53" s="40">
        <v>0.27209857795146353</v>
      </c>
      <c r="AY53" s="30">
        <v>0</v>
      </c>
      <c r="AZ53" s="30">
        <v>0</v>
      </c>
      <c r="BA53" s="34">
        <v>0.4330127018922193</v>
      </c>
      <c r="BC53" s="25"/>
      <c r="BD53" s="47"/>
      <c r="BE53" s="53">
        <v>1.9</v>
      </c>
      <c r="BF53" s="49">
        <v>9.2509999999999995E-2</v>
      </c>
      <c r="BG53" s="50">
        <v>7.8164999999999998E-2</v>
      </c>
      <c r="BH53" s="51">
        <v>0</v>
      </c>
      <c r="BI53" s="50">
        <v>3.6731750000000001E-2</v>
      </c>
      <c r="BJ53" s="50">
        <v>0.11774015000000002</v>
      </c>
      <c r="BK53" s="40">
        <v>0.27209857795146353</v>
      </c>
      <c r="BL53" s="30">
        <v>0</v>
      </c>
      <c r="BM53" s="30">
        <v>0</v>
      </c>
      <c r="BN53" s="34">
        <v>0.4330127018922193</v>
      </c>
      <c r="BP53" s="15"/>
      <c r="BQ53" s="28"/>
      <c r="BR53" s="31">
        <v>1.9</v>
      </c>
      <c r="BS53" s="84">
        <f t="shared" si="45"/>
        <v>9.4085055509338059E-2</v>
      </c>
      <c r="BT53" s="78">
        <f t="shared" si="46"/>
        <v>7.5268044407470439E-2</v>
      </c>
      <c r="BU53" s="79">
        <v>0</v>
      </c>
      <c r="BV53" s="78">
        <f t="shared" si="47"/>
        <v>3.0110964042578448E-2</v>
      </c>
      <c r="BW53" s="83">
        <f t="shared" si="48"/>
        <v>8.3416056181291498E-2</v>
      </c>
      <c r="BX53" s="40">
        <v>0.27209857795146353</v>
      </c>
      <c r="BY53" s="30">
        <v>0</v>
      </c>
      <c r="BZ53" s="30">
        <v>0</v>
      </c>
      <c r="CA53" s="34">
        <v>0.4330127018922193</v>
      </c>
      <c r="CB53" s="46">
        <f t="shared" si="49"/>
        <v>0.72271671075470967</v>
      </c>
      <c r="CC53" s="46">
        <f t="shared" si="50"/>
        <v>0.27728328924529033</v>
      </c>
      <c r="CD53" s="70">
        <v>8</v>
      </c>
      <c r="CE53" s="70">
        <v>24</v>
      </c>
      <c r="CF53" s="46">
        <f t="shared" si="51"/>
        <v>0.833167887637417</v>
      </c>
      <c r="CG53" s="46">
        <f t="shared" si="52"/>
        <v>0.7219464793956949</v>
      </c>
      <c r="CI53" s="15"/>
      <c r="CJ53" s="28"/>
      <c r="CK53" s="31">
        <v>1.9</v>
      </c>
      <c r="CL53" s="45">
        <f t="shared" si="43"/>
        <v>9.0321653288964535E-2</v>
      </c>
      <c r="CM53" s="78">
        <f t="shared" si="53"/>
        <v>8.1290237215986133E-2</v>
      </c>
      <c r="CN53" s="79">
        <v>0</v>
      </c>
      <c r="CO53" s="78">
        <f t="shared" si="54"/>
        <v>4.5164572924072541E-2</v>
      </c>
      <c r="CP53" s="83">
        <v>8.3416056181291498E-2</v>
      </c>
      <c r="CQ53" s="40">
        <v>0.27209857795146353</v>
      </c>
      <c r="CR53" s="30">
        <v>0</v>
      </c>
      <c r="CS53" s="30">
        <v>0</v>
      </c>
      <c r="CT53" s="34">
        <v>0.4330127018922193</v>
      </c>
      <c r="CV53" s="25"/>
      <c r="CW53" s="47"/>
      <c r="CX53" s="53">
        <v>1.9</v>
      </c>
      <c r="CY53" s="45">
        <f t="shared" si="55"/>
        <v>9.4639386189258309E-2</v>
      </c>
      <c r="CZ53" s="78">
        <f t="shared" si="56"/>
        <v>7.4327608695652178E-2</v>
      </c>
      <c r="DA53" s="51">
        <v>0</v>
      </c>
      <c r="DB53" s="78">
        <f t="shared" si="57"/>
        <v>2.5582608695652178E-2</v>
      </c>
      <c r="DC53" s="50">
        <v>0.1177</v>
      </c>
      <c r="DD53" s="40">
        <v>0.27209857795146353</v>
      </c>
      <c r="DE53" s="30">
        <v>0</v>
      </c>
      <c r="DF53" s="30">
        <v>0</v>
      </c>
      <c r="DG53" s="34">
        <v>0.4330127018922193</v>
      </c>
      <c r="DI53" s="25"/>
      <c r="DJ53" s="47"/>
      <c r="DK53" s="53">
        <v>1.9</v>
      </c>
      <c r="DL53" s="49">
        <v>9.2499999999999999E-2</v>
      </c>
      <c r="DM53" s="50">
        <v>7.8200000000000006E-2</v>
      </c>
      <c r="DN53" s="51">
        <v>0</v>
      </c>
      <c r="DO53" s="50">
        <v>3.6699999999999997E-2</v>
      </c>
      <c r="DP53" s="50">
        <v>0.1177</v>
      </c>
      <c r="DQ53" s="40">
        <v>0.27209857795146353</v>
      </c>
      <c r="DR53" s="30">
        <v>0</v>
      </c>
      <c r="DS53" s="30">
        <v>0</v>
      </c>
      <c r="DT53" s="34">
        <v>0.4330127018922193</v>
      </c>
    </row>
    <row r="54" spans="1:124" ht="12" customHeight="1" x14ac:dyDescent="0.2">
      <c r="A54" s="1"/>
      <c r="B54" s="25"/>
      <c r="C54" s="47"/>
      <c r="D54" s="68">
        <v>2</v>
      </c>
      <c r="E54" s="85">
        <f t="shared" si="2"/>
        <v>9.7600000000000006E-2</v>
      </c>
      <c r="F54" s="85">
        <f t="shared" si="3"/>
        <v>8.4989999999999996E-2</v>
      </c>
      <c r="G54" s="85">
        <f t="shared" si="4"/>
        <v>0</v>
      </c>
      <c r="H54" s="85">
        <f t="shared" si="5"/>
        <v>3.9469999999999998E-2</v>
      </c>
      <c r="I54" s="85">
        <f t="shared" si="6"/>
        <v>0.11749999999999999</v>
      </c>
      <c r="J54" s="85">
        <f t="shared" si="7"/>
        <v>0.28349364905389035</v>
      </c>
      <c r="K54" s="85">
        <f t="shared" si="8"/>
        <v>0</v>
      </c>
      <c r="L54" s="85">
        <f t="shared" si="9"/>
        <v>0</v>
      </c>
      <c r="M54" s="85">
        <f t="shared" si="10"/>
        <v>0.4330127018922193</v>
      </c>
      <c r="N54" s="1"/>
      <c r="P54" s="15"/>
      <c r="Q54" s="28"/>
      <c r="R54" s="31">
        <v>2</v>
      </c>
      <c r="S54" s="37">
        <v>9.7600000000000006E-2</v>
      </c>
      <c r="T54" s="32">
        <v>8.4989999999999996E-2</v>
      </c>
      <c r="U54" s="30">
        <v>0</v>
      </c>
      <c r="V54" s="32">
        <v>3.9469999999999998E-2</v>
      </c>
      <c r="W54" s="32">
        <v>0.11749999999999999</v>
      </c>
      <c r="X54" s="40">
        <v>0.28349364905389035</v>
      </c>
      <c r="Y54" s="30">
        <v>0</v>
      </c>
      <c r="Z54" s="30">
        <v>0</v>
      </c>
      <c r="AA54" s="34">
        <v>0.4330127018922193</v>
      </c>
      <c r="AC54" s="15"/>
      <c r="AD54" s="28"/>
      <c r="AE54" s="31">
        <v>2</v>
      </c>
      <c r="AF54" s="37">
        <v>0.1013</v>
      </c>
      <c r="AG54" s="32">
        <f>1/12.5</f>
        <v>0.08</v>
      </c>
      <c r="AH54" s="30">
        <v>0</v>
      </c>
      <c r="AI54" s="32">
        <f>1/42.4</f>
        <v>2.358490566037736E-2</v>
      </c>
      <c r="AJ54" s="32">
        <f>1/8.4</f>
        <v>0.11904761904761904</v>
      </c>
      <c r="AK54" s="40">
        <v>0.28349364905389035</v>
      </c>
      <c r="AL54" s="30">
        <v>0</v>
      </c>
      <c r="AM54" s="30">
        <v>0</v>
      </c>
      <c r="AN54" s="34">
        <v>0.4330127018922193</v>
      </c>
      <c r="AP54" s="15"/>
      <c r="AQ54" s="28"/>
      <c r="AR54" s="31">
        <v>2</v>
      </c>
      <c r="AS54" s="45">
        <f t="shared" si="44"/>
        <v>9.7248000000000001E-2</v>
      </c>
      <c r="AT54" s="32">
        <f>1/11.8</f>
        <v>8.4745762711864403E-2</v>
      </c>
      <c r="AU54" s="30">
        <v>0</v>
      </c>
      <c r="AV54" s="32">
        <f>1/24.3</f>
        <v>4.1152263374485597E-2</v>
      </c>
      <c r="AW54" s="32">
        <f>1/8.4</f>
        <v>0.11904761904761904</v>
      </c>
      <c r="AX54" s="40">
        <v>0.28349364905389035</v>
      </c>
      <c r="AY54" s="30">
        <v>0</v>
      </c>
      <c r="AZ54" s="30">
        <v>0</v>
      </c>
      <c r="BA54" s="34">
        <v>0.4330127018922193</v>
      </c>
      <c r="BC54" s="25"/>
      <c r="BD54" s="47"/>
      <c r="BE54" s="53">
        <v>2</v>
      </c>
      <c r="BF54" s="49">
        <v>9.9000000000000005E-2</v>
      </c>
      <c r="BG54" s="50">
        <v>8.3500000000000005E-2</v>
      </c>
      <c r="BH54" s="51">
        <v>0</v>
      </c>
      <c r="BI54" s="50">
        <v>3.5200000000000002E-2</v>
      </c>
      <c r="BJ54" s="50">
        <v>0.1188</v>
      </c>
      <c r="BK54" s="40">
        <v>0.28349364905389035</v>
      </c>
      <c r="BL54" s="30">
        <v>0</v>
      </c>
      <c r="BM54" s="30">
        <v>0</v>
      </c>
      <c r="BN54" s="34">
        <v>0.4330127018922193</v>
      </c>
      <c r="BP54" s="15"/>
      <c r="BQ54" s="28"/>
      <c r="BR54" s="31">
        <v>2</v>
      </c>
      <c r="BS54" s="84">
        <f t="shared" si="45"/>
        <v>0.100151171579743</v>
      </c>
      <c r="BT54" s="78">
        <f t="shared" si="46"/>
        <v>8.0120937263794406E-2</v>
      </c>
      <c r="BU54" s="79">
        <v>0</v>
      </c>
      <c r="BV54" s="78">
        <f t="shared" si="47"/>
        <v>2.9184513311497438E-2</v>
      </c>
      <c r="BW54" s="83">
        <f t="shared" si="48"/>
        <v>7.9365079365079375E-2</v>
      </c>
      <c r="BX54" s="40">
        <v>0.28349364905389035</v>
      </c>
      <c r="BY54" s="30">
        <v>0</v>
      </c>
      <c r="BZ54" s="30">
        <v>0</v>
      </c>
      <c r="CA54" s="34">
        <v>0.4330127018922193</v>
      </c>
      <c r="CB54" s="46">
        <f t="shared" si="49"/>
        <v>0.76190476190476186</v>
      </c>
      <c r="CC54" s="46">
        <f t="shared" si="50"/>
        <v>0.23809523809523814</v>
      </c>
      <c r="CD54" s="70">
        <v>8</v>
      </c>
      <c r="CE54" s="70">
        <v>24</v>
      </c>
      <c r="CF54" s="46">
        <f t="shared" si="51"/>
        <v>0.84126984126984128</v>
      </c>
      <c r="CG54" s="46">
        <f t="shared" si="52"/>
        <v>0.73544973544973535</v>
      </c>
      <c r="CI54" s="15"/>
      <c r="CJ54" s="28"/>
      <c r="CK54" s="31">
        <v>2</v>
      </c>
      <c r="CL54" s="45">
        <f t="shared" si="43"/>
        <v>9.6145124716553274E-2</v>
      </c>
      <c r="CM54" s="78">
        <f t="shared" si="53"/>
        <v>8.595783992609389E-2</v>
      </c>
      <c r="CN54" s="79">
        <v>0</v>
      </c>
      <c r="CO54" s="78">
        <f t="shared" si="54"/>
        <v>4.5208700764256315E-2</v>
      </c>
      <c r="CP54" s="83">
        <v>7.9365079365079375E-2</v>
      </c>
      <c r="CQ54" s="40">
        <v>0.28349364905389035</v>
      </c>
      <c r="CR54" s="30">
        <v>0</v>
      </c>
      <c r="CS54" s="30">
        <v>0</v>
      </c>
      <c r="CT54" s="34">
        <v>0.4330127018922193</v>
      </c>
      <c r="CV54" s="25"/>
      <c r="CW54" s="47"/>
      <c r="CX54" s="53">
        <v>2</v>
      </c>
      <c r="CY54" s="45">
        <f t="shared" si="55"/>
        <v>0.10127877237851664</v>
      </c>
      <c r="CZ54" s="78">
        <f t="shared" si="56"/>
        <v>8.0020460358056281E-2</v>
      </c>
      <c r="DA54" s="51">
        <v>0</v>
      </c>
      <c r="DB54" s="78">
        <f t="shared" si="57"/>
        <v>2.3196930946291563E-2</v>
      </c>
      <c r="DC54" s="50">
        <v>0.1188</v>
      </c>
      <c r="DD54" s="40">
        <v>0.28349364905389035</v>
      </c>
      <c r="DE54" s="30">
        <v>0</v>
      </c>
      <c r="DF54" s="30">
        <v>0</v>
      </c>
      <c r="DG54" s="34">
        <v>0.4330127018922193</v>
      </c>
      <c r="DI54" s="25"/>
      <c r="DJ54" s="47"/>
      <c r="DK54" s="53">
        <v>2</v>
      </c>
      <c r="DL54" s="49">
        <v>9.9000000000000005E-2</v>
      </c>
      <c r="DM54" s="50">
        <v>8.3499999999999991E-2</v>
      </c>
      <c r="DN54" s="51">
        <v>0</v>
      </c>
      <c r="DO54" s="50">
        <v>3.5200000000000002E-2</v>
      </c>
      <c r="DP54" s="50">
        <v>0.1188</v>
      </c>
      <c r="DQ54" s="40">
        <v>0.28349364905389035</v>
      </c>
      <c r="DR54" s="30">
        <v>0</v>
      </c>
      <c r="DS54" s="30">
        <v>0</v>
      </c>
      <c r="DT54" s="34">
        <v>0.4330127018922193</v>
      </c>
    </row>
    <row r="55" spans="1:124" ht="12" customHeight="1" x14ac:dyDescent="0.2">
      <c r="A55" s="1"/>
      <c r="B55" s="54"/>
      <c r="C55" s="55"/>
      <c r="D55" s="22" t="s">
        <v>128</v>
      </c>
      <c r="E55" s="85">
        <f t="shared" si="2"/>
        <v>0.15</v>
      </c>
      <c r="F55" s="85">
        <f t="shared" si="3"/>
        <v>0.125</v>
      </c>
      <c r="G55" s="85">
        <f t="shared" si="4"/>
        <v>0</v>
      </c>
      <c r="H55" s="85">
        <f t="shared" si="5"/>
        <v>3.9469999999999998E-2</v>
      </c>
      <c r="I55" s="85">
        <f t="shared" si="6"/>
        <v>0.11749999999999999</v>
      </c>
      <c r="J55" s="85">
        <f t="shared" si="7"/>
        <v>0.5</v>
      </c>
      <c r="K55" s="85">
        <f t="shared" si="8"/>
        <v>0</v>
      </c>
      <c r="L55" s="85">
        <f t="shared" si="9"/>
        <v>0</v>
      </c>
      <c r="M55" s="85">
        <f t="shared" si="10"/>
        <v>0.4330127018922193</v>
      </c>
      <c r="N55" s="1"/>
      <c r="P55" s="17"/>
      <c r="Q55" s="29"/>
      <c r="R55" s="22" t="s">
        <v>128</v>
      </c>
      <c r="S55" s="200">
        <v>0.15</v>
      </c>
      <c r="T55" s="32">
        <v>0.125</v>
      </c>
      <c r="U55" s="30">
        <v>0</v>
      </c>
      <c r="V55" s="32">
        <f>V54</f>
        <v>3.9469999999999998E-2</v>
      </c>
      <c r="W55" s="92">
        <f>W54</f>
        <v>0.11749999999999999</v>
      </c>
      <c r="X55" s="41">
        <v>0.5</v>
      </c>
      <c r="Y55" s="30">
        <v>0</v>
      </c>
      <c r="Z55" s="30">
        <v>0</v>
      </c>
      <c r="AA55" s="34">
        <v>0.4330127018922193</v>
      </c>
      <c r="AC55" s="17"/>
      <c r="AD55" s="29"/>
      <c r="AE55" s="22" t="s">
        <v>128</v>
      </c>
      <c r="AF55" s="38">
        <v>0.15625</v>
      </c>
      <c r="AG55" s="32">
        <v>0.125</v>
      </c>
      <c r="AH55" s="30">
        <v>0</v>
      </c>
      <c r="AI55" s="32">
        <f>AI54</f>
        <v>2.358490566037736E-2</v>
      </c>
      <c r="AJ55" s="92">
        <f>AJ54</f>
        <v>0.11904761904761904</v>
      </c>
      <c r="AK55" s="41">
        <v>0.5</v>
      </c>
      <c r="AL55" s="30">
        <v>0</v>
      </c>
      <c r="AM55" s="30">
        <v>0</v>
      </c>
      <c r="AN55" s="34">
        <v>0.4330127018922193</v>
      </c>
      <c r="AP55" s="17"/>
      <c r="AQ55" s="29"/>
      <c r="AR55" s="22" t="s">
        <v>128</v>
      </c>
      <c r="AS55" s="200">
        <v>0.15</v>
      </c>
      <c r="AT55" s="32">
        <f>1/8</f>
        <v>0.125</v>
      </c>
      <c r="AU55" s="30">
        <v>0</v>
      </c>
      <c r="AV55" s="32">
        <f>AV54</f>
        <v>4.1152263374485597E-2</v>
      </c>
      <c r="AW55" s="92">
        <f>AW54</f>
        <v>0.11904761904761904</v>
      </c>
      <c r="AX55" s="41">
        <v>0.5</v>
      </c>
      <c r="AY55" s="30">
        <v>0</v>
      </c>
      <c r="AZ55" s="30">
        <v>0</v>
      </c>
      <c r="BA55" s="34">
        <v>0.4330127018922193</v>
      </c>
      <c r="BC55" s="54"/>
      <c r="BD55" s="55"/>
      <c r="BE55" s="22" t="s">
        <v>128</v>
      </c>
      <c r="BF55" s="202">
        <v>0.15273437500000001</v>
      </c>
      <c r="BG55" s="32">
        <f>1/8</f>
        <v>0.125</v>
      </c>
      <c r="BH55" s="51">
        <v>0</v>
      </c>
      <c r="BI55" s="50">
        <f>BI54</f>
        <v>3.5200000000000002E-2</v>
      </c>
      <c r="BJ55" s="99">
        <f>BJ54</f>
        <v>0.1188</v>
      </c>
      <c r="BK55" s="41">
        <v>0.5</v>
      </c>
      <c r="BL55" s="30">
        <v>0</v>
      </c>
      <c r="BM55" s="30">
        <v>0</v>
      </c>
      <c r="BN55" s="34">
        <v>0.4330127018922193</v>
      </c>
      <c r="BP55" s="17"/>
      <c r="BQ55" s="29"/>
      <c r="BR55" s="22" t="s">
        <v>128</v>
      </c>
      <c r="BS55" s="38">
        <v>0.15625</v>
      </c>
      <c r="BT55" s="32">
        <f>1/8</f>
        <v>0.125</v>
      </c>
      <c r="BU55" s="30">
        <v>0</v>
      </c>
      <c r="BV55" s="32">
        <f>BV54</f>
        <v>2.9184513311497438E-2</v>
      </c>
      <c r="BW55" s="32">
        <f>BW54</f>
        <v>7.9365079365079375E-2</v>
      </c>
      <c r="BX55" s="41">
        <v>0.5</v>
      </c>
      <c r="BY55" s="30">
        <v>0</v>
      </c>
      <c r="BZ55" s="30">
        <v>0</v>
      </c>
      <c r="CA55" s="34">
        <v>0.4330127018922193</v>
      </c>
      <c r="CB55" s="36"/>
      <c r="CC55" s="36"/>
      <c r="CD55" s="36"/>
      <c r="CE55" s="36"/>
      <c r="CF55" s="36"/>
      <c r="CG55" s="36"/>
      <c r="CI55" s="17"/>
      <c r="CJ55" s="29"/>
      <c r="CK55" s="22" t="s">
        <v>128</v>
      </c>
      <c r="CL55" s="200">
        <v>0.15</v>
      </c>
      <c r="CM55" s="32">
        <v>0.125</v>
      </c>
      <c r="CN55" s="30">
        <v>0</v>
      </c>
      <c r="CO55" s="50">
        <f>CO54</f>
        <v>4.5208700764256315E-2</v>
      </c>
      <c r="CP55" s="99">
        <f>CP54</f>
        <v>7.9365079365079375E-2</v>
      </c>
      <c r="CQ55" s="41">
        <v>0.5</v>
      </c>
      <c r="CR55" s="30">
        <v>0</v>
      </c>
      <c r="CS55" s="30">
        <v>0</v>
      </c>
      <c r="CT55" s="34">
        <v>0.4330127018922193</v>
      </c>
      <c r="CV55" s="54"/>
      <c r="CW55" s="55"/>
      <c r="CX55" s="22" t="s">
        <v>128</v>
      </c>
      <c r="CY55" s="38">
        <v>0.15625</v>
      </c>
      <c r="CZ55" s="32">
        <f>1/8</f>
        <v>0.125</v>
      </c>
      <c r="DA55" s="51">
        <v>0</v>
      </c>
      <c r="DB55" s="50">
        <f>DB54</f>
        <v>2.3196930946291563E-2</v>
      </c>
      <c r="DC55" s="99">
        <f>DC54</f>
        <v>0.1188</v>
      </c>
      <c r="DD55" s="41">
        <v>0.5</v>
      </c>
      <c r="DE55" s="30">
        <v>0</v>
      </c>
      <c r="DF55" s="30">
        <v>0</v>
      </c>
      <c r="DG55" s="34">
        <v>0.4330127018922193</v>
      </c>
      <c r="DI55" s="54"/>
      <c r="DJ55" s="55"/>
      <c r="DK55" s="22" t="s">
        <v>128</v>
      </c>
      <c r="DL55" s="202">
        <v>0.15273437500000001</v>
      </c>
      <c r="DM55" s="32">
        <f>1/8</f>
        <v>0.125</v>
      </c>
      <c r="DN55" s="51">
        <v>0</v>
      </c>
      <c r="DO55" s="50">
        <f>DO54</f>
        <v>3.5200000000000002E-2</v>
      </c>
      <c r="DP55" s="99">
        <f>DP54</f>
        <v>0.1188</v>
      </c>
      <c r="DQ55" s="41">
        <v>0.5</v>
      </c>
      <c r="DR55" s="30">
        <v>0</v>
      </c>
      <c r="DS55" s="30">
        <v>0</v>
      </c>
      <c r="DT55" s="34">
        <v>0.4330127018922193</v>
      </c>
    </row>
    <row r="56" spans="1:124" ht="12" customHeight="1" x14ac:dyDescent="0.3">
      <c r="A56" s="1"/>
      <c r="B56" s="25"/>
      <c r="C56" s="47"/>
      <c r="D56" s="20" t="s">
        <v>93</v>
      </c>
      <c r="E56" s="85" t="str">
        <f t="shared" si="2"/>
        <v>fmáx</v>
      </c>
      <c r="F56" s="85" t="str">
        <f t="shared" si="3"/>
        <v>mamáx</v>
      </c>
      <c r="G56" s="85" t="str">
        <f t="shared" si="4"/>
        <v>maemín</v>
      </c>
      <c r="H56" s="85" t="str">
        <f t="shared" si="5"/>
        <v>mbmáx</v>
      </c>
      <c r="I56" s="85" t="str">
        <f t="shared" si="6"/>
        <v>mbemín</v>
      </c>
      <c r="J56" s="85" t="str">
        <f t="shared" si="7"/>
        <v>ra</v>
      </c>
      <c r="K56" s="85" t="str">
        <f t="shared" si="8"/>
        <v>rae</v>
      </c>
      <c r="L56" s="85" t="str">
        <f t="shared" si="9"/>
        <v>rb</v>
      </c>
      <c r="M56" s="85" t="str">
        <f t="shared" si="10"/>
        <v>rbe</v>
      </c>
      <c r="N56" s="1"/>
      <c r="P56" s="483" t="s">
        <v>26</v>
      </c>
      <c r="Q56" s="484"/>
      <c r="R56" s="74" t="s">
        <v>93</v>
      </c>
      <c r="S56" s="20" t="s">
        <v>131</v>
      </c>
      <c r="T56" s="75" t="s">
        <v>132</v>
      </c>
      <c r="U56" s="75" t="s">
        <v>120</v>
      </c>
      <c r="V56" s="75" t="s">
        <v>117</v>
      </c>
      <c r="W56" s="76" t="s">
        <v>121</v>
      </c>
      <c r="X56" s="75" t="s">
        <v>111</v>
      </c>
      <c r="Y56" s="75" t="s">
        <v>112</v>
      </c>
      <c r="Z56" s="75" t="s">
        <v>113</v>
      </c>
      <c r="AA56" s="76" t="s">
        <v>114</v>
      </c>
      <c r="AC56" s="483" t="s">
        <v>26</v>
      </c>
      <c r="AD56" s="484"/>
      <c r="AE56" s="74" t="s">
        <v>93</v>
      </c>
      <c r="AF56" s="20" t="s">
        <v>115</v>
      </c>
      <c r="AG56" s="75" t="s">
        <v>116</v>
      </c>
      <c r="AH56" s="75" t="s">
        <v>120</v>
      </c>
      <c r="AI56" s="75" t="s">
        <v>117</v>
      </c>
      <c r="AJ56" s="76" t="s">
        <v>121</v>
      </c>
      <c r="AK56" s="75" t="s">
        <v>111</v>
      </c>
      <c r="AL56" s="75" t="s">
        <v>112</v>
      </c>
      <c r="AM56" s="75" t="s">
        <v>113</v>
      </c>
      <c r="AN56" s="76" t="s">
        <v>114</v>
      </c>
      <c r="AP56" s="483" t="s">
        <v>26</v>
      </c>
      <c r="AQ56" s="484"/>
      <c r="AR56" s="74" t="s">
        <v>93</v>
      </c>
      <c r="AS56" s="20" t="s">
        <v>115</v>
      </c>
      <c r="AT56" s="75" t="s">
        <v>116</v>
      </c>
      <c r="AU56" s="75" t="s">
        <v>120</v>
      </c>
      <c r="AV56" s="75" t="s">
        <v>117</v>
      </c>
      <c r="AW56" s="76" t="s">
        <v>121</v>
      </c>
      <c r="AX56" s="75" t="s">
        <v>111</v>
      </c>
      <c r="AY56" s="75" t="s">
        <v>112</v>
      </c>
      <c r="AZ56" s="75" t="s">
        <v>113</v>
      </c>
      <c r="BA56" s="76" t="s">
        <v>114</v>
      </c>
      <c r="BC56" s="483" t="s">
        <v>26</v>
      </c>
      <c r="BD56" s="484"/>
      <c r="BE56" s="77" t="s">
        <v>93</v>
      </c>
      <c r="BF56" s="20" t="s">
        <v>115</v>
      </c>
      <c r="BG56" s="75" t="s">
        <v>116</v>
      </c>
      <c r="BH56" s="75" t="s">
        <v>119</v>
      </c>
      <c r="BI56" s="75" t="s">
        <v>141</v>
      </c>
      <c r="BJ56" s="76" t="s">
        <v>118</v>
      </c>
      <c r="BK56" s="75" t="s">
        <v>111</v>
      </c>
      <c r="BL56" s="75" t="s">
        <v>112</v>
      </c>
      <c r="BM56" s="75" t="s">
        <v>113</v>
      </c>
      <c r="BN56" s="76" t="s">
        <v>114</v>
      </c>
      <c r="BP56" s="483" t="s">
        <v>26</v>
      </c>
      <c r="BQ56" s="484"/>
      <c r="BR56" s="74" t="s">
        <v>93</v>
      </c>
      <c r="BS56" s="20" t="s">
        <v>115</v>
      </c>
      <c r="BT56" s="75" t="s">
        <v>116</v>
      </c>
      <c r="BU56" s="75" t="s">
        <v>119</v>
      </c>
      <c r="BV56" s="75" t="s">
        <v>141</v>
      </c>
      <c r="BW56" s="76" t="s">
        <v>118</v>
      </c>
      <c r="BX56" s="75" t="s">
        <v>111</v>
      </c>
      <c r="BY56" s="75" t="s">
        <v>112</v>
      </c>
      <c r="BZ56" s="75" t="s">
        <v>113</v>
      </c>
      <c r="CA56" s="76" t="s">
        <v>114</v>
      </c>
      <c r="CB56" s="74" t="s">
        <v>122</v>
      </c>
      <c r="CC56" s="74" t="s">
        <v>123</v>
      </c>
      <c r="CD56" s="81" t="s">
        <v>124</v>
      </c>
      <c r="CE56" s="81" t="s">
        <v>125</v>
      </c>
      <c r="CF56" s="74" t="s">
        <v>126</v>
      </c>
      <c r="CG56" s="74" t="s">
        <v>127</v>
      </c>
      <c r="CI56" s="483" t="s">
        <v>26</v>
      </c>
      <c r="CJ56" s="484"/>
      <c r="CK56" s="74" t="s">
        <v>93</v>
      </c>
      <c r="CL56" s="20" t="s">
        <v>115</v>
      </c>
      <c r="CM56" s="75" t="s">
        <v>116</v>
      </c>
      <c r="CN56" s="75" t="s">
        <v>119</v>
      </c>
      <c r="CO56" s="75" t="s">
        <v>141</v>
      </c>
      <c r="CP56" s="76" t="s">
        <v>118</v>
      </c>
      <c r="CQ56" s="75" t="s">
        <v>111</v>
      </c>
      <c r="CR56" s="75" t="s">
        <v>112</v>
      </c>
      <c r="CS56" s="75" t="s">
        <v>113</v>
      </c>
      <c r="CT56" s="76" t="s">
        <v>114</v>
      </c>
      <c r="CV56" s="483" t="s">
        <v>26</v>
      </c>
      <c r="CW56" s="484"/>
      <c r="CX56" s="77" t="s">
        <v>93</v>
      </c>
      <c r="CY56" s="20" t="s">
        <v>115</v>
      </c>
      <c r="CZ56" s="75" t="s">
        <v>116</v>
      </c>
      <c r="DA56" s="75" t="s">
        <v>119</v>
      </c>
      <c r="DB56" s="75" t="s">
        <v>141</v>
      </c>
      <c r="DC56" s="76" t="s">
        <v>118</v>
      </c>
      <c r="DD56" s="75" t="s">
        <v>111</v>
      </c>
      <c r="DE56" s="75" t="s">
        <v>112</v>
      </c>
      <c r="DF56" s="75" t="s">
        <v>113</v>
      </c>
      <c r="DG56" s="76" t="s">
        <v>114</v>
      </c>
      <c r="DI56" s="483" t="s">
        <v>26</v>
      </c>
      <c r="DJ56" s="484"/>
      <c r="DK56" s="77" t="s">
        <v>93</v>
      </c>
      <c r="DL56" s="20" t="s">
        <v>115</v>
      </c>
      <c r="DM56" s="75" t="s">
        <v>116</v>
      </c>
      <c r="DN56" s="75" t="s">
        <v>120</v>
      </c>
      <c r="DO56" s="75" t="s">
        <v>141</v>
      </c>
      <c r="DP56" s="76" t="s">
        <v>121</v>
      </c>
      <c r="DQ56" s="75" t="s">
        <v>111</v>
      </c>
      <c r="DR56" s="75" t="s">
        <v>112</v>
      </c>
      <c r="DS56" s="75" t="s">
        <v>113</v>
      </c>
      <c r="DT56" s="76" t="s">
        <v>114</v>
      </c>
    </row>
    <row r="57" spans="1:124" ht="12" customHeight="1" x14ac:dyDescent="0.2">
      <c r="A57" s="1"/>
      <c r="B57" s="25"/>
      <c r="C57" s="47"/>
      <c r="D57" s="68">
        <v>1</v>
      </c>
      <c r="E57" s="85">
        <f t="shared" si="2"/>
        <v>3.2899999999999999E-2</v>
      </c>
      <c r="F57" s="85">
        <f t="shared" si="3"/>
        <v>3.9129999999999998E-2</v>
      </c>
      <c r="G57" s="85">
        <f t="shared" si="4"/>
        <v>8.3629999999999996E-2</v>
      </c>
      <c r="H57" s="85">
        <f t="shared" si="5"/>
        <v>3.1759999999999997E-2</v>
      </c>
      <c r="I57" s="85">
        <f t="shared" si="6"/>
        <v>0</v>
      </c>
      <c r="J57" s="85">
        <f t="shared" si="7"/>
        <v>0.23205080756887719</v>
      </c>
      <c r="K57" s="85">
        <f t="shared" si="8"/>
        <v>0.40192378864668421</v>
      </c>
      <c r="L57" s="85">
        <f t="shared" si="9"/>
        <v>0.1830127018922193</v>
      </c>
      <c r="M57" s="85">
        <f t="shared" si="10"/>
        <v>0</v>
      </c>
      <c r="N57" s="1"/>
      <c r="P57" s="15"/>
      <c r="Q57" s="28"/>
      <c r="R57" s="31">
        <v>1</v>
      </c>
      <c r="S57" s="37">
        <v>3.2899999999999999E-2</v>
      </c>
      <c r="T57" s="32">
        <v>3.9129999999999998E-2</v>
      </c>
      <c r="U57" s="32">
        <v>8.3629999999999996E-2</v>
      </c>
      <c r="V57" s="32">
        <v>3.1759999999999997E-2</v>
      </c>
      <c r="W57" s="30">
        <v>0</v>
      </c>
      <c r="X57" s="40">
        <v>0.23205080756887719</v>
      </c>
      <c r="Y57" s="32">
        <v>0.40192378864668421</v>
      </c>
      <c r="Z57" s="32">
        <v>0.1830127018922193</v>
      </c>
      <c r="AA57" s="33">
        <v>0</v>
      </c>
      <c r="AC57" s="15"/>
      <c r="AD57" s="28"/>
      <c r="AE57" s="31">
        <v>1</v>
      </c>
      <c r="AF57" s="37">
        <v>3.3399999999999999E-2</v>
      </c>
      <c r="AG57" s="32">
        <f>1/31.4</f>
        <v>3.1847133757961783E-2</v>
      </c>
      <c r="AH57" s="32">
        <f>1/11.9</f>
        <v>8.4033613445378144E-2</v>
      </c>
      <c r="AI57" s="32">
        <f>1/41.2</f>
        <v>2.4271844660194174E-2</v>
      </c>
      <c r="AJ57" s="30">
        <v>0</v>
      </c>
      <c r="AK57" s="40">
        <v>0.23205080756887719</v>
      </c>
      <c r="AL57" s="32">
        <v>0.40192378864668421</v>
      </c>
      <c r="AM57" s="32">
        <v>0.1830127018922193</v>
      </c>
      <c r="AN57" s="33">
        <v>0</v>
      </c>
      <c r="AP57" s="15"/>
      <c r="AQ57" s="28"/>
      <c r="AR57" s="31">
        <v>1</v>
      </c>
      <c r="AS57" s="45">
        <f>AF57*(1-0.2^2)</f>
        <v>3.2063999999999995E-2</v>
      </c>
      <c r="AT57" s="32">
        <f>1/26.5</f>
        <v>3.7735849056603772E-2</v>
      </c>
      <c r="AU57" s="32">
        <f>1/11.9</f>
        <v>8.4033613445378144E-2</v>
      </c>
      <c r="AV57" s="32">
        <f>1/32.4</f>
        <v>3.0864197530864199E-2</v>
      </c>
      <c r="AW57" s="30">
        <v>0</v>
      </c>
      <c r="AX57" s="40">
        <v>0.23205080756887719</v>
      </c>
      <c r="AY57" s="32">
        <v>0.40192378864668421</v>
      </c>
      <c r="AZ57" s="32">
        <v>0.1830127018922193</v>
      </c>
      <c r="BA57" s="33">
        <v>0</v>
      </c>
      <c r="BC57" s="25"/>
      <c r="BD57" s="47"/>
      <c r="BE57" s="53">
        <v>1</v>
      </c>
      <c r="BF57" s="49">
        <v>3.2599999999999997E-2</v>
      </c>
      <c r="BG57" s="50">
        <v>3.5400000000000001E-2</v>
      </c>
      <c r="BH57" s="50">
        <v>8.4000000000000005E-2</v>
      </c>
      <c r="BI57" s="50">
        <v>2.9100000000000001E-2</v>
      </c>
      <c r="BJ57" s="51">
        <v>0</v>
      </c>
      <c r="BK57" s="40">
        <v>0.23205080756887719</v>
      </c>
      <c r="BL57" s="32">
        <v>0.40192378864668421</v>
      </c>
      <c r="BM57" s="32">
        <v>0.1830127018922193</v>
      </c>
      <c r="BN57" s="33">
        <v>0</v>
      </c>
      <c r="BP57" s="15"/>
      <c r="BQ57" s="28"/>
      <c r="BR57" s="31">
        <v>1</v>
      </c>
      <c r="BS57" s="84">
        <f>5*CG57*CC57*BR57^4/32</f>
        <v>3.4013605442176874E-2</v>
      </c>
      <c r="BT57" s="78">
        <f t="shared" ref="BT57:BT67" si="58">CF57*CB57/CD57</f>
        <v>3.3407405931122451E-2</v>
      </c>
      <c r="BU57" s="78">
        <f>CB57/8</f>
        <v>8.9285714285714288E-2</v>
      </c>
      <c r="BV57" s="78">
        <f t="shared" ref="BV57:BV67" si="59">CG57*CC57*BR57^2/CE57</f>
        <v>2.7210884353741499E-2</v>
      </c>
      <c r="BW57" s="79">
        <v>0</v>
      </c>
      <c r="BX57" s="40">
        <v>0.23205080756887719</v>
      </c>
      <c r="BY57" s="32">
        <v>0.40192378864668421</v>
      </c>
      <c r="BZ57" s="32">
        <v>0.1830127018922193</v>
      </c>
      <c r="CA57" s="33">
        <v>0</v>
      </c>
      <c r="CB57" s="37">
        <f>5*BR57^4/(2+5*BR57^4)</f>
        <v>0.7142857142857143</v>
      </c>
      <c r="CC57" s="37">
        <f>1-CB57</f>
        <v>0.2857142857142857</v>
      </c>
      <c r="CD57" s="72">
        <f>128/9</f>
        <v>14.222222222222221</v>
      </c>
      <c r="CE57" s="35">
        <v>8</v>
      </c>
      <c r="CF57" s="37">
        <f>1-(20*CB57)/(3*CD57*BR57^2)</f>
        <v>0.6651785714285714</v>
      </c>
      <c r="CG57" s="37">
        <f>1-(20*CC57*BR57^2)/(3*CE57)</f>
        <v>0.76190476190476197</v>
      </c>
      <c r="CI57" s="15"/>
      <c r="CJ57" s="28"/>
      <c r="CK57" s="31">
        <v>1</v>
      </c>
      <c r="CL57" s="45">
        <f t="shared" ref="CL57:CL67" si="60">(1-$CJ$14^2)*BS57</f>
        <v>3.2653061224489799E-2</v>
      </c>
      <c r="CM57" s="78">
        <f>BT57+$CJ$14*BV57</f>
        <v>3.8849582801870751E-2</v>
      </c>
      <c r="CN57" s="78">
        <v>8.9285714285714288E-2</v>
      </c>
      <c r="CO57" s="78">
        <f>$CJ$14*BT57+BV57</f>
        <v>3.3892365539965989E-2</v>
      </c>
      <c r="CP57" s="79">
        <v>0</v>
      </c>
      <c r="CQ57" s="40">
        <v>0.23205080756887719</v>
      </c>
      <c r="CR57" s="32">
        <v>0.40192378864668421</v>
      </c>
      <c r="CS57" s="32">
        <v>0.1830127018922193</v>
      </c>
      <c r="CT57" s="33">
        <v>0</v>
      </c>
      <c r="CV57" s="25"/>
      <c r="CW57" s="47"/>
      <c r="CX57" s="53">
        <v>1</v>
      </c>
      <c r="CY57" s="45">
        <f>(1-$CW$14^2)/(1-$CW$13^2)*BF57</f>
        <v>3.3350383631713554E-2</v>
      </c>
      <c r="CZ57" s="78">
        <f>(1/(1-$CW$13^2))*((1-$CW$13*$CW$14)*BG57+($CW$14-$CW$13)*BI57)</f>
        <v>3.1749360613810743E-2</v>
      </c>
      <c r="DA57" s="50">
        <v>8.4000000000000005E-2</v>
      </c>
      <c r="DB57" s="78">
        <f>(1/(1-$CW$13^2))*((1-$CW$13*$CW$14)*BI57+($CW$14-$CW$13)*BG57)</f>
        <v>2.4337595907928392E-2</v>
      </c>
      <c r="DC57" s="51">
        <v>0</v>
      </c>
      <c r="DD57" s="40">
        <v>0.23205080756887719</v>
      </c>
      <c r="DE57" s="32">
        <v>0.40192378864668421</v>
      </c>
      <c r="DF57" s="32">
        <v>0.1830127018922193</v>
      </c>
      <c r="DG57" s="33">
        <v>0</v>
      </c>
      <c r="DI57" s="25"/>
      <c r="DJ57" s="47"/>
      <c r="DK57" s="53">
        <v>1</v>
      </c>
      <c r="DL57" s="49">
        <v>3.2599999999999997E-2</v>
      </c>
      <c r="DM57" s="50">
        <v>3.5400000000000001E-2</v>
      </c>
      <c r="DN57" s="50">
        <v>8.4000000000000005E-2</v>
      </c>
      <c r="DO57" s="50">
        <v>2.9100000000000001E-2</v>
      </c>
      <c r="DP57" s="51">
        <v>0</v>
      </c>
      <c r="DQ57" s="40">
        <v>0.23205080756887719</v>
      </c>
      <c r="DR57" s="32">
        <v>0.40192378864668421</v>
      </c>
      <c r="DS57" s="32">
        <v>0.1830127018922193</v>
      </c>
      <c r="DT57" s="33">
        <v>0</v>
      </c>
    </row>
    <row r="58" spans="1:124" ht="12" customHeight="1" x14ac:dyDescent="0.2">
      <c r="A58" s="1"/>
      <c r="B58" s="25"/>
      <c r="C58" s="47"/>
      <c r="D58" s="68">
        <v>1.1000000000000001</v>
      </c>
      <c r="E58" s="85">
        <f t="shared" si="2"/>
        <v>3.7499999999999999E-2</v>
      </c>
      <c r="F58" s="85">
        <f t="shared" si="3"/>
        <v>4.4119999999999999E-2</v>
      </c>
      <c r="G58" s="85">
        <f t="shared" si="4"/>
        <v>9.1259999999999994E-2</v>
      </c>
      <c r="H58" s="85">
        <f t="shared" si="5"/>
        <v>3.073E-2</v>
      </c>
      <c r="I58" s="85">
        <f t="shared" si="6"/>
        <v>0</v>
      </c>
      <c r="J58" s="85">
        <f t="shared" si="7"/>
        <v>0.24423031631574643</v>
      </c>
      <c r="K58" s="85">
        <f t="shared" si="8"/>
        <v>0.42301931660749126</v>
      </c>
      <c r="L58" s="85">
        <f t="shared" si="9"/>
        <v>0.1830127018922193</v>
      </c>
      <c r="M58" s="85">
        <f t="shared" si="10"/>
        <v>0</v>
      </c>
      <c r="N58" s="1"/>
      <c r="P58" s="15"/>
      <c r="Q58" s="28"/>
      <c r="R58" s="31">
        <v>1.1000000000000001</v>
      </c>
      <c r="S58" s="37">
        <v>3.7499999999999999E-2</v>
      </c>
      <c r="T58" s="32">
        <v>4.4119999999999999E-2</v>
      </c>
      <c r="U58" s="32">
        <v>9.1259999999999994E-2</v>
      </c>
      <c r="V58" s="32">
        <v>3.073E-2</v>
      </c>
      <c r="W58" s="30">
        <v>0</v>
      </c>
      <c r="X58" s="40">
        <v>0.24423031631574643</v>
      </c>
      <c r="Y58" s="32">
        <v>0.42301931660749126</v>
      </c>
      <c r="Z58" s="32">
        <v>0.1830127018922193</v>
      </c>
      <c r="AA58" s="33">
        <v>0</v>
      </c>
      <c r="AC58" s="15"/>
      <c r="AD58" s="28"/>
      <c r="AE58" s="31">
        <v>1.1000000000000001</v>
      </c>
      <c r="AF58" s="37">
        <v>3.7999999999999999E-2</v>
      </c>
      <c r="AG58" s="32">
        <f>1/27.3</f>
        <v>3.6630036630036632E-2</v>
      </c>
      <c r="AH58" s="32">
        <f>1/10.9</f>
        <v>9.1743119266055037E-2</v>
      </c>
      <c r="AI58" s="32">
        <f>1/45.1</f>
        <v>2.2172949002217293E-2</v>
      </c>
      <c r="AJ58" s="30">
        <v>0</v>
      </c>
      <c r="AK58" s="40">
        <v>0.24423031631574643</v>
      </c>
      <c r="AL58" s="32">
        <v>0.42301931660749126</v>
      </c>
      <c r="AM58" s="32">
        <v>0.1830127018922193</v>
      </c>
      <c r="AN58" s="33">
        <v>0</v>
      </c>
      <c r="AP58" s="15"/>
      <c r="AQ58" s="28"/>
      <c r="AR58" s="31">
        <v>1.1000000000000001</v>
      </c>
      <c r="AS58" s="45">
        <f t="shared" ref="AS58:AS67" si="61">AF58*(1-0.2^2)</f>
        <v>3.6479999999999999E-2</v>
      </c>
      <c r="AT58" s="32">
        <f>1/24.4</f>
        <v>4.0983606557377053E-2</v>
      </c>
      <c r="AU58" s="32">
        <f>1/10.9</f>
        <v>9.1743119266055037E-2</v>
      </c>
      <c r="AV58" s="32">
        <f>1/33.9</f>
        <v>2.9498525073746312E-2</v>
      </c>
      <c r="AW58" s="30">
        <v>0</v>
      </c>
      <c r="AX58" s="40">
        <v>0.24423031631574643</v>
      </c>
      <c r="AY58" s="32">
        <v>0.42301931660749126</v>
      </c>
      <c r="AZ58" s="32">
        <v>0.1830127018922193</v>
      </c>
      <c r="BA58" s="33">
        <v>0</v>
      </c>
      <c r="BC58" s="25"/>
      <c r="BD58" s="47"/>
      <c r="BE58" s="53">
        <v>1.1000000000000001</v>
      </c>
      <c r="BF58" s="49">
        <v>3.7041730000000016E-2</v>
      </c>
      <c r="BG58" s="50">
        <v>3.9899999999999998E-2</v>
      </c>
      <c r="BH58" s="50">
        <v>9.1700000000000004E-2</v>
      </c>
      <c r="BI58" s="50">
        <v>2.7588000000000005E-2</v>
      </c>
      <c r="BJ58" s="51">
        <v>0</v>
      </c>
      <c r="BK58" s="40">
        <v>0.24423031631574643</v>
      </c>
      <c r="BL58" s="32">
        <v>0.42301931660749126</v>
      </c>
      <c r="BM58" s="32">
        <v>0.1830127018922193</v>
      </c>
      <c r="BN58" s="33">
        <v>0</v>
      </c>
      <c r="BP58" s="15"/>
      <c r="BQ58" s="28"/>
      <c r="BR58" s="31">
        <v>1.1000000000000001</v>
      </c>
      <c r="BS58" s="84">
        <f t="shared" ref="BS58:BS67" si="62">5*CG58*CC58*BR58^4/32</f>
        <v>3.846743203858298E-2</v>
      </c>
      <c r="BT58" s="78">
        <f t="shared" si="58"/>
        <v>3.8421608608805474E-2</v>
      </c>
      <c r="BU58" s="78">
        <f t="shared" ref="BU58:BU67" si="63">CB58/8</f>
        <v>9.8177404645673511E-2</v>
      </c>
      <c r="BV58" s="78">
        <f t="shared" si="59"/>
        <v>2.5433012918071388E-2</v>
      </c>
      <c r="BW58" s="79">
        <v>0</v>
      </c>
      <c r="BX58" s="40">
        <v>0.24423031631574643</v>
      </c>
      <c r="BY58" s="32">
        <v>0.42301931660749126</v>
      </c>
      <c r="BZ58" s="32">
        <v>0.1830127018922193</v>
      </c>
      <c r="CA58" s="33">
        <v>0</v>
      </c>
      <c r="CB58" s="37">
        <f t="shared" ref="CB58:CB67" si="64">5*BR58^4/(2+5*BR58^4)</f>
        <v>0.78541923716538808</v>
      </c>
      <c r="CC58" s="37">
        <f t="shared" ref="CC58:CC67" si="65">1-CB58</f>
        <v>0.21458076283461192</v>
      </c>
      <c r="CD58" s="72">
        <f t="shared" ref="CD58:CD67" si="66">128/9</f>
        <v>14.222222222222221</v>
      </c>
      <c r="CE58" s="35">
        <v>8</v>
      </c>
      <c r="CF58" s="37">
        <f t="shared" ref="CF58:CF67" si="67">1-(20*CB58)/(3*CD58*BR58^2)</f>
        <v>0.69573118394935896</v>
      </c>
      <c r="CG58" s="37">
        <f t="shared" ref="CG58:CG67" si="68">1-(20*CC58*BR58^2)/(3*CE58)</f>
        <v>0.78363106414176631</v>
      </c>
      <c r="CI58" s="15"/>
      <c r="CJ58" s="28"/>
      <c r="CK58" s="31">
        <v>1.1000000000000001</v>
      </c>
      <c r="CL58" s="45">
        <f t="shared" si="60"/>
        <v>3.6928734757039658E-2</v>
      </c>
      <c r="CM58" s="78">
        <f t="shared" ref="CM58:CM67" si="69">BT58+$CJ$14*BV58</f>
        <v>4.3508211192419752E-2</v>
      </c>
      <c r="CN58" s="78">
        <v>9.8177404645673511E-2</v>
      </c>
      <c r="CO58" s="78">
        <f t="shared" ref="CO58:CO67" si="70">$CJ$14*BT58+BV58</f>
        <v>3.3117334639832484E-2</v>
      </c>
      <c r="CP58" s="79">
        <v>0</v>
      </c>
      <c r="CQ58" s="40">
        <v>0.24423031631574643</v>
      </c>
      <c r="CR58" s="32">
        <v>0.42301931660749126</v>
      </c>
      <c r="CS58" s="32">
        <v>0.1830127018922193</v>
      </c>
      <c r="CT58" s="33">
        <v>0</v>
      </c>
      <c r="CV58" s="25"/>
      <c r="CW58" s="47"/>
      <c r="CX58" s="53">
        <v>1.1000000000000001</v>
      </c>
      <c r="CY58" s="45">
        <f t="shared" ref="CY58:CY67" si="71">(1-$CW$14^2)/(1-$CW$13^2)*BF58</f>
        <v>3.789435294117649E-2</v>
      </c>
      <c r="CZ58" s="78">
        <f t="shared" ref="CZ58:CZ67" si="72">(1/(1-$CW$13^2))*((1-$CW$13*$CW$14)*BG58+($CW$14-$CW$13)*BI58)</f>
        <v>3.6584961636828645E-2</v>
      </c>
      <c r="DA58" s="50">
        <v>9.1700000000000004E-2</v>
      </c>
      <c r="DB58" s="78">
        <f t="shared" ref="DB58:DB67" si="73">(1/(1-$CW$13^2))*((1-$CW$13*$CW$14)*BI58+($CW$14-$CW$13)*BG58)</f>
        <v>2.210025575447571E-2</v>
      </c>
      <c r="DC58" s="51">
        <v>0</v>
      </c>
      <c r="DD58" s="40">
        <v>0.24423031631574643</v>
      </c>
      <c r="DE58" s="32">
        <v>0.42301931660749126</v>
      </c>
      <c r="DF58" s="32">
        <v>0.1830127018922193</v>
      </c>
      <c r="DG58" s="33">
        <v>0</v>
      </c>
      <c r="DI58" s="25"/>
      <c r="DJ58" s="47"/>
      <c r="DK58" s="53">
        <v>1.1000000000000001</v>
      </c>
      <c r="DL58" s="49">
        <v>3.7000000000000005E-2</v>
      </c>
      <c r="DM58" s="50">
        <v>3.9900000000000005E-2</v>
      </c>
      <c r="DN58" s="50">
        <v>9.1700000000000004E-2</v>
      </c>
      <c r="DO58" s="50">
        <v>2.76E-2</v>
      </c>
      <c r="DP58" s="51">
        <v>0</v>
      </c>
      <c r="DQ58" s="40">
        <v>0.24423031631574643</v>
      </c>
      <c r="DR58" s="32">
        <v>0.42301931660749126</v>
      </c>
      <c r="DS58" s="32">
        <v>0.1830127018922193</v>
      </c>
      <c r="DT58" s="33">
        <v>0</v>
      </c>
    </row>
    <row r="59" spans="1:124" ht="12" customHeight="1" x14ac:dyDescent="0.2">
      <c r="A59" s="1"/>
      <c r="B59" s="25"/>
      <c r="C59" s="47"/>
      <c r="D59" s="68">
        <v>1.2</v>
      </c>
      <c r="E59" s="85">
        <f t="shared" si="2"/>
        <v>4.1500000000000002E-2</v>
      </c>
      <c r="F59" s="85">
        <f t="shared" si="3"/>
        <v>4.8480000000000002E-2</v>
      </c>
      <c r="G59" s="85">
        <f t="shared" si="4"/>
        <v>9.7689999999999999E-2</v>
      </c>
      <c r="H59" s="85">
        <f t="shared" si="5"/>
        <v>2.9399999999999999E-2</v>
      </c>
      <c r="I59" s="85">
        <f t="shared" si="6"/>
        <v>0</v>
      </c>
      <c r="J59" s="85">
        <f t="shared" si="7"/>
        <v>0.25437990693813739</v>
      </c>
      <c r="K59" s="85">
        <f t="shared" si="8"/>
        <v>0.44059892324149708</v>
      </c>
      <c r="L59" s="85">
        <f t="shared" si="9"/>
        <v>0.1830127018922193</v>
      </c>
      <c r="M59" s="85">
        <f t="shared" si="10"/>
        <v>0</v>
      </c>
      <c r="N59" s="1"/>
      <c r="P59" s="15"/>
      <c r="Q59" s="28"/>
      <c r="R59" s="31">
        <v>1.2</v>
      </c>
      <c r="S59" s="37">
        <v>4.1500000000000002E-2</v>
      </c>
      <c r="T59" s="32">
        <v>4.8480000000000002E-2</v>
      </c>
      <c r="U59" s="32">
        <v>9.7689999999999999E-2</v>
      </c>
      <c r="V59" s="32">
        <v>2.9399999999999999E-2</v>
      </c>
      <c r="W59" s="30">
        <v>0</v>
      </c>
      <c r="X59" s="40">
        <v>0.25437990693813739</v>
      </c>
      <c r="Y59" s="32">
        <v>0.44059892324149708</v>
      </c>
      <c r="Z59" s="32">
        <v>0.1830127018922193</v>
      </c>
      <c r="AA59" s="33">
        <v>0</v>
      </c>
      <c r="AC59" s="15"/>
      <c r="AD59" s="28"/>
      <c r="AE59" s="31">
        <v>1.2</v>
      </c>
      <c r="AF59" s="37">
        <v>4.2000000000000003E-2</v>
      </c>
      <c r="AG59" s="32">
        <f>1/24.5</f>
        <v>4.0816326530612242E-2</v>
      </c>
      <c r="AH59" s="32">
        <f>1/10.2</f>
        <v>9.8039215686274522E-2</v>
      </c>
      <c r="AI59" s="32">
        <f>1/48.8</f>
        <v>2.0491803278688527E-2</v>
      </c>
      <c r="AJ59" s="30">
        <v>0</v>
      </c>
      <c r="AK59" s="40">
        <v>0.25437990693813739</v>
      </c>
      <c r="AL59" s="32">
        <v>0.44059892324149708</v>
      </c>
      <c r="AM59" s="32">
        <v>0.1830127018922193</v>
      </c>
      <c r="AN59" s="33">
        <v>0</v>
      </c>
      <c r="AP59" s="15"/>
      <c r="AQ59" s="28"/>
      <c r="AR59" s="31">
        <v>1.2</v>
      </c>
      <c r="AS59" s="45">
        <f t="shared" si="61"/>
        <v>4.0320000000000002E-2</v>
      </c>
      <c r="AT59" s="32">
        <f>1/22.3</f>
        <v>4.4843049327354258E-2</v>
      </c>
      <c r="AU59" s="32">
        <f>1/10.2</f>
        <v>9.8039215686274522E-2</v>
      </c>
      <c r="AV59" s="32">
        <f>1/34.9</f>
        <v>2.865329512893983E-2</v>
      </c>
      <c r="AW59" s="30">
        <v>0</v>
      </c>
      <c r="AX59" s="40">
        <v>0.25437990693813739</v>
      </c>
      <c r="AY59" s="32">
        <v>0.44059892324149708</v>
      </c>
      <c r="AZ59" s="32">
        <v>0.1830127018922193</v>
      </c>
      <c r="BA59" s="33">
        <v>0</v>
      </c>
      <c r="BC59" s="25"/>
      <c r="BD59" s="47"/>
      <c r="BE59" s="53">
        <v>1.2</v>
      </c>
      <c r="BF59" s="49">
        <v>4.0849919999999998E-2</v>
      </c>
      <c r="BG59" s="50">
        <v>4.3799999999999999E-2</v>
      </c>
      <c r="BH59" s="50">
        <v>9.8000000000000004E-2</v>
      </c>
      <c r="BI59" s="50">
        <v>2.5919999999999999E-2</v>
      </c>
      <c r="BJ59" s="51">
        <v>0</v>
      </c>
      <c r="BK59" s="40">
        <v>0.25437990693813739</v>
      </c>
      <c r="BL59" s="32">
        <v>0.44059892324149708</v>
      </c>
      <c r="BM59" s="32">
        <v>0.1830127018922193</v>
      </c>
      <c r="BN59" s="33">
        <v>0</v>
      </c>
      <c r="BP59" s="15"/>
      <c r="BQ59" s="28"/>
      <c r="BR59" s="31">
        <v>1.2</v>
      </c>
      <c r="BS59" s="84">
        <f t="shared" si="62"/>
        <v>4.2226402400552948E-2</v>
      </c>
      <c r="BT59" s="78">
        <f t="shared" si="58"/>
        <v>4.2858125139114585E-2</v>
      </c>
      <c r="BU59" s="78">
        <f t="shared" si="63"/>
        <v>0.10478654592496765</v>
      </c>
      <c r="BV59" s="78">
        <f t="shared" si="59"/>
        <v>2.3459112444751642E-2</v>
      </c>
      <c r="BW59" s="79">
        <v>0</v>
      </c>
      <c r="BX59" s="40">
        <v>0.25437990693813739</v>
      </c>
      <c r="BY59" s="32">
        <v>0.44059892324149708</v>
      </c>
      <c r="BZ59" s="32">
        <v>0.1830127018922193</v>
      </c>
      <c r="CA59" s="33">
        <v>0</v>
      </c>
      <c r="CB59" s="37">
        <f t="shared" si="64"/>
        <v>0.83829236739974122</v>
      </c>
      <c r="CC59" s="37">
        <f t="shared" si="65"/>
        <v>0.16170763260025878</v>
      </c>
      <c r="CD59" s="72">
        <f t="shared" si="66"/>
        <v>14.222222222222221</v>
      </c>
      <c r="CE59" s="35">
        <v>8</v>
      </c>
      <c r="CF59" s="37">
        <f t="shared" si="67"/>
        <v>0.72711836998706336</v>
      </c>
      <c r="CG59" s="37">
        <f t="shared" si="68"/>
        <v>0.80595084087968949</v>
      </c>
      <c r="CI59" s="15"/>
      <c r="CJ59" s="28"/>
      <c r="CK59" s="31">
        <v>1.2</v>
      </c>
      <c r="CL59" s="45">
        <f t="shared" si="60"/>
        <v>4.0537346304530826E-2</v>
      </c>
      <c r="CM59" s="78">
        <f t="shared" si="69"/>
        <v>4.7549947628064915E-2</v>
      </c>
      <c r="CN59" s="78">
        <v>0.10478654592496765</v>
      </c>
      <c r="CO59" s="78">
        <f t="shared" si="70"/>
        <v>3.2030737472574559E-2</v>
      </c>
      <c r="CP59" s="79">
        <v>0</v>
      </c>
      <c r="CQ59" s="40">
        <v>0.25437990693813739</v>
      </c>
      <c r="CR59" s="32">
        <v>0.44059892324149708</v>
      </c>
      <c r="CS59" s="32">
        <v>0.1830127018922193</v>
      </c>
      <c r="CT59" s="33">
        <v>0</v>
      </c>
      <c r="CV59" s="25"/>
      <c r="CW59" s="47"/>
      <c r="CX59" s="53">
        <v>1.2</v>
      </c>
      <c r="CY59" s="45">
        <f t="shared" si="71"/>
        <v>4.1790199488491046E-2</v>
      </c>
      <c r="CZ59" s="78">
        <f t="shared" si="72"/>
        <v>4.0830690537084401E-2</v>
      </c>
      <c r="DA59" s="50">
        <v>9.8000000000000004E-2</v>
      </c>
      <c r="DB59" s="78">
        <f t="shared" si="73"/>
        <v>1.9795396419437339E-2</v>
      </c>
      <c r="DC59" s="51">
        <v>0</v>
      </c>
      <c r="DD59" s="40">
        <v>0.25437990693813739</v>
      </c>
      <c r="DE59" s="32">
        <v>0.44059892324149708</v>
      </c>
      <c r="DF59" s="32">
        <v>0.1830127018922193</v>
      </c>
      <c r="DG59" s="33">
        <v>0</v>
      </c>
      <c r="DI59" s="25"/>
      <c r="DJ59" s="47"/>
      <c r="DK59" s="53">
        <v>1.2</v>
      </c>
      <c r="DL59" s="49">
        <v>4.0899999999999999E-2</v>
      </c>
      <c r="DM59" s="50">
        <v>4.3799999999999999E-2</v>
      </c>
      <c r="DN59" s="50">
        <v>9.8000000000000004E-2</v>
      </c>
      <c r="DO59" s="50">
        <v>2.5899999999999999E-2</v>
      </c>
      <c r="DP59" s="51">
        <v>0</v>
      </c>
      <c r="DQ59" s="40">
        <v>0.25437990693813739</v>
      </c>
      <c r="DR59" s="32">
        <v>0.44059892324149708</v>
      </c>
      <c r="DS59" s="32">
        <v>0.1830127018922193</v>
      </c>
      <c r="DT59" s="33">
        <v>0</v>
      </c>
    </row>
    <row r="60" spans="1:124" ht="12" customHeight="1" x14ac:dyDescent="0.2">
      <c r="A60" s="1"/>
      <c r="B60" s="25"/>
      <c r="C60" s="47"/>
      <c r="D60" s="68">
        <v>1.3</v>
      </c>
      <c r="E60" s="85">
        <f t="shared" si="2"/>
        <v>4.4999999999999998E-2</v>
      </c>
      <c r="F60" s="85">
        <f t="shared" si="3"/>
        <v>5.2229999999999999E-2</v>
      </c>
      <c r="G60" s="85">
        <f t="shared" si="4"/>
        <v>0.10299999999999999</v>
      </c>
      <c r="H60" s="85">
        <f t="shared" si="5"/>
        <v>2.7990000000000001E-2</v>
      </c>
      <c r="I60" s="85">
        <f t="shared" si="6"/>
        <v>0</v>
      </c>
      <c r="J60" s="85">
        <f t="shared" si="7"/>
        <v>0.26296802208016057</v>
      </c>
      <c r="K60" s="85">
        <f t="shared" si="8"/>
        <v>0.45547397500873277</v>
      </c>
      <c r="L60" s="85">
        <f t="shared" si="9"/>
        <v>0.1830127018922193</v>
      </c>
      <c r="M60" s="85">
        <f t="shared" si="10"/>
        <v>0</v>
      </c>
      <c r="N60" s="1"/>
      <c r="P60" s="15"/>
      <c r="Q60" s="28"/>
      <c r="R60" s="31">
        <v>1.3</v>
      </c>
      <c r="S60" s="37">
        <v>4.4999999999999998E-2</v>
      </c>
      <c r="T60" s="32">
        <v>5.2229999999999999E-2</v>
      </c>
      <c r="U60" s="32">
        <v>0.10299999999999999</v>
      </c>
      <c r="V60" s="32">
        <v>2.7990000000000001E-2</v>
      </c>
      <c r="W60" s="30">
        <v>0</v>
      </c>
      <c r="X60" s="40">
        <v>0.26296802208016057</v>
      </c>
      <c r="Y60" s="32">
        <v>0.45547397500873277</v>
      </c>
      <c r="Z60" s="32">
        <v>0.1830127018922193</v>
      </c>
      <c r="AA60" s="33">
        <v>0</v>
      </c>
      <c r="AC60" s="15"/>
      <c r="AD60" s="28"/>
      <c r="AE60" s="31">
        <v>1.3</v>
      </c>
      <c r="AF60" s="37">
        <v>4.5499999999999999E-2</v>
      </c>
      <c r="AG60" s="32">
        <f>1/22.4</f>
        <v>4.4642857142857144E-2</v>
      </c>
      <c r="AH60" s="32">
        <f>1/9.7</f>
        <v>0.10309278350515465</v>
      </c>
      <c r="AI60" s="32">
        <f>1/51.8</f>
        <v>1.9305019305019305E-2</v>
      </c>
      <c r="AJ60" s="30">
        <v>0</v>
      </c>
      <c r="AK60" s="40">
        <v>0.26296802208016057</v>
      </c>
      <c r="AL60" s="32">
        <v>0.45547397500873277</v>
      </c>
      <c r="AM60" s="32">
        <v>0.1830127018922193</v>
      </c>
      <c r="AN60" s="33">
        <v>0</v>
      </c>
      <c r="AP60" s="15"/>
      <c r="AQ60" s="28"/>
      <c r="AR60" s="31">
        <v>1.3</v>
      </c>
      <c r="AS60" s="45">
        <f t="shared" si="61"/>
        <v>4.3679999999999997E-2</v>
      </c>
      <c r="AT60" s="32">
        <f>1/20.7</f>
        <v>4.8309178743961352E-2</v>
      </c>
      <c r="AU60" s="32">
        <f>1/9.7</f>
        <v>0.10309278350515465</v>
      </c>
      <c r="AV60" s="32">
        <f>1/35.4</f>
        <v>2.8248587570621469E-2</v>
      </c>
      <c r="AW60" s="30">
        <v>0</v>
      </c>
      <c r="AX60" s="40">
        <v>0.26296802208016057</v>
      </c>
      <c r="AY60" s="32">
        <v>0.45547397500873277</v>
      </c>
      <c r="AZ60" s="32">
        <v>0.1830127018922193</v>
      </c>
      <c r="BA60" s="33">
        <v>0</v>
      </c>
      <c r="BC60" s="25"/>
      <c r="BD60" s="47"/>
      <c r="BE60" s="53">
        <v>1.3</v>
      </c>
      <c r="BF60" s="49">
        <v>4.4269550000000012E-2</v>
      </c>
      <c r="BG60" s="50">
        <v>4.7100000000000003E-2</v>
      </c>
      <c r="BH60" s="50">
        <v>0.1032</v>
      </c>
      <c r="BI60" s="50">
        <v>2.4167000000000001E-2</v>
      </c>
      <c r="BJ60" s="51">
        <v>0</v>
      </c>
      <c r="BK60" s="40">
        <v>0.26296802208016057</v>
      </c>
      <c r="BL60" s="32">
        <v>0.45547397500873277</v>
      </c>
      <c r="BM60" s="32">
        <v>0.1830127018922193</v>
      </c>
      <c r="BN60" s="33">
        <v>0</v>
      </c>
      <c r="BP60" s="15"/>
      <c r="BQ60" s="28"/>
      <c r="BR60" s="31">
        <v>1.3</v>
      </c>
      <c r="BS60" s="84">
        <f t="shared" si="62"/>
        <v>4.533740729821225E-2</v>
      </c>
      <c r="BT60" s="78">
        <f t="shared" si="58"/>
        <v>4.6669780818840649E-2</v>
      </c>
      <c r="BU60" s="78">
        <f t="shared" si="63"/>
        <v>0.10964420625902153</v>
      </c>
      <c r="BV60" s="78">
        <f t="shared" si="59"/>
        <v>2.1461494579035387E-2</v>
      </c>
      <c r="BW60" s="79">
        <v>0</v>
      </c>
      <c r="BX60" s="40">
        <v>0.26296802208016057</v>
      </c>
      <c r="BY60" s="32">
        <v>0.45547397500873277</v>
      </c>
      <c r="BZ60" s="32">
        <v>0.1830127018922193</v>
      </c>
      <c r="CA60" s="33">
        <v>0</v>
      </c>
      <c r="CB60" s="37">
        <f t="shared" si="64"/>
        <v>0.87715365007217228</v>
      </c>
      <c r="CC60" s="37">
        <f t="shared" si="65"/>
        <v>0.12284634992782772</v>
      </c>
      <c r="CD60" s="72">
        <f t="shared" si="66"/>
        <v>14.222222222222221</v>
      </c>
      <c r="CE60" s="35">
        <v>8</v>
      </c>
      <c r="CF60" s="37">
        <f t="shared" si="67"/>
        <v>0.75670664291637235</v>
      </c>
      <c r="CG60" s="37">
        <f t="shared" si="68"/>
        <v>0.82699139051830928</v>
      </c>
      <c r="CI60" s="15"/>
      <c r="CJ60" s="28"/>
      <c r="CK60" s="31">
        <v>1.3</v>
      </c>
      <c r="CL60" s="45">
        <f t="shared" si="60"/>
        <v>4.3523911006283757E-2</v>
      </c>
      <c r="CM60" s="78">
        <f t="shared" si="69"/>
        <v>5.0962079734647725E-2</v>
      </c>
      <c r="CN60" s="78">
        <v>0.10964420625902153</v>
      </c>
      <c r="CO60" s="78">
        <f t="shared" si="70"/>
        <v>3.0795450742803515E-2</v>
      </c>
      <c r="CP60" s="79">
        <v>0</v>
      </c>
      <c r="CQ60" s="40">
        <v>0.26296802208016057</v>
      </c>
      <c r="CR60" s="32">
        <v>0.45547397500873277</v>
      </c>
      <c r="CS60" s="32">
        <v>0.1830127018922193</v>
      </c>
      <c r="CT60" s="33">
        <v>0</v>
      </c>
      <c r="CV60" s="25"/>
      <c r="CW60" s="47"/>
      <c r="CX60" s="53">
        <v>1.3</v>
      </c>
      <c r="CY60" s="45">
        <f t="shared" si="71"/>
        <v>4.5288542199488503E-2</v>
      </c>
      <c r="CZ60" s="78">
        <f t="shared" si="72"/>
        <v>4.4475652173913055E-2</v>
      </c>
      <c r="DA60" s="50">
        <v>0.1032</v>
      </c>
      <c r="DB60" s="78">
        <f t="shared" si="73"/>
        <v>1.7495652173913044E-2</v>
      </c>
      <c r="DC60" s="51">
        <v>0</v>
      </c>
      <c r="DD60" s="40">
        <v>0.26296802208016057</v>
      </c>
      <c r="DE60" s="32">
        <v>0.45547397500873277</v>
      </c>
      <c r="DF60" s="32">
        <v>0.1830127018922193</v>
      </c>
      <c r="DG60" s="33">
        <v>0</v>
      </c>
      <c r="DI60" s="25"/>
      <c r="DJ60" s="47"/>
      <c r="DK60" s="53">
        <v>1.3</v>
      </c>
      <c r="DL60" s="49">
        <v>4.4299999999999999E-2</v>
      </c>
      <c r="DM60" s="50">
        <v>4.7100000000000003E-2</v>
      </c>
      <c r="DN60" s="50">
        <v>0.1032</v>
      </c>
      <c r="DO60" s="50">
        <v>2.4199999999999999E-2</v>
      </c>
      <c r="DP60" s="51">
        <v>0</v>
      </c>
      <c r="DQ60" s="40">
        <v>0.26296802208016057</v>
      </c>
      <c r="DR60" s="32">
        <v>0.45547397500873277</v>
      </c>
      <c r="DS60" s="32">
        <v>0.1830127018922193</v>
      </c>
      <c r="DT60" s="33">
        <v>0</v>
      </c>
    </row>
    <row r="61" spans="1:124" ht="12" customHeight="1" x14ac:dyDescent="0.2">
      <c r="A61" s="1"/>
      <c r="B61" s="25"/>
      <c r="C61" s="47"/>
      <c r="D61" s="68">
        <v>1.4</v>
      </c>
      <c r="E61" s="85">
        <f t="shared" si="2"/>
        <v>4.8000000000000001E-2</v>
      </c>
      <c r="F61" s="85">
        <f t="shared" si="3"/>
        <v>5.5419999999999997E-2</v>
      </c>
      <c r="G61" s="85">
        <f t="shared" si="4"/>
        <v>0.1075</v>
      </c>
      <c r="H61" s="85">
        <f t="shared" si="5"/>
        <v>2.6890000000000001E-2</v>
      </c>
      <c r="I61" s="85">
        <f t="shared" si="6"/>
        <v>0</v>
      </c>
      <c r="J61" s="85">
        <f t="shared" si="7"/>
        <v>0.27032926363046617</v>
      </c>
      <c r="K61" s="85">
        <f t="shared" si="8"/>
        <v>0.46822401938064911</v>
      </c>
      <c r="L61" s="85">
        <f t="shared" si="9"/>
        <v>0.1830127018922193</v>
      </c>
      <c r="M61" s="85">
        <f t="shared" si="10"/>
        <v>0</v>
      </c>
      <c r="N61" s="1"/>
      <c r="P61" s="15"/>
      <c r="Q61" s="28"/>
      <c r="R61" s="31">
        <v>1.4</v>
      </c>
      <c r="S61" s="37">
        <v>4.8000000000000001E-2</v>
      </c>
      <c r="T61" s="32">
        <v>5.5419999999999997E-2</v>
      </c>
      <c r="U61" s="32">
        <v>0.1075</v>
      </c>
      <c r="V61" s="32">
        <v>2.6890000000000001E-2</v>
      </c>
      <c r="W61" s="30">
        <v>0</v>
      </c>
      <c r="X61" s="40">
        <v>0.27032926363046617</v>
      </c>
      <c r="Y61" s="32">
        <v>0.46822401938064911</v>
      </c>
      <c r="Z61" s="32">
        <v>0.1830127018922193</v>
      </c>
      <c r="AA61" s="33">
        <v>0</v>
      </c>
      <c r="AC61" s="15"/>
      <c r="AD61" s="28"/>
      <c r="AE61" s="31">
        <v>1.4</v>
      </c>
      <c r="AF61" s="37">
        <v>4.8500000000000001E-2</v>
      </c>
      <c r="AG61" s="32">
        <f>1/21</f>
        <v>4.7619047619047616E-2</v>
      </c>
      <c r="AH61" s="32">
        <f>1/9.3</f>
        <v>0.1075268817204301</v>
      </c>
      <c r="AI61" s="32">
        <f>1/54.3</f>
        <v>1.841620626151013E-2</v>
      </c>
      <c r="AJ61" s="30">
        <v>0</v>
      </c>
      <c r="AK61" s="40">
        <v>0.27032926363046617</v>
      </c>
      <c r="AL61" s="32">
        <v>0.46822401938064911</v>
      </c>
      <c r="AM61" s="32">
        <v>0.1830127018922193</v>
      </c>
      <c r="AN61" s="33">
        <v>0</v>
      </c>
      <c r="AP61" s="15"/>
      <c r="AQ61" s="28"/>
      <c r="AR61" s="31">
        <v>1.4</v>
      </c>
      <c r="AS61" s="45">
        <f t="shared" si="61"/>
        <v>4.6559999999999997E-2</v>
      </c>
      <c r="AT61" s="32">
        <f>1/19.7</f>
        <v>5.0761421319796954E-2</v>
      </c>
      <c r="AU61" s="32">
        <f>1/9.3</f>
        <v>0.1075268817204301</v>
      </c>
      <c r="AV61" s="32">
        <f>1/39.9</f>
        <v>2.5062656641604012E-2</v>
      </c>
      <c r="AW61" s="30">
        <v>0</v>
      </c>
      <c r="AX61" s="40">
        <v>0.27032926363046617</v>
      </c>
      <c r="AY61" s="32">
        <v>0.46822401938064911</v>
      </c>
      <c r="AZ61" s="32">
        <v>0.1830127018922193</v>
      </c>
      <c r="BA61" s="33">
        <v>0</v>
      </c>
      <c r="BC61" s="25"/>
      <c r="BD61" s="47"/>
      <c r="BE61" s="53">
        <v>1.4</v>
      </c>
      <c r="BF61" s="49">
        <v>4.725167999999999E-2</v>
      </c>
      <c r="BG61" s="50">
        <v>0.05</v>
      </c>
      <c r="BH61" s="50">
        <v>0.1075</v>
      </c>
      <c r="BI61" s="50">
        <v>2.2539999999999998E-2</v>
      </c>
      <c r="BJ61" s="51">
        <v>0</v>
      </c>
      <c r="BK61" s="40">
        <v>0.27032926363046617</v>
      </c>
      <c r="BL61" s="32">
        <v>0.46822401938064911</v>
      </c>
      <c r="BM61" s="32">
        <v>0.1830127018922193</v>
      </c>
      <c r="BN61" s="33">
        <v>0</v>
      </c>
      <c r="BP61" s="15"/>
      <c r="BQ61" s="28"/>
      <c r="BR61" s="31">
        <v>1.4</v>
      </c>
      <c r="BS61" s="84">
        <f t="shared" si="62"/>
        <v>4.7886980104682356E-2</v>
      </c>
      <c r="BT61" s="78">
        <f t="shared" si="58"/>
        <v>4.9887989090633134E-2</v>
      </c>
      <c r="BU61" s="78">
        <f t="shared" si="63"/>
        <v>0.11321199547340625</v>
      </c>
      <c r="BV61" s="78">
        <f t="shared" si="59"/>
        <v>1.9545706165176476E-2</v>
      </c>
      <c r="BW61" s="79">
        <v>0</v>
      </c>
      <c r="BX61" s="40">
        <v>0.27032926363046617</v>
      </c>
      <c r="BY61" s="32">
        <v>0.46822401938064911</v>
      </c>
      <c r="BZ61" s="32">
        <v>0.1830127018922193</v>
      </c>
      <c r="CA61" s="33">
        <v>0</v>
      </c>
      <c r="CB61" s="37">
        <f t="shared" si="64"/>
        <v>0.90569596378725004</v>
      </c>
      <c r="CC61" s="37">
        <f t="shared" si="65"/>
        <v>9.4304036212749964E-2</v>
      </c>
      <c r="CD61" s="72">
        <f t="shared" si="66"/>
        <v>14.222222222222221</v>
      </c>
      <c r="CE61" s="35">
        <v>8</v>
      </c>
      <c r="CF61" s="37">
        <f t="shared" si="67"/>
        <v>0.78339541682384006</v>
      </c>
      <c r="CG61" s="37">
        <f t="shared" si="68"/>
        <v>0.8459700741858418</v>
      </c>
      <c r="CI61" s="15"/>
      <c r="CJ61" s="28"/>
      <c r="CK61" s="31">
        <v>1.4</v>
      </c>
      <c r="CL61" s="45">
        <f t="shared" si="60"/>
        <v>4.5971500900495059E-2</v>
      </c>
      <c r="CM61" s="78">
        <f t="shared" si="69"/>
        <v>5.3797130323668431E-2</v>
      </c>
      <c r="CN61" s="78">
        <v>0.11321199547340625</v>
      </c>
      <c r="CO61" s="78">
        <f t="shared" si="70"/>
        <v>2.9523303983303103E-2</v>
      </c>
      <c r="CP61" s="79">
        <v>0</v>
      </c>
      <c r="CQ61" s="40">
        <v>0.27032926363046617</v>
      </c>
      <c r="CR61" s="32">
        <v>0.46822401938064911</v>
      </c>
      <c r="CS61" s="32">
        <v>0.1830127018922193</v>
      </c>
      <c r="CT61" s="33">
        <v>0</v>
      </c>
      <c r="CV61" s="25"/>
      <c r="CW61" s="47"/>
      <c r="CX61" s="53">
        <v>1.4</v>
      </c>
      <c r="CY61" s="45">
        <f t="shared" si="71"/>
        <v>4.833931457800511E-2</v>
      </c>
      <c r="CZ61" s="78">
        <f t="shared" si="72"/>
        <v>4.7692071611253203E-2</v>
      </c>
      <c r="DA61" s="50">
        <v>0.1075</v>
      </c>
      <c r="DB61" s="78">
        <f t="shared" si="73"/>
        <v>1.5386189258312019E-2</v>
      </c>
      <c r="DC61" s="51">
        <v>0</v>
      </c>
      <c r="DD61" s="40">
        <v>0.27032926363046617</v>
      </c>
      <c r="DE61" s="32">
        <v>0.46822401938064911</v>
      </c>
      <c r="DF61" s="32">
        <v>0.1830127018922193</v>
      </c>
      <c r="DG61" s="33">
        <v>0</v>
      </c>
      <c r="DI61" s="25"/>
      <c r="DJ61" s="47"/>
      <c r="DK61" s="53">
        <v>1.4</v>
      </c>
      <c r="DL61" s="49">
        <v>4.7300000000000002E-2</v>
      </c>
      <c r="DM61" s="50">
        <v>0.05</v>
      </c>
      <c r="DN61" s="50">
        <v>0.1075</v>
      </c>
      <c r="DO61" s="50">
        <v>2.2499999999999999E-2</v>
      </c>
      <c r="DP61" s="51">
        <v>0</v>
      </c>
      <c r="DQ61" s="40">
        <v>0.27032926363046617</v>
      </c>
      <c r="DR61" s="32">
        <v>0.46822401938064911</v>
      </c>
      <c r="DS61" s="32">
        <v>0.1830127018922193</v>
      </c>
      <c r="DT61" s="33">
        <v>0</v>
      </c>
    </row>
    <row r="62" spans="1:124" ht="12" customHeight="1" x14ac:dyDescent="0.2">
      <c r="A62" s="1"/>
      <c r="B62" s="25"/>
      <c r="C62" s="47"/>
      <c r="D62" s="68">
        <v>1.5</v>
      </c>
      <c r="E62" s="85">
        <f t="shared" si="2"/>
        <v>5.0500000000000003E-2</v>
      </c>
      <c r="F62" s="85">
        <f t="shared" si="3"/>
        <v>5.8119999999999998E-2</v>
      </c>
      <c r="G62" s="85">
        <f t="shared" si="4"/>
        <v>0.1111</v>
      </c>
      <c r="H62" s="85">
        <f t="shared" si="5"/>
        <v>2.6100000000000002E-2</v>
      </c>
      <c r="I62" s="85">
        <f t="shared" si="6"/>
        <v>0</v>
      </c>
      <c r="J62" s="85">
        <f t="shared" si="7"/>
        <v>0.27670900630739764</v>
      </c>
      <c r="K62" s="85">
        <f t="shared" si="8"/>
        <v>0.47927405783630994</v>
      </c>
      <c r="L62" s="85">
        <f t="shared" si="9"/>
        <v>0.1830127018922193</v>
      </c>
      <c r="M62" s="85">
        <f t="shared" si="10"/>
        <v>0</v>
      </c>
      <c r="N62" s="1"/>
      <c r="P62" s="15"/>
      <c r="Q62" s="28"/>
      <c r="R62" s="31">
        <v>1.5</v>
      </c>
      <c r="S62" s="37">
        <v>5.0500000000000003E-2</v>
      </c>
      <c r="T62" s="32">
        <v>5.8119999999999998E-2</v>
      </c>
      <c r="U62" s="32">
        <v>0.1111</v>
      </c>
      <c r="V62" s="32">
        <v>2.6100000000000002E-2</v>
      </c>
      <c r="W62" s="30">
        <v>0</v>
      </c>
      <c r="X62" s="40">
        <v>0.27670900630739764</v>
      </c>
      <c r="Y62" s="32">
        <v>0.47927405783630994</v>
      </c>
      <c r="Z62" s="32">
        <v>0.1830127018922193</v>
      </c>
      <c r="AA62" s="33">
        <v>0</v>
      </c>
      <c r="AC62" s="15"/>
      <c r="AD62" s="28"/>
      <c r="AE62" s="31">
        <v>1.5</v>
      </c>
      <c r="AF62" s="37">
        <v>5.0999999999999997E-2</v>
      </c>
      <c r="AG62" s="32">
        <f>1/19.8</f>
        <v>5.0505050505050504E-2</v>
      </c>
      <c r="AH62" s="32">
        <f>1/9</f>
        <v>0.1111111111111111</v>
      </c>
      <c r="AI62" s="32">
        <f>1/55.6</f>
        <v>1.7985611510791366E-2</v>
      </c>
      <c r="AJ62" s="30">
        <v>0</v>
      </c>
      <c r="AK62" s="40">
        <v>0.27670900630739764</v>
      </c>
      <c r="AL62" s="32">
        <v>0.47927405783630994</v>
      </c>
      <c r="AM62" s="32">
        <v>0.1830127018922193</v>
      </c>
      <c r="AN62" s="33">
        <v>0</v>
      </c>
      <c r="AP62" s="15"/>
      <c r="AQ62" s="28"/>
      <c r="AR62" s="31">
        <v>1.5</v>
      </c>
      <c r="AS62" s="45">
        <f t="shared" si="61"/>
        <v>4.8959999999999997E-2</v>
      </c>
      <c r="AT62" s="32">
        <f>1/18.8</f>
        <v>5.3191489361702128E-2</v>
      </c>
      <c r="AU62" s="32">
        <f>1/9</f>
        <v>0.1111111111111111</v>
      </c>
      <c r="AV62" s="32">
        <f t="shared" ref="AV62:AV67" si="74">1/42.5</f>
        <v>2.3529411764705882E-2</v>
      </c>
      <c r="AW62" s="30">
        <v>0</v>
      </c>
      <c r="AX62" s="40">
        <v>0.27670900630739764</v>
      </c>
      <c r="AY62" s="32">
        <v>0.47927405783630994</v>
      </c>
      <c r="AZ62" s="32">
        <v>0.1830127018922193</v>
      </c>
      <c r="BA62" s="33">
        <v>0</v>
      </c>
      <c r="BC62" s="25"/>
      <c r="BD62" s="47"/>
      <c r="BE62" s="53">
        <v>1.5</v>
      </c>
      <c r="BF62" s="49">
        <v>5.0118749999999997E-2</v>
      </c>
      <c r="BG62" s="50">
        <v>5.2400000000000002E-2</v>
      </c>
      <c r="BH62" s="50">
        <v>0.1109</v>
      </c>
      <c r="BI62" s="50">
        <v>2.1149999999999999E-2</v>
      </c>
      <c r="BJ62" s="51">
        <v>0</v>
      </c>
      <c r="BK62" s="40">
        <v>0.27670900630739764</v>
      </c>
      <c r="BL62" s="32">
        <v>0.47927405783630994</v>
      </c>
      <c r="BM62" s="32">
        <v>0.1830127018922193</v>
      </c>
      <c r="BN62" s="33">
        <v>0</v>
      </c>
      <c r="BP62" s="15"/>
      <c r="BQ62" s="28"/>
      <c r="BR62" s="31">
        <v>1.5</v>
      </c>
      <c r="BS62" s="84">
        <f t="shared" si="62"/>
        <v>4.9970479501908679E-2</v>
      </c>
      <c r="BT62" s="78">
        <f t="shared" si="58"/>
        <v>5.2582083225876979E-2</v>
      </c>
      <c r="BU62" s="78">
        <f t="shared" si="63"/>
        <v>0.1158466819221968</v>
      </c>
      <c r="BV62" s="78">
        <f t="shared" si="59"/>
        <v>1.7767281600678642E-2</v>
      </c>
      <c r="BW62" s="79">
        <v>0</v>
      </c>
      <c r="BX62" s="40">
        <v>0.27670900630739764</v>
      </c>
      <c r="BY62" s="32">
        <v>0.47927405783630994</v>
      </c>
      <c r="BZ62" s="32">
        <v>0.1830127018922193</v>
      </c>
      <c r="CA62" s="33">
        <v>0</v>
      </c>
      <c r="CB62" s="37">
        <f t="shared" si="64"/>
        <v>0.92677345537757438</v>
      </c>
      <c r="CC62" s="37">
        <f t="shared" si="65"/>
        <v>7.3226544622425616E-2</v>
      </c>
      <c r="CD62" s="72">
        <f t="shared" si="66"/>
        <v>14.222222222222221</v>
      </c>
      <c r="CE62" s="35">
        <v>8</v>
      </c>
      <c r="CF62" s="37">
        <f t="shared" si="67"/>
        <v>0.8069221967963387</v>
      </c>
      <c r="CG62" s="37">
        <f t="shared" si="68"/>
        <v>0.86270022883295194</v>
      </c>
      <c r="CI62" s="15"/>
      <c r="CJ62" s="28"/>
      <c r="CK62" s="31">
        <v>1.5</v>
      </c>
      <c r="CL62" s="45">
        <f t="shared" si="60"/>
        <v>4.7971660321832331E-2</v>
      </c>
      <c r="CM62" s="78">
        <f t="shared" si="69"/>
        <v>5.6135539546012705E-2</v>
      </c>
      <c r="CN62" s="78">
        <v>0.1158466819221968</v>
      </c>
      <c r="CO62" s="78">
        <f t="shared" si="70"/>
        <v>2.8283698245854038E-2</v>
      </c>
      <c r="CP62" s="79">
        <v>0</v>
      </c>
      <c r="CQ62" s="40">
        <v>0.27670900630739764</v>
      </c>
      <c r="CR62" s="32">
        <v>0.47927405783630994</v>
      </c>
      <c r="CS62" s="32">
        <v>0.1830127018922193</v>
      </c>
      <c r="CT62" s="33">
        <v>0</v>
      </c>
      <c r="CV62" s="25"/>
      <c r="CW62" s="47"/>
      <c r="CX62" s="53">
        <v>1.5</v>
      </c>
      <c r="CY62" s="45">
        <f t="shared" si="71"/>
        <v>5.1272378516624043E-2</v>
      </c>
      <c r="CZ62" s="78">
        <f t="shared" si="72"/>
        <v>5.0360613810741695E-2</v>
      </c>
      <c r="DA62" s="50">
        <v>0.1109</v>
      </c>
      <c r="DB62" s="78">
        <f t="shared" si="73"/>
        <v>1.3595907928388745E-2</v>
      </c>
      <c r="DC62" s="51">
        <v>0</v>
      </c>
      <c r="DD62" s="40">
        <v>0.27670900630739764</v>
      </c>
      <c r="DE62" s="32">
        <v>0.47927405783630994</v>
      </c>
      <c r="DF62" s="32">
        <v>0.1830127018922193</v>
      </c>
      <c r="DG62" s="33">
        <v>0</v>
      </c>
      <c r="DI62" s="25"/>
      <c r="DJ62" s="47"/>
      <c r="DK62" s="53">
        <v>1.5</v>
      </c>
      <c r="DL62" s="49">
        <v>5.0099999999999999E-2</v>
      </c>
      <c r="DM62" s="50">
        <v>5.2400000000000002E-2</v>
      </c>
      <c r="DN62" s="50">
        <v>0.1109</v>
      </c>
      <c r="DO62" s="50">
        <v>2.12E-2</v>
      </c>
      <c r="DP62" s="51">
        <v>0</v>
      </c>
      <c r="DQ62" s="40">
        <v>0.27670900630739764</v>
      </c>
      <c r="DR62" s="32">
        <v>0.47927405783630994</v>
      </c>
      <c r="DS62" s="32">
        <v>0.1830127018922193</v>
      </c>
      <c r="DT62" s="33">
        <v>0</v>
      </c>
    </row>
    <row r="63" spans="1:124" ht="12" customHeight="1" x14ac:dyDescent="0.2">
      <c r="A63" s="1"/>
      <c r="B63" s="25"/>
      <c r="C63" s="47"/>
      <c r="D63" s="68">
        <v>1.6</v>
      </c>
      <c r="E63" s="85">
        <f t="shared" si="2"/>
        <v>5.2600000000000001E-2</v>
      </c>
      <c r="F63" s="85">
        <f t="shared" si="3"/>
        <v>6.0380000000000003E-2</v>
      </c>
      <c r="G63" s="85">
        <f t="shared" si="4"/>
        <v>0.114</v>
      </c>
      <c r="H63" s="85">
        <f t="shared" si="5"/>
        <v>2.562E-2</v>
      </c>
      <c r="I63" s="85">
        <f t="shared" si="6"/>
        <v>0</v>
      </c>
      <c r="J63" s="85">
        <f t="shared" si="7"/>
        <v>0.28229128114971269</v>
      </c>
      <c r="K63" s="85">
        <f t="shared" si="8"/>
        <v>0.48894284148501316</v>
      </c>
      <c r="L63" s="85">
        <f t="shared" si="9"/>
        <v>0.1830127018922193</v>
      </c>
      <c r="M63" s="85">
        <f t="shared" si="10"/>
        <v>0</v>
      </c>
      <c r="N63" s="1"/>
      <c r="P63" s="15"/>
      <c r="Q63" s="28"/>
      <c r="R63" s="31">
        <v>1.6</v>
      </c>
      <c r="S63" s="37">
        <v>5.2600000000000001E-2</v>
      </c>
      <c r="T63" s="32">
        <v>6.0380000000000003E-2</v>
      </c>
      <c r="U63" s="32">
        <v>0.114</v>
      </c>
      <c r="V63" s="32">
        <v>2.562E-2</v>
      </c>
      <c r="W63" s="30">
        <v>0</v>
      </c>
      <c r="X63" s="40">
        <v>0.28229128114971269</v>
      </c>
      <c r="Y63" s="32">
        <v>0.48894284148501316</v>
      </c>
      <c r="Z63" s="32">
        <v>0.1830127018922193</v>
      </c>
      <c r="AA63" s="33">
        <v>0</v>
      </c>
      <c r="AC63" s="15"/>
      <c r="AD63" s="28"/>
      <c r="AE63" s="31">
        <v>1.6</v>
      </c>
      <c r="AF63" s="37">
        <v>5.3100000000000001E-2</v>
      </c>
      <c r="AG63" s="32">
        <f>1/19</f>
        <v>5.2631578947368418E-2</v>
      </c>
      <c r="AH63" s="32">
        <f>1/8.8</f>
        <v>0.11363636363636363</v>
      </c>
      <c r="AI63" s="32">
        <f>1/56.8</f>
        <v>1.7605633802816902E-2</v>
      </c>
      <c r="AJ63" s="30">
        <v>0</v>
      </c>
      <c r="AK63" s="40">
        <v>0.28229128114971269</v>
      </c>
      <c r="AL63" s="32">
        <v>0.48894284148501316</v>
      </c>
      <c r="AM63" s="32">
        <v>0.1830127018922193</v>
      </c>
      <c r="AN63" s="33">
        <v>0</v>
      </c>
      <c r="AP63" s="15"/>
      <c r="AQ63" s="28"/>
      <c r="AR63" s="31">
        <v>1.6</v>
      </c>
      <c r="AS63" s="45">
        <f t="shared" si="61"/>
        <v>5.0976E-2</v>
      </c>
      <c r="AT63" s="32">
        <f>1/17.8</f>
        <v>5.6179775280898875E-2</v>
      </c>
      <c r="AU63" s="32">
        <f>1/8.8</f>
        <v>0.11363636363636363</v>
      </c>
      <c r="AV63" s="32">
        <f t="shared" si="74"/>
        <v>2.3529411764705882E-2</v>
      </c>
      <c r="AW63" s="30">
        <v>0</v>
      </c>
      <c r="AX63" s="40">
        <v>0.28229128114971269</v>
      </c>
      <c r="AY63" s="32">
        <v>0.48894284148501316</v>
      </c>
      <c r="AZ63" s="32">
        <v>0.1830127018922193</v>
      </c>
      <c r="BA63" s="33">
        <v>0</v>
      </c>
      <c r="BC63" s="25"/>
      <c r="BD63" s="47"/>
      <c r="BE63" s="53">
        <v>1.6</v>
      </c>
      <c r="BF63" s="49">
        <v>5.1773440000000025E-2</v>
      </c>
      <c r="BG63" s="50">
        <v>5.4399999999999997E-2</v>
      </c>
      <c r="BH63" s="50">
        <v>0.11360000000000001</v>
      </c>
      <c r="BI63" s="50">
        <v>1.9456000000000005E-2</v>
      </c>
      <c r="BJ63" s="51">
        <v>0</v>
      </c>
      <c r="BK63" s="40">
        <v>0.28229128114971269</v>
      </c>
      <c r="BL63" s="32">
        <v>0.48894284148501316</v>
      </c>
      <c r="BM63" s="32">
        <v>0.1830127018922193</v>
      </c>
      <c r="BN63" s="33">
        <v>0</v>
      </c>
      <c r="BP63" s="15"/>
      <c r="BQ63" s="28"/>
      <c r="BR63" s="31">
        <v>1.6</v>
      </c>
      <c r="BS63" s="84">
        <f t="shared" si="62"/>
        <v>5.167605583791425E-2</v>
      </c>
      <c r="BT63" s="78">
        <f t="shared" si="58"/>
        <v>5.4831828263406761E-2</v>
      </c>
      <c r="BU63" s="78">
        <f t="shared" si="63"/>
        <v>0.11780947998159227</v>
      </c>
      <c r="BV63" s="78">
        <f t="shared" si="59"/>
        <v>1.6148767449348199E-2</v>
      </c>
      <c r="BW63" s="79">
        <v>0</v>
      </c>
      <c r="BX63" s="40">
        <v>0.28229128114971269</v>
      </c>
      <c r="BY63" s="32">
        <v>0.48894284148501316</v>
      </c>
      <c r="BZ63" s="32">
        <v>0.1830127018922193</v>
      </c>
      <c r="CA63" s="33">
        <v>0</v>
      </c>
      <c r="CB63" s="37">
        <f t="shared" si="64"/>
        <v>0.9424758398527382</v>
      </c>
      <c r="CC63" s="37">
        <f t="shared" si="65"/>
        <v>5.7524160147261805E-2</v>
      </c>
      <c r="CD63" s="72">
        <f t="shared" si="66"/>
        <v>14.222222222222221</v>
      </c>
      <c r="CE63" s="35">
        <v>8</v>
      </c>
      <c r="CF63" s="37">
        <f t="shared" si="67"/>
        <v>0.82742751955821447</v>
      </c>
      <c r="CG63" s="37">
        <f t="shared" si="68"/>
        <v>0.87728179168584142</v>
      </c>
      <c r="CI63" s="15"/>
      <c r="CJ63" s="28"/>
      <c r="CK63" s="31">
        <v>1.6</v>
      </c>
      <c r="CL63" s="45">
        <f t="shared" si="60"/>
        <v>4.9609013604397678E-2</v>
      </c>
      <c r="CM63" s="78">
        <f t="shared" si="69"/>
        <v>5.8061581753276401E-2</v>
      </c>
      <c r="CN63" s="78">
        <v>0.11780947998159227</v>
      </c>
      <c r="CO63" s="78">
        <f t="shared" si="70"/>
        <v>2.7115133102029551E-2</v>
      </c>
      <c r="CP63" s="79">
        <v>0</v>
      </c>
      <c r="CQ63" s="40">
        <v>0.28229128114971269</v>
      </c>
      <c r="CR63" s="32">
        <v>0.48894284148501316</v>
      </c>
      <c r="CS63" s="32">
        <v>0.1830127018922193</v>
      </c>
      <c r="CT63" s="33">
        <v>0</v>
      </c>
      <c r="CV63" s="25"/>
      <c r="CW63" s="47"/>
      <c r="CX63" s="53">
        <v>1.6</v>
      </c>
      <c r="CY63" s="45">
        <f t="shared" si="71"/>
        <v>5.2965156010230205E-2</v>
      </c>
      <c r="CZ63" s="78">
        <f t="shared" si="72"/>
        <v>5.2666598465473141E-2</v>
      </c>
      <c r="DA63" s="50">
        <v>0.11359999999999999</v>
      </c>
      <c r="DB63" s="78">
        <f t="shared" si="73"/>
        <v>1.1556010230179034E-2</v>
      </c>
      <c r="DC63" s="51">
        <v>0</v>
      </c>
      <c r="DD63" s="40">
        <v>0.28229128114971269</v>
      </c>
      <c r="DE63" s="32">
        <v>0.48894284148501316</v>
      </c>
      <c r="DF63" s="32">
        <v>0.1830127018922193</v>
      </c>
      <c r="DG63" s="33">
        <v>0</v>
      </c>
      <c r="DI63" s="25"/>
      <c r="DJ63" s="47"/>
      <c r="DK63" s="53">
        <v>1.6</v>
      </c>
      <c r="DL63" s="49">
        <v>5.1799999999999999E-2</v>
      </c>
      <c r="DM63" s="50">
        <v>5.4400000000000004E-2</v>
      </c>
      <c r="DN63" s="50">
        <v>0.11359999999999999</v>
      </c>
      <c r="DO63" s="50">
        <v>1.95E-2</v>
      </c>
      <c r="DP63" s="51">
        <v>0</v>
      </c>
      <c r="DQ63" s="40">
        <v>0.28229128114971269</v>
      </c>
      <c r="DR63" s="32">
        <v>0.48894284148501316</v>
      </c>
      <c r="DS63" s="32">
        <v>0.1830127018922193</v>
      </c>
      <c r="DT63" s="33">
        <v>0</v>
      </c>
    </row>
    <row r="64" spans="1:124" ht="12" customHeight="1" x14ac:dyDescent="0.2">
      <c r="A64" s="1"/>
      <c r="B64" s="25"/>
      <c r="C64" s="47"/>
      <c r="D64" s="68">
        <v>1.7</v>
      </c>
      <c r="E64" s="85">
        <f t="shared" si="2"/>
        <v>5.4399999999999997E-2</v>
      </c>
      <c r="F64" s="85">
        <f t="shared" si="3"/>
        <v>6.2260000000000003E-2</v>
      </c>
      <c r="G64" s="85">
        <f t="shared" si="4"/>
        <v>0.1164</v>
      </c>
      <c r="H64" s="85">
        <f t="shared" si="5"/>
        <v>2.5149999999999999E-2</v>
      </c>
      <c r="I64" s="85">
        <f t="shared" si="6"/>
        <v>0</v>
      </c>
      <c r="J64" s="85">
        <f t="shared" si="7"/>
        <v>0.28721681777528485</v>
      </c>
      <c r="K64" s="85">
        <f t="shared" si="8"/>
        <v>0.49747412117504541</v>
      </c>
      <c r="L64" s="85">
        <f t="shared" si="9"/>
        <v>0.1830127018922193</v>
      </c>
      <c r="M64" s="85">
        <f t="shared" si="10"/>
        <v>0</v>
      </c>
      <c r="N64" s="1"/>
      <c r="P64" s="15"/>
      <c r="Q64" s="28"/>
      <c r="R64" s="31">
        <v>1.7</v>
      </c>
      <c r="S64" s="37">
        <v>5.4399999999999997E-2</v>
      </c>
      <c r="T64" s="32">
        <v>6.2260000000000003E-2</v>
      </c>
      <c r="U64" s="32">
        <v>0.1164</v>
      </c>
      <c r="V64" s="32">
        <v>2.5149999999999999E-2</v>
      </c>
      <c r="W64" s="30">
        <v>0</v>
      </c>
      <c r="X64" s="40">
        <v>0.28721681777528485</v>
      </c>
      <c r="Y64" s="32">
        <v>0.49747412117504541</v>
      </c>
      <c r="Z64" s="32">
        <v>0.1830127018922193</v>
      </c>
      <c r="AA64" s="33">
        <v>0</v>
      </c>
      <c r="AC64" s="15"/>
      <c r="AD64" s="28"/>
      <c r="AE64" s="31">
        <v>1.7</v>
      </c>
      <c r="AF64" s="37">
        <v>5.4899999999999997E-2</v>
      </c>
      <c r="AG64" s="32">
        <f>1/18.3</f>
        <v>5.4644808743169397E-2</v>
      </c>
      <c r="AH64" s="32">
        <f>1/8.6</f>
        <v>0.11627906976744186</v>
      </c>
      <c r="AI64" s="32">
        <f>1/57.8</f>
        <v>1.7301038062283738E-2</v>
      </c>
      <c r="AJ64" s="30">
        <v>0</v>
      </c>
      <c r="AK64" s="40">
        <v>0.28721681777528485</v>
      </c>
      <c r="AL64" s="32">
        <v>0.49747412117504541</v>
      </c>
      <c r="AM64" s="32">
        <v>0.1830127018922193</v>
      </c>
      <c r="AN64" s="33">
        <v>0</v>
      </c>
      <c r="AP64" s="15"/>
      <c r="AQ64" s="28"/>
      <c r="AR64" s="31">
        <v>1.7</v>
      </c>
      <c r="AS64" s="45">
        <f t="shared" si="61"/>
        <v>5.2703999999999994E-2</v>
      </c>
      <c r="AT64" s="32">
        <f>1/17.2</f>
        <v>5.8139534883720929E-2</v>
      </c>
      <c r="AU64" s="32">
        <f>1/8.6</f>
        <v>0.11627906976744186</v>
      </c>
      <c r="AV64" s="32">
        <f t="shared" si="74"/>
        <v>2.3529411764705882E-2</v>
      </c>
      <c r="AW64" s="30">
        <v>0</v>
      </c>
      <c r="AX64" s="40">
        <v>0.28721681777528485</v>
      </c>
      <c r="AY64" s="32">
        <v>0.49747412117504541</v>
      </c>
      <c r="AZ64" s="32">
        <v>0.1830127018922193</v>
      </c>
      <c r="BA64" s="33">
        <v>0</v>
      </c>
      <c r="BC64" s="25"/>
      <c r="BD64" s="47"/>
      <c r="BE64" s="53">
        <v>1.7</v>
      </c>
      <c r="BF64" s="49">
        <v>5.2618229999999995E-2</v>
      </c>
      <c r="BG64" s="50">
        <v>5.6099999999999997E-2</v>
      </c>
      <c r="BH64" s="50">
        <v>0.11600000000000001</v>
      </c>
      <c r="BI64" s="50">
        <v>1.7917999999999996E-2</v>
      </c>
      <c r="BJ64" s="51">
        <v>0</v>
      </c>
      <c r="BK64" s="40">
        <v>0.28721681777528485</v>
      </c>
      <c r="BL64" s="32">
        <v>0.49747412117504541</v>
      </c>
      <c r="BM64" s="32">
        <v>0.1830127018922193</v>
      </c>
      <c r="BN64" s="33">
        <v>0</v>
      </c>
      <c r="BP64" s="15"/>
      <c r="BQ64" s="28"/>
      <c r="BR64" s="31">
        <v>1.7</v>
      </c>
      <c r="BS64" s="84">
        <f t="shared" si="62"/>
        <v>5.3078648233694591E-2</v>
      </c>
      <c r="BT64" s="78">
        <f t="shared" si="58"/>
        <v>5.6713117342229759E-2</v>
      </c>
      <c r="BU64" s="78">
        <f t="shared" si="63"/>
        <v>0.11928708538522183</v>
      </c>
      <c r="BV64" s="78">
        <f t="shared" si="59"/>
        <v>1.4693051414171513E-2</v>
      </c>
      <c r="BW64" s="79">
        <v>0</v>
      </c>
      <c r="BX64" s="40">
        <v>0.28721681777528485</v>
      </c>
      <c r="BY64" s="32">
        <v>0.49747412117504541</v>
      </c>
      <c r="BZ64" s="32">
        <v>0.1830127018922193</v>
      </c>
      <c r="CA64" s="33">
        <v>0</v>
      </c>
      <c r="CB64" s="37">
        <f t="shared" si="64"/>
        <v>0.95429668308177462</v>
      </c>
      <c r="CC64" s="37">
        <f t="shared" si="65"/>
        <v>4.5703316918225378E-2</v>
      </c>
      <c r="CD64" s="72">
        <f t="shared" si="66"/>
        <v>14.222222222222221</v>
      </c>
      <c r="CE64" s="35">
        <v>8</v>
      </c>
      <c r="CF64" s="37">
        <f t="shared" si="67"/>
        <v>0.84521571965585396</v>
      </c>
      <c r="CG64" s="37">
        <f t="shared" si="68"/>
        <v>0.88993117842194058</v>
      </c>
      <c r="CI64" s="15"/>
      <c r="CJ64" s="28"/>
      <c r="CK64" s="31">
        <v>1.7</v>
      </c>
      <c r="CL64" s="45">
        <f t="shared" si="60"/>
        <v>5.0955502304346804E-2</v>
      </c>
      <c r="CM64" s="78">
        <f t="shared" si="69"/>
        <v>5.9651727625064065E-2</v>
      </c>
      <c r="CN64" s="78">
        <v>0.11928708538522183</v>
      </c>
      <c r="CO64" s="78">
        <f t="shared" si="70"/>
        <v>2.6035674882617467E-2</v>
      </c>
      <c r="CP64" s="79">
        <v>0</v>
      </c>
      <c r="CQ64" s="40">
        <v>0.28721681777528485</v>
      </c>
      <c r="CR64" s="32">
        <v>0.49747412117504541</v>
      </c>
      <c r="CS64" s="32">
        <v>0.1830127018922193</v>
      </c>
      <c r="CT64" s="33">
        <v>0</v>
      </c>
      <c r="CV64" s="25"/>
      <c r="CW64" s="47"/>
      <c r="CX64" s="53">
        <v>1.7</v>
      </c>
      <c r="CY64" s="45">
        <f t="shared" si="71"/>
        <v>5.3829391304347822E-2</v>
      </c>
      <c r="CZ64" s="78">
        <f t="shared" si="72"/>
        <v>5.4641739130434783E-2</v>
      </c>
      <c r="DA64" s="50">
        <v>0.11599999999999999</v>
      </c>
      <c r="DB64" s="78">
        <f t="shared" si="73"/>
        <v>9.7217391304347811E-3</v>
      </c>
      <c r="DC64" s="51">
        <v>0</v>
      </c>
      <c r="DD64" s="40">
        <v>0.28721681777528485</v>
      </c>
      <c r="DE64" s="32">
        <v>0.49747412117504541</v>
      </c>
      <c r="DF64" s="32">
        <v>0.1830127018922193</v>
      </c>
      <c r="DG64" s="33">
        <v>0</v>
      </c>
      <c r="DI64" s="25"/>
      <c r="DJ64" s="47"/>
      <c r="DK64" s="53">
        <v>1.7</v>
      </c>
      <c r="DL64" s="49">
        <v>5.2600000000000001E-2</v>
      </c>
      <c r="DM64" s="50">
        <v>5.6100000000000004E-2</v>
      </c>
      <c r="DN64" s="50">
        <v>0.11599999999999999</v>
      </c>
      <c r="DO64" s="50">
        <v>1.7899999999999999E-2</v>
      </c>
      <c r="DP64" s="51">
        <v>0</v>
      </c>
      <c r="DQ64" s="40">
        <v>0.28721681777528485</v>
      </c>
      <c r="DR64" s="32">
        <v>0.49747412117504541</v>
      </c>
      <c r="DS64" s="32">
        <v>0.1830127018922193</v>
      </c>
      <c r="DT64" s="33">
        <v>0</v>
      </c>
    </row>
    <row r="65" spans="1:124" ht="12" customHeight="1" x14ac:dyDescent="0.2">
      <c r="A65" s="1"/>
      <c r="B65" s="25"/>
      <c r="C65" s="47"/>
      <c r="D65" s="68">
        <v>1.8</v>
      </c>
      <c r="E65" s="85">
        <f t="shared" si="2"/>
        <v>5.5899999999999998E-2</v>
      </c>
      <c r="F65" s="85">
        <f t="shared" si="3"/>
        <v>6.3810000000000006E-2</v>
      </c>
      <c r="G65" s="85">
        <f t="shared" si="4"/>
        <v>0.1183</v>
      </c>
      <c r="H65" s="85">
        <f t="shared" si="5"/>
        <v>2.4979999999999999E-2</v>
      </c>
      <c r="I65" s="85">
        <f t="shared" si="6"/>
        <v>0</v>
      </c>
      <c r="J65" s="85">
        <f t="shared" si="7"/>
        <v>0.29159507255357114</v>
      </c>
      <c r="K65" s="85">
        <f t="shared" si="8"/>
        <v>0.50505748089951852</v>
      </c>
      <c r="L65" s="85">
        <f t="shared" si="9"/>
        <v>0.1830127018922193</v>
      </c>
      <c r="M65" s="85">
        <f t="shared" si="10"/>
        <v>0</v>
      </c>
      <c r="N65" s="1"/>
      <c r="P65" s="15"/>
      <c r="Q65" s="28"/>
      <c r="R65" s="31">
        <v>1.8</v>
      </c>
      <c r="S65" s="37">
        <v>5.5899999999999998E-2</v>
      </c>
      <c r="T65" s="32">
        <v>6.3810000000000006E-2</v>
      </c>
      <c r="U65" s="32">
        <v>0.1183</v>
      </c>
      <c r="V65" s="32">
        <v>2.4979999999999999E-2</v>
      </c>
      <c r="W65" s="30">
        <v>0</v>
      </c>
      <c r="X65" s="40">
        <v>0.29159507255357114</v>
      </c>
      <c r="Y65" s="32">
        <v>0.50505748089951852</v>
      </c>
      <c r="Z65" s="32">
        <v>0.1830127018922193</v>
      </c>
      <c r="AA65" s="33">
        <v>0</v>
      </c>
      <c r="AC65" s="15"/>
      <c r="AD65" s="28"/>
      <c r="AE65" s="31">
        <v>1.8</v>
      </c>
      <c r="AF65" s="37">
        <v>5.62E-2</v>
      </c>
      <c r="AG65" s="32">
        <f>1/17.8</f>
        <v>5.6179775280898875E-2</v>
      </c>
      <c r="AH65" s="32">
        <f>1/8.4</f>
        <v>0.11904761904761904</v>
      </c>
      <c r="AI65" s="32">
        <f>1/58.6</f>
        <v>1.7064846416382253E-2</v>
      </c>
      <c r="AJ65" s="30">
        <v>0</v>
      </c>
      <c r="AK65" s="40">
        <v>0.29159507255357114</v>
      </c>
      <c r="AL65" s="32">
        <v>0.50505748089951852</v>
      </c>
      <c r="AM65" s="32">
        <v>0.1830127018922193</v>
      </c>
      <c r="AN65" s="33">
        <v>0</v>
      </c>
      <c r="AP65" s="15"/>
      <c r="AQ65" s="28"/>
      <c r="AR65" s="31">
        <v>1.8</v>
      </c>
      <c r="AS65" s="45">
        <f t="shared" si="61"/>
        <v>5.3952E-2</v>
      </c>
      <c r="AT65" s="32">
        <f>1/16.8</f>
        <v>5.9523809523809521E-2</v>
      </c>
      <c r="AU65" s="32">
        <f>1/8.4</f>
        <v>0.11904761904761904</v>
      </c>
      <c r="AV65" s="32">
        <f t="shared" si="74"/>
        <v>2.3529411764705882E-2</v>
      </c>
      <c r="AW65" s="30">
        <v>0</v>
      </c>
      <c r="AX65" s="40">
        <v>0.29159507255357114</v>
      </c>
      <c r="AY65" s="32">
        <v>0.50505748089951852</v>
      </c>
      <c r="AZ65" s="32">
        <v>0.1830127018922193</v>
      </c>
      <c r="BA65" s="33">
        <v>0</v>
      </c>
      <c r="BC65" s="25"/>
      <c r="BD65" s="47"/>
      <c r="BE65" s="53">
        <v>1.8</v>
      </c>
      <c r="BF65" s="49">
        <v>5.4587520000000007E-2</v>
      </c>
      <c r="BG65" s="50">
        <v>5.7500000000000002E-2</v>
      </c>
      <c r="BH65" s="50">
        <v>0.11840000000000001</v>
      </c>
      <c r="BI65" s="50">
        <v>1.6848000000000002E-2</v>
      </c>
      <c r="BJ65" s="51">
        <v>0</v>
      </c>
      <c r="BK65" s="40">
        <v>0.29159507255357114</v>
      </c>
      <c r="BL65" s="32">
        <v>0.50505748089951852</v>
      </c>
      <c r="BM65" s="32">
        <v>0.1830127018922193</v>
      </c>
      <c r="BN65" s="33">
        <v>0</v>
      </c>
      <c r="BP65" s="15"/>
      <c r="BQ65" s="28"/>
      <c r="BR65" s="31">
        <v>1.8</v>
      </c>
      <c r="BS65" s="84">
        <f t="shared" si="62"/>
        <v>5.4239246233017929E-2</v>
      </c>
      <c r="BT65" s="78">
        <f t="shared" si="58"/>
        <v>5.8292197059271834E-2</v>
      </c>
      <c r="BU65" s="78">
        <f t="shared" si="63"/>
        <v>0.1204118337982675</v>
      </c>
      <c r="BV65" s="78">
        <f t="shared" si="59"/>
        <v>1.3392406477288375E-2</v>
      </c>
      <c r="BW65" s="79">
        <v>0</v>
      </c>
      <c r="BX65" s="40">
        <v>0.29159507255357114</v>
      </c>
      <c r="BY65" s="32">
        <v>0.50505748089951852</v>
      </c>
      <c r="BZ65" s="32">
        <v>0.1830127018922193</v>
      </c>
      <c r="CA65" s="33">
        <v>0</v>
      </c>
      <c r="CB65" s="37">
        <f t="shared" si="64"/>
        <v>0.96329467038614003</v>
      </c>
      <c r="CC65" s="37">
        <f t="shared" si="65"/>
        <v>3.6705329613859972E-2</v>
      </c>
      <c r="CD65" s="72">
        <f t="shared" si="66"/>
        <v>14.222222222222221</v>
      </c>
      <c r="CE65" s="35">
        <v>8</v>
      </c>
      <c r="CF65" s="37">
        <f t="shared" si="67"/>
        <v>0.86063445162237562</v>
      </c>
      <c r="CG65" s="37">
        <f t="shared" si="68"/>
        <v>0.90089561004257801</v>
      </c>
      <c r="CI65" s="15"/>
      <c r="CJ65" s="28"/>
      <c r="CK65" s="31">
        <v>1.8</v>
      </c>
      <c r="CL65" s="45">
        <f t="shared" si="60"/>
        <v>5.2069676383697208E-2</v>
      </c>
      <c r="CM65" s="78">
        <f t="shared" si="69"/>
        <v>6.097067835472951E-2</v>
      </c>
      <c r="CN65" s="78">
        <v>0.1204118337982675</v>
      </c>
      <c r="CO65" s="78">
        <f t="shared" si="70"/>
        <v>2.5050845889142741E-2</v>
      </c>
      <c r="CP65" s="79">
        <v>0</v>
      </c>
      <c r="CQ65" s="40">
        <v>0.29159507255357114</v>
      </c>
      <c r="CR65" s="32">
        <v>0.50505748089951852</v>
      </c>
      <c r="CS65" s="32">
        <v>0.1830127018922193</v>
      </c>
      <c r="CT65" s="33">
        <v>0</v>
      </c>
      <c r="CV65" s="25"/>
      <c r="CW65" s="47"/>
      <c r="CX65" s="53">
        <v>1.8</v>
      </c>
      <c r="CY65" s="45">
        <f t="shared" si="71"/>
        <v>5.5844010230179042E-2</v>
      </c>
      <c r="CZ65" s="78">
        <f t="shared" si="72"/>
        <v>5.6238158567774942E-2</v>
      </c>
      <c r="DA65" s="50">
        <v>0.11840000000000001</v>
      </c>
      <c r="DB65" s="78">
        <f t="shared" si="73"/>
        <v>8.4122762148337617E-3</v>
      </c>
      <c r="DC65" s="51">
        <v>0</v>
      </c>
      <c r="DD65" s="40">
        <v>0.29159507255357114</v>
      </c>
      <c r="DE65" s="32">
        <v>0.50505748089951852</v>
      </c>
      <c r="DF65" s="32">
        <v>0.1830127018922193</v>
      </c>
      <c r="DG65" s="33">
        <v>0</v>
      </c>
      <c r="DI65" s="25"/>
      <c r="DJ65" s="47"/>
      <c r="DK65" s="53">
        <v>1.8</v>
      </c>
      <c r="DL65" s="49">
        <v>5.4600000000000003E-2</v>
      </c>
      <c r="DM65" s="50">
        <v>5.7500000000000002E-2</v>
      </c>
      <c r="DN65" s="50">
        <v>0.11840000000000001</v>
      </c>
      <c r="DO65" s="50">
        <v>1.6799999999999999E-2</v>
      </c>
      <c r="DP65" s="51">
        <v>0</v>
      </c>
      <c r="DQ65" s="40">
        <v>0.29159507255357114</v>
      </c>
      <c r="DR65" s="32">
        <v>0.50505748089951852</v>
      </c>
      <c r="DS65" s="32">
        <v>0.1830127018922193</v>
      </c>
      <c r="DT65" s="33">
        <v>0</v>
      </c>
    </row>
    <row r="66" spans="1:124" ht="12" customHeight="1" x14ac:dyDescent="0.2">
      <c r="A66" s="1"/>
      <c r="B66" s="25"/>
      <c r="C66" s="47"/>
      <c r="D66" s="68">
        <v>1.9</v>
      </c>
      <c r="E66" s="85">
        <f t="shared" si="2"/>
        <v>5.7099999999999998E-2</v>
      </c>
      <c r="F66" s="85">
        <f t="shared" si="3"/>
        <v>6.5100000000000005E-2</v>
      </c>
      <c r="G66" s="85">
        <f t="shared" si="4"/>
        <v>0.11990000000000001</v>
      </c>
      <c r="H66" s="85">
        <f t="shared" si="5"/>
        <v>2.4830000000000001E-2</v>
      </c>
      <c r="I66" s="85">
        <f t="shared" si="6"/>
        <v>0</v>
      </c>
      <c r="J66" s="85">
        <f t="shared" si="7"/>
        <v>0.29551245840782736</v>
      </c>
      <c r="K66" s="85">
        <f t="shared" si="8"/>
        <v>0.51184259223194184</v>
      </c>
      <c r="L66" s="85">
        <f t="shared" si="9"/>
        <v>0.1830127018922193</v>
      </c>
      <c r="M66" s="85">
        <f t="shared" si="10"/>
        <v>0</v>
      </c>
      <c r="N66" s="1"/>
      <c r="P66" s="15"/>
      <c r="Q66" s="28"/>
      <c r="R66" s="31">
        <v>1.9</v>
      </c>
      <c r="S66" s="37">
        <v>5.7099999999999998E-2</v>
      </c>
      <c r="T66" s="32">
        <v>6.5100000000000005E-2</v>
      </c>
      <c r="U66" s="32">
        <v>0.11990000000000001</v>
      </c>
      <c r="V66" s="32">
        <v>2.4830000000000001E-2</v>
      </c>
      <c r="W66" s="30">
        <v>0</v>
      </c>
      <c r="X66" s="40">
        <v>0.29551245840782736</v>
      </c>
      <c r="Y66" s="32">
        <v>0.51184259223194184</v>
      </c>
      <c r="Z66" s="32">
        <v>0.1830127018922193</v>
      </c>
      <c r="AA66" s="33">
        <v>0</v>
      </c>
      <c r="AC66" s="15"/>
      <c r="AD66" s="28"/>
      <c r="AE66" s="31">
        <v>1.9</v>
      </c>
      <c r="AF66" s="37">
        <v>5.7500000000000002E-2</v>
      </c>
      <c r="AG66" s="32">
        <f>1/17.4</f>
        <v>5.7471264367816098E-2</v>
      </c>
      <c r="AH66" s="32">
        <f>1/8.3</f>
        <v>0.12048192771084336</v>
      </c>
      <c r="AI66" s="32">
        <f>1/59</f>
        <v>1.6949152542372881E-2</v>
      </c>
      <c r="AJ66" s="30">
        <v>0</v>
      </c>
      <c r="AK66" s="40">
        <v>0.29551245840782736</v>
      </c>
      <c r="AL66" s="32">
        <v>0.51184259223194184</v>
      </c>
      <c r="AM66" s="32">
        <v>0.1830127018922193</v>
      </c>
      <c r="AN66" s="33">
        <v>0</v>
      </c>
      <c r="AP66" s="15"/>
      <c r="AQ66" s="28"/>
      <c r="AR66" s="31">
        <v>1.9</v>
      </c>
      <c r="AS66" s="45">
        <f t="shared" si="61"/>
        <v>5.5199999999999999E-2</v>
      </c>
      <c r="AT66" s="32">
        <f>1/16.4</f>
        <v>6.0975609756097567E-2</v>
      </c>
      <c r="AU66" s="32">
        <f>1/8.3</f>
        <v>0.12048192771084336</v>
      </c>
      <c r="AV66" s="32">
        <f t="shared" si="74"/>
        <v>2.3529411764705882E-2</v>
      </c>
      <c r="AW66" s="30">
        <v>0</v>
      </c>
      <c r="AX66" s="40">
        <v>0.29551245840782736</v>
      </c>
      <c r="AY66" s="32">
        <v>0.51184259223194184</v>
      </c>
      <c r="AZ66" s="32">
        <v>0.1830127018922193</v>
      </c>
      <c r="BA66" s="33">
        <v>0</v>
      </c>
      <c r="BC66" s="25"/>
      <c r="BD66" s="47"/>
      <c r="BE66" s="53">
        <v>1.9</v>
      </c>
      <c r="BF66" s="49">
        <v>5.6038030000000003E-2</v>
      </c>
      <c r="BG66" s="50">
        <v>5.8599999999999999E-2</v>
      </c>
      <c r="BH66" s="50">
        <v>0.1203</v>
      </c>
      <c r="BI66" s="50">
        <v>1.5883999999999999E-2</v>
      </c>
      <c r="BJ66" s="51">
        <v>0</v>
      </c>
      <c r="BK66" s="40">
        <v>0.29551245840782736</v>
      </c>
      <c r="BL66" s="32">
        <v>0.51184259223194184</v>
      </c>
      <c r="BM66" s="32">
        <v>0.1830127018922193</v>
      </c>
      <c r="BN66" s="33">
        <v>0</v>
      </c>
      <c r="BP66" s="15"/>
      <c r="BQ66" s="28"/>
      <c r="BR66" s="31">
        <v>1.9</v>
      </c>
      <c r="BS66" s="84">
        <f t="shared" si="62"/>
        <v>5.5206376991482099E-2</v>
      </c>
      <c r="BT66" s="78">
        <f t="shared" si="58"/>
        <v>5.9624393008065484E-2</v>
      </c>
      <c r="BU66" s="78">
        <f t="shared" si="63"/>
        <v>0.12127757387154652</v>
      </c>
      <c r="BV66" s="78">
        <f t="shared" si="59"/>
        <v>1.2234100164317365E-2</v>
      </c>
      <c r="BW66" s="79">
        <v>0</v>
      </c>
      <c r="BX66" s="40">
        <v>0.29551245840782736</v>
      </c>
      <c r="BY66" s="32">
        <v>0.51184259223194184</v>
      </c>
      <c r="BZ66" s="32">
        <v>0.1830127018922193</v>
      </c>
      <c r="CA66" s="33">
        <v>0</v>
      </c>
      <c r="CB66" s="37">
        <f t="shared" si="64"/>
        <v>0.97022059097237212</v>
      </c>
      <c r="CC66" s="37">
        <f t="shared" si="65"/>
        <v>2.9779409027627879E-2</v>
      </c>
      <c r="CD66" s="72">
        <f t="shared" si="66"/>
        <v>14.222222222222221</v>
      </c>
      <c r="CE66" s="35">
        <v>8</v>
      </c>
      <c r="CF66" s="37">
        <f t="shared" si="67"/>
        <v>0.87401914071515252</v>
      </c>
      <c r="CG66" s="37">
        <f t="shared" si="68"/>
        <v>0.91041361117521946</v>
      </c>
      <c r="CI66" s="15"/>
      <c r="CJ66" s="28"/>
      <c r="CK66" s="31">
        <v>1.9</v>
      </c>
      <c r="CL66" s="45">
        <f t="shared" si="60"/>
        <v>5.2998121911822814E-2</v>
      </c>
      <c r="CM66" s="78">
        <f t="shared" si="69"/>
        <v>6.2071213040928955E-2</v>
      </c>
      <c r="CN66" s="78">
        <v>0.12127757387154652</v>
      </c>
      <c r="CO66" s="78">
        <f t="shared" si="70"/>
        <v>2.4158978765930463E-2</v>
      </c>
      <c r="CP66" s="79">
        <v>0</v>
      </c>
      <c r="CQ66" s="40">
        <v>0.29551245840782736</v>
      </c>
      <c r="CR66" s="32">
        <v>0.51184259223194184</v>
      </c>
      <c r="CS66" s="32">
        <v>0.1830127018922193</v>
      </c>
      <c r="CT66" s="33">
        <v>0</v>
      </c>
      <c r="CV66" s="25"/>
      <c r="CW66" s="47"/>
      <c r="CX66" s="53">
        <v>1.9</v>
      </c>
      <c r="CY66" s="45">
        <f t="shared" si="71"/>
        <v>5.7327907928388752E-2</v>
      </c>
      <c r="CZ66" s="78">
        <f t="shared" si="72"/>
        <v>5.7511406649616376E-2</v>
      </c>
      <c r="DA66" s="50">
        <v>0.12029999999999999</v>
      </c>
      <c r="DB66" s="78">
        <f t="shared" si="73"/>
        <v>7.2572890025575446E-3</v>
      </c>
      <c r="DC66" s="51">
        <v>0</v>
      </c>
      <c r="DD66" s="40">
        <v>0.29551245840782736</v>
      </c>
      <c r="DE66" s="32">
        <v>0.51184259223194184</v>
      </c>
      <c r="DF66" s="32">
        <v>0.1830127018922193</v>
      </c>
      <c r="DG66" s="33">
        <v>0</v>
      </c>
      <c r="DI66" s="25"/>
      <c r="DJ66" s="47"/>
      <c r="DK66" s="53">
        <v>1.9</v>
      </c>
      <c r="DL66" s="49">
        <v>5.5999999999999994E-2</v>
      </c>
      <c r="DM66" s="50">
        <v>5.8600000000000006E-2</v>
      </c>
      <c r="DN66" s="50">
        <v>0.12029999999999999</v>
      </c>
      <c r="DO66" s="50">
        <v>1.5900000000000001E-2</v>
      </c>
      <c r="DP66" s="51">
        <v>0</v>
      </c>
      <c r="DQ66" s="40">
        <v>0.29551245840782736</v>
      </c>
      <c r="DR66" s="32">
        <v>0.51184259223194184</v>
      </c>
      <c r="DS66" s="32">
        <v>0.1830127018922193</v>
      </c>
      <c r="DT66" s="33">
        <v>0</v>
      </c>
    </row>
    <row r="67" spans="1:124" ht="12" customHeight="1" x14ac:dyDescent="0.2">
      <c r="A67" s="1"/>
      <c r="B67" s="25"/>
      <c r="C67" s="47"/>
      <c r="D67" s="68">
        <v>2</v>
      </c>
      <c r="E67" s="85">
        <f t="shared" si="2"/>
        <v>5.8099999999999999E-2</v>
      </c>
      <c r="F67" s="85">
        <f t="shared" si="3"/>
        <v>6.615E-2</v>
      </c>
      <c r="G67" s="85">
        <f t="shared" si="4"/>
        <v>0.1211</v>
      </c>
      <c r="H67" s="85">
        <f t="shared" si="5"/>
        <v>2.4649999999999998E-2</v>
      </c>
      <c r="I67" s="85">
        <f t="shared" si="6"/>
        <v>0</v>
      </c>
      <c r="J67" s="85">
        <f t="shared" si="7"/>
        <v>0.29903810567665789</v>
      </c>
      <c r="K67" s="85">
        <f t="shared" si="8"/>
        <v>0.51794919243112281</v>
      </c>
      <c r="L67" s="85">
        <f t="shared" si="9"/>
        <v>0.1830127018922193</v>
      </c>
      <c r="M67" s="85">
        <f t="shared" si="10"/>
        <v>0</v>
      </c>
      <c r="N67" s="1"/>
      <c r="P67" s="15"/>
      <c r="Q67" s="28"/>
      <c r="R67" s="31">
        <v>2</v>
      </c>
      <c r="S67" s="37">
        <v>5.8099999999999999E-2</v>
      </c>
      <c r="T67" s="32">
        <v>6.615E-2</v>
      </c>
      <c r="U67" s="32">
        <v>0.1211</v>
      </c>
      <c r="V67" s="32">
        <v>2.4649999999999998E-2</v>
      </c>
      <c r="W67" s="30">
        <v>0</v>
      </c>
      <c r="X67" s="40">
        <v>0.29903810567665789</v>
      </c>
      <c r="Y67" s="32">
        <v>0.51794919243112281</v>
      </c>
      <c r="Z67" s="32">
        <v>0.1830127018922193</v>
      </c>
      <c r="AA67" s="33">
        <v>0</v>
      </c>
      <c r="AC67" s="15"/>
      <c r="AD67" s="28"/>
      <c r="AE67" s="31">
        <v>2</v>
      </c>
      <c r="AF67" s="37">
        <v>5.8500000000000003E-2</v>
      </c>
      <c r="AG67" s="32">
        <f>1/17.1</f>
        <v>5.8479532163742687E-2</v>
      </c>
      <c r="AH67" s="32">
        <f>1/8.3</f>
        <v>0.12048192771084336</v>
      </c>
      <c r="AI67" s="32">
        <f>1/59.2</f>
        <v>1.6891891891891889E-2</v>
      </c>
      <c r="AJ67" s="30">
        <v>0</v>
      </c>
      <c r="AK67" s="40">
        <v>0.29903810567665789</v>
      </c>
      <c r="AL67" s="32">
        <v>0.51794919243112281</v>
      </c>
      <c r="AM67" s="32">
        <v>0.1830127018922193</v>
      </c>
      <c r="AN67" s="33">
        <v>0</v>
      </c>
      <c r="AP67" s="15"/>
      <c r="AQ67" s="28"/>
      <c r="AR67" s="31">
        <v>2</v>
      </c>
      <c r="AS67" s="45">
        <f t="shared" si="61"/>
        <v>5.6160000000000002E-2</v>
      </c>
      <c r="AT67" s="32">
        <f>1/16.2</f>
        <v>6.1728395061728399E-2</v>
      </c>
      <c r="AU67" s="32">
        <f>1/8.3</f>
        <v>0.12048192771084336</v>
      </c>
      <c r="AV67" s="32">
        <f t="shared" si="74"/>
        <v>2.3529411764705882E-2</v>
      </c>
      <c r="AW67" s="30">
        <v>0</v>
      </c>
      <c r="AX67" s="40">
        <v>0.29903810567665789</v>
      </c>
      <c r="AY67" s="32">
        <v>0.51794919243112281</v>
      </c>
      <c r="AZ67" s="32">
        <v>0.1830127018922193</v>
      </c>
      <c r="BA67" s="33">
        <v>0</v>
      </c>
      <c r="BC67" s="25"/>
      <c r="BD67" s="47"/>
      <c r="BE67" s="53">
        <v>2</v>
      </c>
      <c r="BF67" s="49">
        <v>5.7599999999999998E-2</v>
      </c>
      <c r="BG67" s="50">
        <v>5.9400000000000001E-2</v>
      </c>
      <c r="BH67" s="50">
        <v>0.12130000000000001</v>
      </c>
      <c r="BI67" s="50">
        <v>1.4800000000000001E-2</v>
      </c>
      <c r="BJ67" s="51">
        <v>0</v>
      </c>
      <c r="BK67" s="40">
        <v>0.29903810567665789</v>
      </c>
      <c r="BL67" s="32">
        <v>0.51794919243112281</v>
      </c>
      <c r="BM67" s="32">
        <v>0.1830127018922193</v>
      </c>
      <c r="BN67" s="33">
        <v>0</v>
      </c>
      <c r="BP67" s="15"/>
      <c r="BQ67" s="28"/>
      <c r="BR67" s="31">
        <v>2</v>
      </c>
      <c r="BS67" s="84">
        <f t="shared" si="62"/>
        <v>5.6018243109260402E-2</v>
      </c>
      <c r="BT67" s="78">
        <f t="shared" si="58"/>
        <v>6.0754852022605589E-2</v>
      </c>
      <c r="BU67" s="78">
        <f t="shared" si="63"/>
        <v>0.12195121951219512</v>
      </c>
      <c r="BV67" s="78">
        <f t="shared" si="59"/>
        <v>1.120364862185208E-2</v>
      </c>
      <c r="BW67" s="79">
        <v>0</v>
      </c>
      <c r="BX67" s="40">
        <v>0.29903810567665789</v>
      </c>
      <c r="BY67" s="32">
        <v>0.51794919243112281</v>
      </c>
      <c r="BZ67" s="32">
        <v>0.1830127018922193</v>
      </c>
      <c r="CA67" s="33">
        <v>0</v>
      </c>
      <c r="CB67" s="37">
        <f t="shared" si="64"/>
        <v>0.97560975609756095</v>
      </c>
      <c r="CC67" s="37">
        <f t="shared" si="65"/>
        <v>2.4390243902439046E-2</v>
      </c>
      <c r="CD67" s="72">
        <f t="shared" si="66"/>
        <v>14.222222222222221</v>
      </c>
      <c r="CE67" s="35">
        <v>8</v>
      </c>
      <c r="CF67" s="37">
        <f t="shared" si="67"/>
        <v>0.88567073170731703</v>
      </c>
      <c r="CG67" s="37">
        <f t="shared" si="68"/>
        <v>0.91869918699186981</v>
      </c>
      <c r="CI67" s="15"/>
      <c r="CJ67" s="28"/>
      <c r="CK67" s="31">
        <v>2</v>
      </c>
      <c r="CL67" s="45">
        <f t="shared" si="60"/>
        <v>5.3777513384889987E-2</v>
      </c>
      <c r="CM67" s="78">
        <f t="shared" si="69"/>
        <v>6.2995581746976004E-2</v>
      </c>
      <c r="CN67" s="78">
        <v>0.12195121951219512</v>
      </c>
      <c r="CO67" s="78">
        <f t="shared" si="70"/>
        <v>2.3354619026373199E-2</v>
      </c>
      <c r="CP67" s="79">
        <v>0</v>
      </c>
      <c r="CQ67" s="40">
        <v>0.29903810567665789</v>
      </c>
      <c r="CR67" s="32">
        <v>0.51794919243112281</v>
      </c>
      <c r="CS67" s="32">
        <v>0.1830127018922193</v>
      </c>
      <c r="CT67" s="33">
        <v>0</v>
      </c>
      <c r="CV67" s="25"/>
      <c r="CW67" s="47"/>
      <c r="CX67" s="53">
        <v>2</v>
      </c>
      <c r="CY67" s="45">
        <f t="shared" si="71"/>
        <v>5.8925831202046038E-2</v>
      </c>
      <c r="CZ67" s="78">
        <f t="shared" si="72"/>
        <v>5.8496163682864456E-2</v>
      </c>
      <c r="DA67" s="50">
        <v>0.12130000000000001</v>
      </c>
      <c r="DB67" s="78">
        <f t="shared" si="73"/>
        <v>6.0255754475703341E-3</v>
      </c>
      <c r="DC67" s="51">
        <v>0</v>
      </c>
      <c r="DD67" s="40">
        <v>0.29903810567665789</v>
      </c>
      <c r="DE67" s="32">
        <v>0.51794919243112281</v>
      </c>
      <c r="DF67" s="32">
        <v>0.1830127018922193</v>
      </c>
      <c r="DG67" s="33">
        <v>0</v>
      </c>
      <c r="DI67" s="25"/>
      <c r="DJ67" s="47"/>
      <c r="DK67" s="53">
        <v>2</v>
      </c>
      <c r="DL67" s="49">
        <v>5.7599999999999998E-2</v>
      </c>
      <c r="DM67" s="50">
        <v>5.9400000000000001E-2</v>
      </c>
      <c r="DN67" s="50">
        <v>0.12130000000000001</v>
      </c>
      <c r="DO67" s="50">
        <v>1.4800000000000001E-2</v>
      </c>
      <c r="DP67" s="51">
        <v>0</v>
      </c>
      <c r="DQ67" s="40">
        <v>0.29903810567665789</v>
      </c>
      <c r="DR67" s="32">
        <v>0.51794919243112281</v>
      </c>
      <c r="DS67" s="32">
        <v>0.1830127018922193</v>
      </c>
      <c r="DT67" s="33">
        <v>0</v>
      </c>
    </row>
    <row r="68" spans="1:124" ht="12" customHeight="1" x14ac:dyDescent="0.2">
      <c r="A68" s="1"/>
      <c r="B68" s="54"/>
      <c r="C68" s="55"/>
      <c r="D68" s="22" t="s">
        <v>128</v>
      </c>
      <c r="E68" s="85">
        <f t="shared" si="2"/>
        <v>6.2405200433369466E-2</v>
      </c>
      <c r="F68" s="85">
        <f t="shared" si="3"/>
        <v>7.03125E-2</v>
      </c>
      <c r="G68" s="85">
        <f t="shared" si="4"/>
        <v>0.125</v>
      </c>
      <c r="H68" s="85">
        <f t="shared" si="5"/>
        <v>2.4649999999999998E-2</v>
      </c>
      <c r="I68" s="85">
        <f t="shared" si="6"/>
        <v>0</v>
      </c>
      <c r="J68" s="85">
        <f t="shared" si="7"/>
        <v>0.375</v>
      </c>
      <c r="K68" s="85">
        <f t="shared" si="8"/>
        <v>0.625</v>
      </c>
      <c r="L68" s="85">
        <f t="shared" si="9"/>
        <v>0.1830127018922193</v>
      </c>
      <c r="M68" s="85">
        <f t="shared" si="10"/>
        <v>0</v>
      </c>
      <c r="N68" s="1"/>
      <c r="P68" s="17"/>
      <c r="Q68" s="29"/>
      <c r="R68" s="22" t="s">
        <v>128</v>
      </c>
      <c r="S68" s="200">
        <v>6.2405200433369466E-2</v>
      </c>
      <c r="T68" s="32">
        <v>7.03125E-2</v>
      </c>
      <c r="U68" s="32">
        <v>0.125</v>
      </c>
      <c r="V68" s="32">
        <f>V67</f>
        <v>2.4649999999999998E-2</v>
      </c>
      <c r="W68" s="191">
        <f>W67</f>
        <v>0</v>
      </c>
      <c r="X68" s="41">
        <v>0.375</v>
      </c>
      <c r="Y68" s="32">
        <v>0.625</v>
      </c>
      <c r="Z68" s="32">
        <v>0.1830127018922193</v>
      </c>
      <c r="AA68" s="33">
        <v>0</v>
      </c>
      <c r="AC68" s="17"/>
      <c r="AD68" s="29"/>
      <c r="AE68" s="22" t="s">
        <v>128</v>
      </c>
      <c r="AF68" s="38">
        <v>6.500541711809317E-2</v>
      </c>
      <c r="AG68" s="32">
        <v>7.03125E-2</v>
      </c>
      <c r="AH68" s="32">
        <v>0.125</v>
      </c>
      <c r="AI68" s="32">
        <f>AI67</f>
        <v>1.6891891891891889E-2</v>
      </c>
      <c r="AJ68" s="191">
        <f>AJ67</f>
        <v>0</v>
      </c>
      <c r="AK68" s="41">
        <v>0.375</v>
      </c>
      <c r="AL68" s="32">
        <v>0.625</v>
      </c>
      <c r="AM68" s="32">
        <v>0.1830127018922193</v>
      </c>
      <c r="AN68" s="33">
        <v>0</v>
      </c>
      <c r="AP68" s="17"/>
      <c r="AQ68" s="29"/>
      <c r="AR68" s="22" t="s">
        <v>128</v>
      </c>
      <c r="AS68" s="200">
        <v>6.2405200433369466E-2</v>
      </c>
      <c r="AT68" s="32">
        <v>7.03125E-2</v>
      </c>
      <c r="AU68" s="32">
        <v>0.125</v>
      </c>
      <c r="AV68" s="32">
        <f>AV67</f>
        <v>2.3529411764705882E-2</v>
      </c>
      <c r="AW68" s="92">
        <f>AW67</f>
        <v>0</v>
      </c>
      <c r="AX68" s="41">
        <v>0.375</v>
      </c>
      <c r="AY68" s="32">
        <v>0.625</v>
      </c>
      <c r="AZ68" s="32">
        <v>0.1830127018922193</v>
      </c>
      <c r="BA68" s="33">
        <v>0</v>
      </c>
      <c r="BC68" s="54"/>
      <c r="BD68" s="55"/>
      <c r="BE68" s="22" t="s">
        <v>128</v>
      </c>
      <c r="BF68" s="200">
        <v>6.3542795232936072E-2</v>
      </c>
      <c r="BG68" s="32">
        <v>7.03125E-2</v>
      </c>
      <c r="BH68" s="32">
        <v>0.125</v>
      </c>
      <c r="BI68" s="50">
        <f>BI67</f>
        <v>1.4800000000000001E-2</v>
      </c>
      <c r="BJ68" s="99">
        <f>BJ67</f>
        <v>0</v>
      </c>
      <c r="BK68" s="41">
        <v>0.375</v>
      </c>
      <c r="BL68" s="32">
        <v>0.625</v>
      </c>
      <c r="BM68" s="32">
        <v>0.1830127018922193</v>
      </c>
      <c r="BN68" s="33">
        <v>0</v>
      </c>
      <c r="BP68" s="17"/>
      <c r="BQ68" s="29"/>
      <c r="BR68" s="22" t="s">
        <v>128</v>
      </c>
      <c r="BS68" s="38">
        <v>6.500541711809317E-2</v>
      </c>
      <c r="BT68" s="32">
        <v>7.03125E-2</v>
      </c>
      <c r="BU68" s="32">
        <v>0.125</v>
      </c>
      <c r="BV68" s="32">
        <f>BV67</f>
        <v>1.120364862185208E-2</v>
      </c>
      <c r="BW68" s="30">
        <v>0</v>
      </c>
      <c r="BX68" s="41">
        <v>0.375</v>
      </c>
      <c r="BY68" s="32">
        <v>0.625</v>
      </c>
      <c r="BZ68" s="32">
        <v>0.1830127018922193</v>
      </c>
      <c r="CA68" s="33">
        <v>0</v>
      </c>
      <c r="CB68" s="36"/>
      <c r="CC68" s="36"/>
      <c r="CD68" s="36"/>
      <c r="CE68" s="36"/>
      <c r="CF68" s="36"/>
      <c r="CG68" s="36"/>
      <c r="CI68" s="17"/>
      <c r="CJ68" s="29"/>
      <c r="CK68" s="22" t="s">
        <v>128</v>
      </c>
      <c r="CL68" s="200">
        <v>6.2405200433369466E-2</v>
      </c>
      <c r="CM68" s="32">
        <v>7.03125E-2</v>
      </c>
      <c r="CN68" s="32">
        <v>0.125</v>
      </c>
      <c r="CO68" s="50">
        <f>CO67</f>
        <v>2.3354619026373199E-2</v>
      </c>
      <c r="CP68" s="99">
        <f>CP67</f>
        <v>0</v>
      </c>
      <c r="CQ68" s="41">
        <v>0.375</v>
      </c>
      <c r="CR68" s="32">
        <v>0.625</v>
      </c>
      <c r="CS68" s="32">
        <v>0.1830127018922193</v>
      </c>
      <c r="CT68" s="33">
        <v>0</v>
      </c>
      <c r="CV68" s="54"/>
      <c r="CW68" s="55"/>
      <c r="CX68" s="22" t="s">
        <v>128</v>
      </c>
      <c r="CY68" s="38">
        <v>6.500541711809317E-2</v>
      </c>
      <c r="CZ68" s="32">
        <v>7.03125E-2</v>
      </c>
      <c r="DA68" s="32">
        <v>0.125</v>
      </c>
      <c r="DB68" s="50">
        <f>DB67</f>
        <v>6.0255754475703341E-3</v>
      </c>
      <c r="DC68" s="99">
        <f>DC67</f>
        <v>0</v>
      </c>
      <c r="DD68" s="41">
        <v>0.375</v>
      </c>
      <c r="DE68" s="32">
        <v>0.625</v>
      </c>
      <c r="DF68" s="32">
        <v>0.1830127018922193</v>
      </c>
      <c r="DG68" s="33">
        <v>0</v>
      </c>
      <c r="DI68" s="54"/>
      <c r="DJ68" s="55"/>
      <c r="DK68" s="22" t="s">
        <v>128</v>
      </c>
      <c r="DL68" s="200">
        <v>6.3542795232936072E-2</v>
      </c>
      <c r="DM68" s="32">
        <v>7.03125E-2</v>
      </c>
      <c r="DN68" s="32">
        <v>0.125</v>
      </c>
      <c r="DO68" s="50">
        <f>DO67</f>
        <v>1.4800000000000001E-2</v>
      </c>
      <c r="DP68" s="99">
        <f>DP67</f>
        <v>0</v>
      </c>
      <c r="DQ68" s="41">
        <v>0.375</v>
      </c>
      <c r="DR68" s="32">
        <v>0.625</v>
      </c>
      <c r="DS68" s="32">
        <v>0.1830127018922193</v>
      </c>
      <c r="DT68" s="33">
        <v>0</v>
      </c>
    </row>
    <row r="69" spans="1:124" ht="12" customHeight="1" x14ac:dyDescent="0.3">
      <c r="A69" s="1"/>
      <c r="B69" s="25"/>
      <c r="C69" s="47"/>
      <c r="D69" s="20" t="s">
        <v>93</v>
      </c>
      <c r="E69" s="85" t="str">
        <f t="shared" si="2"/>
        <v>fmáx</v>
      </c>
      <c r="F69" s="85" t="str">
        <f t="shared" si="3"/>
        <v>mamáx</v>
      </c>
      <c r="G69" s="85" t="str">
        <f t="shared" si="4"/>
        <v>maemín</v>
      </c>
      <c r="H69" s="85" t="str">
        <f t="shared" si="5"/>
        <v>mbmáx</v>
      </c>
      <c r="I69" s="85" t="str">
        <f t="shared" si="6"/>
        <v>mbemín</v>
      </c>
      <c r="J69" s="85" t="str">
        <f t="shared" si="7"/>
        <v>ra</v>
      </c>
      <c r="K69" s="85" t="str">
        <f t="shared" si="8"/>
        <v>rae</v>
      </c>
      <c r="L69" s="85" t="str">
        <f t="shared" si="9"/>
        <v>rb</v>
      </c>
      <c r="M69" s="85" t="str">
        <f t="shared" si="10"/>
        <v>rbe</v>
      </c>
      <c r="N69" s="1"/>
      <c r="P69" s="483" t="s">
        <v>27</v>
      </c>
      <c r="Q69" s="484"/>
      <c r="R69" s="74" t="s">
        <v>93</v>
      </c>
      <c r="S69" s="20" t="s">
        <v>131</v>
      </c>
      <c r="T69" s="75" t="s">
        <v>132</v>
      </c>
      <c r="U69" s="75" t="s">
        <v>120</v>
      </c>
      <c r="V69" s="75" t="s">
        <v>117</v>
      </c>
      <c r="W69" s="76" t="s">
        <v>121</v>
      </c>
      <c r="X69" s="75" t="s">
        <v>111</v>
      </c>
      <c r="Y69" s="75" t="s">
        <v>112</v>
      </c>
      <c r="Z69" s="75" t="s">
        <v>113</v>
      </c>
      <c r="AA69" s="76" t="s">
        <v>114</v>
      </c>
      <c r="AC69" s="483" t="s">
        <v>27</v>
      </c>
      <c r="AD69" s="484"/>
      <c r="AE69" s="74" t="s">
        <v>93</v>
      </c>
      <c r="AF69" s="20" t="s">
        <v>115</v>
      </c>
      <c r="AG69" s="75" t="s">
        <v>116</v>
      </c>
      <c r="AH69" s="75" t="s">
        <v>120</v>
      </c>
      <c r="AI69" s="75" t="s">
        <v>117</v>
      </c>
      <c r="AJ69" s="76" t="s">
        <v>121</v>
      </c>
      <c r="AK69" s="75" t="s">
        <v>111</v>
      </c>
      <c r="AL69" s="75" t="s">
        <v>112</v>
      </c>
      <c r="AM69" s="75" t="s">
        <v>113</v>
      </c>
      <c r="AN69" s="76" t="s">
        <v>114</v>
      </c>
      <c r="AP69" s="483" t="s">
        <v>27</v>
      </c>
      <c r="AQ69" s="484"/>
      <c r="AR69" s="74" t="s">
        <v>93</v>
      </c>
      <c r="AS69" s="20" t="s">
        <v>115</v>
      </c>
      <c r="AT69" s="75" t="s">
        <v>116</v>
      </c>
      <c r="AU69" s="75" t="s">
        <v>120</v>
      </c>
      <c r="AV69" s="75" t="s">
        <v>117</v>
      </c>
      <c r="AW69" s="76" t="s">
        <v>121</v>
      </c>
      <c r="AX69" s="75" t="s">
        <v>111</v>
      </c>
      <c r="AY69" s="75" t="s">
        <v>112</v>
      </c>
      <c r="AZ69" s="75" t="s">
        <v>113</v>
      </c>
      <c r="BA69" s="76" t="s">
        <v>114</v>
      </c>
      <c r="BC69" s="483" t="s">
        <v>27</v>
      </c>
      <c r="BD69" s="484"/>
      <c r="BE69" s="77" t="s">
        <v>93</v>
      </c>
      <c r="BF69" s="20" t="s">
        <v>115</v>
      </c>
      <c r="BG69" s="75" t="s">
        <v>116</v>
      </c>
      <c r="BH69" s="75" t="s">
        <v>119</v>
      </c>
      <c r="BI69" s="75" t="s">
        <v>141</v>
      </c>
      <c r="BJ69" s="76" t="s">
        <v>118</v>
      </c>
      <c r="BK69" s="75" t="s">
        <v>111</v>
      </c>
      <c r="BL69" s="75" t="s">
        <v>112</v>
      </c>
      <c r="BM69" s="75" t="s">
        <v>113</v>
      </c>
      <c r="BN69" s="76" t="s">
        <v>114</v>
      </c>
      <c r="BP69" s="483" t="s">
        <v>27</v>
      </c>
      <c r="BQ69" s="484"/>
      <c r="BR69" s="74" t="s">
        <v>93</v>
      </c>
      <c r="BS69" s="20" t="s">
        <v>115</v>
      </c>
      <c r="BT69" s="75" t="s">
        <v>116</v>
      </c>
      <c r="BU69" s="75" t="s">
        <v>119</v>
      </c>
      <c r="BV69" s="75" t="s">
        <v>141</v>
      </c>
      <c r="BW69" s="76" t="s">
        <v>118</v>
      </c>
      <c r="BX69" s="75" t="s">
        <v>111</v>
      </c>
      <c r="BY69" s="75" t="s">
        <v>112</v>
      </c>
      <c r="BZ69" s="75" t="s">
        <v>113</v>
      </c>
      <c r="CA69" s="76" t="s">
        <v>114</v>
      </c>
      <c r="CB69" s="74" t="s">
        <v>122</v>
      </c>
      <c r="CC69" s="74" t="s">
        <v>123</v>
      </c>
      <c r="CD69" s="81" t="s">
        <v>124</v>
      </c>
      <c r="CE69" s="81" t="s">
        <v>125</v>
      </c>
      <c r="CF69" s="74" t="s">
        <v>126</v>
      </c>
      <c r="CG69" s="74" t="s">
        <v>127</v>
      </c>
      <c r="CI69" s="483" t="s">
        <v>27</v>
      </c>
      <c r="CJ69" s="484"/>
      <c r="CK69" s="74" t="s">
        <v>93</v>
      </c>
      <c r="CL69" s="20" t="s">
        <v>115</v>
      </c>
      <c r="CM69" s="75" t="s">
        <v>116</v>
      </c>
      <c r="CN69" s="75" t="s">
        <v>119</v>
      </c>
      <c r="CO69" s="75" t="s">
        <v>141</v>
      </c>
      <c r="CP69" s="76" t="s">
        <v>118</v>
      </c>
      <c r="CQ69" s="75" t="s">
        <v>111</v>
      </c>
      <c r="CR69" s="75" t="s">
        <v>112</v>
      </c>
      <c r="CS69" s="75" t="s">
        <v>113</v>
      </c>
      <c r="CT69" s="76" t="s">
        <v>114</v>
      </c>
      <c r="CV69" s="483" t="s">
        <v>27</v>
      </c>
      <c r="CW69" s="484"/>
      <c r="CX69" s="77" t="s">
        <v>93</v>
      </c>
      <c r="CY69" s="20" t="s">
        <v>115</v>
      </c>
      <c r="CZ69" s="75" t="s">
        <v>116</v>
      </c>
      <c r="DA69" s="75" t="s">
        <v>119</v>
      </c>
      <c r="DB69" s="75" t="s">
        <v>141</v>
      </c>
      <c r="DC69" s="76" t="s">
        <v>118</v>
      </c>
      <c r="DD69" s="75" t="s">
        <v>111</v>
      </c>
      <c r="DE69" s="75" t="s">
        <v>112</v>
      </c>
      <c r="DF69" s="75" t="s">
        <v>113</v>
      </c>
      <c r="DG69" s="76" t="s">
        <v>114</v>
      </c>
      <c r="DI69" s="483" t="s">
        <v>27</v>
      </c>
      <c r="DJ69" s="484"/>
      <c r="DK69" s="77" t="s">
        <v>93</v>
      </c>
      <c r="DL69" s="20" t="s">
        <v>115</v>
      </c>
      <c r="DM69" s="75" t="s">
        <v>116</v>
      </c>
      <c r="DN69" s="75" t="s">
        <v>120</v>
      </c>
      <c r="DO69" s="75" t="s">
        <v>141</v>
      </c>
      <c r="DP69" s="76" t="s">
        <v>121</v>
      </c>
      <c r="DQ69" s="75" t="s">
        <v>111</v>
      </c>
      <c r="DR69" s="75" t="s">
        <v>112</v>
      </c>
      <c r="DS69" s="75" t="s">
        <v>113</v>
      </c>
      <c r="DT69" s="76" t="s">
        <v>114</v>
      </c>
    </row>
    <row r="70" spans="1:124" ht="12" customHeight="1" x14ac:dyDescent="0.2">
      <c r="A70" s="1"/>
      <c r="B70" s="25"/>
      <c r="C70" s="47"/>
      <c r="D70" s="68">
        <v>1</v>
      </c>
      <c r="E70" s="85">
        <f t="shared" si="2"/>
        <v>2.5399999999999999E-2</v>
      </c>
      <c r="F70" s="85">
        <f t="shared" si="3"/>
        <v>3.056E-2</v>
      </c>
      <c r="G70" s="85">
        <f t="shared" si="4"/>
        <v>6.9089999999999999E-2</v>
      </c>
      <c r="H70" s="85">
        <f t="shared" si="5"/>
        <v>3.056E-2</v>
      </c>
      <c r="I70" s="85">
        <f t="shared" si="6"/>
        <v>6.9089999999999999E-2</v>
      </c>
      <c r="J70" s="85">
        <f t="shared" si="7"/>
        <v>0.1830127018922193</v>
      </c>
      <c r="K70" s="85">
        <f t="shared" si="8"/>
        <v>0.3169872981077807</v>
      </c>
      <c r="L70" s="85">
        <f t="shared" si="9"/>
        <v>0.1830127018922193</v>
      </c>
      <c r="M70" s="85">
        <f t="shared" si="10"/>
        <v>0.3169872981077807</v>
      </c>
      <c r="N70" s="1"/>
      <c r="P70" s="15"/>
      <c r="Q70" s="28"/>
      <c r="R70" s="31">
        <v>1</v>
      </c>
      <c r="S70" s="37">
        <v>2.5399999999999999E-2</v>
      </c>
      <c r="T70" s="32">
        <v>3.056E-2</v>
      </c>
      <c r="U70" s="32">
        <v>6.9089999999999999E-2</v>
      </c>
      <c r="V70" s="32">
        <v>3.056E-2</v>
      </c>
      <c r="W70" s="32">
        <v>6.9089999999999999E-2</v>
      </c>
      <c r="X70" s="40">
        <v>0.1830127018922193</v>
      </c>
      <c r="Y70" s="32">
        <v>0.3169872981077807</v>
      </c>
      <c r="Z70" s="32">
        <v>0.1830127018922193</v>
      </c>
      <c r="AA70" s="34">
        <v>0.3169872981077807</v>
      </c>
      <c r="AC70" s="15"/>
      <c r="AD70" s="28"/>
      <c r="AE70" s="31">
        <v>1</v>
      </c>
      <c r="AF70" s="37">
        <v>2.52E-2</v>
      </c>
      <c r="AG70" s="32">
        <f>1/42.7</f>
        <v>2.3419203747072598E-2</v>
      </c>
      <c r="AH70" s="32">
        <f>1/14.3</f>
        <v>6.9930069930069921E-2</v>
      </c>
      <c r="AI70" s="32">
        <f>1/40.2</f>
        <v>2.4875621890547261E-2</v>
      </c>
      <c r="AJ70" s="32">
        <f>1/14.3</f>
        <v>6.9930069930069921E-2</v>
      </c>
      <c r="AK70" s="40">
        <v>0.1830127018922193</v>
      </c>
      <c r="AL70" s="32">
        <v>0.3169872981077807</v>
      </c>
      <c r="AM70" s="32">
        <v>0.1830127018922193</v>
      </c>
      <c r="AN70" s="34">
        <v>0.3169872981077807</v>
      </c>
      <c r="AP70" s="15"/>
      <c r="AQ70" s="28"/>
      <c r="AR70" s="31">
        <v>1</v>
      </c>
      <c r="AS70" s="45">
        <f>AF70*(1-0.2^2)</f>
        <v>2.4191999999999998E-2</v>
      </c>
      <c r="AT70" s="32">
        <f>1/34.5</f>
        <v>2.8985507246376812E-2</v>
      </c>
      <c r="AU70" s="32">
        <f>1/14.3</f>
        <v>6.9930069930069921E-2</v>
      </c>
      <c r="AV70" s="32">
        <f>1/34.5</f>
        <v>2.8985507246376812E-2</v>
      </c>
      <c r="AW70" s="32">
        <f>1/14.3</f>
        <v>6.9930069930069921E-2</v>
      </c>
      <c r="AX70" s="40">
        <v>0.1830127018922193</v>
      </c>
      <c r="AY70" s="32">
        <v>0.3169872981077807</v>
      </c>
      <c r="AZ70" s="32">
        <v>0.1830127018922193</v>
      </c>
      <c r="BA70" s="34">
        <v>0.3169872981077807</v>
      </c>
      <c r="BC70" s="25"/>
      <c r="BD70" s="47"/>
      <c r="BE70" s="53">
        <v>1</v>
      </c>
      <c r="BF70" s="49">
        <v>2.46E-2</v>
      </c>
      <c r="BG70" s="50">
        <v>2.69E-2</v>
      </c>
      <c r="BH70" s="96">
        <v>6.7699999999999996E-2</v>
      </c>
      <c r="BI70" s="50">
        <v>2.69E-2</v>
      </c>
      <c r="BJ70" s="96">
        <v>6.7699999999999996E-2</v>
      </c>
      <c r="BK70" s="40">
        <v>0.1830127018922193</v>
      </c>
      <c r="BL70" s="32">
        <v>0.3169872981077807</v>
      </c>
      <c r="BM70" s="32">
        <v>0.1830127018922193</v>
      </c>
      <c r="BN70" s="34">
        <v>0.3169872981077807</v>
      </c>
      <c r="BP70" s="15"/>
      <c r="BQ70" s="28"/>
      <c r="BR70" s="31">
        <v>1</v>
      </c>
      <c r="BS70" s="84">
        <f>2*CF70*CB70/32</f>
        <v>2.392578125E-2</v>
      </c>
      <c r="BT70" s="78">
        <f t="shared" ref="BT70:BT80" si="75">CF70*CB70/CD70</f>
        <v>2.691650390625E-2</v>
      </c>
      <c r="BU70" s="78">
        <f t="shared" ref="BU70:BU80" si="76">CB70/8</f>
        <v>6.25E-2</v>
      </c>
      <c r="BV70" s="78">
        <f t="shared" ref="BV70:BV80" si="77">CG70*CC70*BR70^2/CE70</f>
        <v>2.691650390625E-2</v>
      </c>
      <c r="BW70" s="78">
        <f t="shared" ref="BW70:BW80" si="78">CC70*BR70^2/8</f>
        <v>6.25E-2</v>
      </c>
      <c r="BX70" s="40">
        <v>0.1830127018922193</v>
      </c>
      <c r="BY70" s="32">
        <v>0.3169872981077807</v>
      </c>
      <c r="BZ70" s="32">
        <v>0.1830127018922193</v>
      </c>
      <c r="CA70" s="34">
        <v>0.3169872981077807</v>
      </c>
      <c r="CB70" s="37">
        <f t="shared" ref="CB70:CB80" si="79">BR70^4/(1+BR70^4)</f>
        <v>0.5</v>
      </c>
      <c r="CC70" s="37">
        <f>1-CB70</f>
        <v>0.5</v>
      </c>
      <c r="CD70" s="72">
        <f>128/9</f>
        <v>14.222222222222221</v>
      </c>
      <c r="CE70" s="72">
        <f>128/9</f>
        <v>14.222222222222221</v>
      </c>
      <c r="CF70" s="37">
        <f t="shared" ref="CF70:CF80" si="80">1-(20*CB70)/(3*CD70*BR70^2)</f>
        <v>0.765625</v>
      </c>
      <c r="CG70" s="37">
        <f t="shared" ref="CG70:CG80" si="81">1-(20*CC70*BR70^2)/(3*CE70)</f>
        <v>0.765625</v>
      </c>
      <c r="CI70" s="15"/>
      <c r="CJ70" s="28"/>
      <c r="CK70" s="31">
        <v>1</v>
      </c>
      <c r="CL70" s="45">
        <f t="shared" ref="CL70:CL80" si="82">(1-$CJ$14^2)*BS70</f>
        <v>2.296875E-2</v>
      </c>
      <c r="CM70" s="78">
        <f>BT70+$CJ$14*BV70</f>
        <v>3.2299804687500003E-2</v>
      </c>
      <c r="CN70" s="78">
        <v>6.25E-2</v>
      </c>
      <c r="CO70" s="78">
        <f>$CJ$14*BT70+BV70</f>
        <v>3.2299804687500003E-2</v>
      </c>
      <c r="CP70" s="78">
        <v>6.25E-2</v>
      </c>
      <c r="CQ70" s="40">
        <v>0.1830127018922193</v>
      </c>
      <c r="CR70" s="32">
        <v>0.3169872981077807</v>
      </c>
      <c r="CS70" s="32">
        <v>0.1830127018922193</v>
      </c>
      <c r="CT70" s="34">
        <v>0.3169872981077807</v>
      </c>
      <c r="CV70" s="25"/>
      <c r="CW70" s="47"/>
      <c r="CX70" s="53">
        <v>1</v>
      </c>
      <c r="CY70" s="45">
        <f>(1-$CW$14^2)/(1-$CW$13^2)*BF70</f>
        <v>2.5166240409207164E-2</v>
      </c>
      <c r="CZ70" s="78">
        <f>(1/(1-$CW$13^2))*((1-$CW$13*$CW$14)*BG70+($CW$14-$CW$13)*BI70)</f>
        <v>2.3391304347826089E-2</v>
      </c>
      <c r="DA70" s="50">
        <v>6.9900000000000004E-2</v>
      </c>
      <c r="DB70" s="78">
        <f>(1/(1-$CW$13^2))*((1-$CW$13*$CW$14)*BI70+($CW$14-$CW$13)*BG70)</f>
        <v>2.3391304347826089E-2</v>
      </c>
      <c r="DC70" s="50">
        <v>6.9900000000000004E-2</v>
      </c>
      <c r="DD70" s="40">
        <v>0.1830127018922193</v>
      </c>
      <c r="DE70" s="32">
        <v>0.3169872981077807</v>
      </c>
      <c r="DF70" s="32">
        <v>0.1830127018922193</v>
      </c>
      <c r="DG70" s="34">
        <v>0.3169872981077807</v>
      </c>
      <c r="DI70" s="25"/>
      <c r="DJ70" s="47"/>
      <c r="DK70" s="53">
        <v>1</v>
      </c>
      <c r="DL70" s="49">
        <v>2.46E-2</v>
      </c>
      <c r="DM70" s="50">
        <v>2.69E-2</v>
      </c>
      <c r="DN70" s="50">
        <v>6.9900000000000004E-2</v>
      </c>
      <c r="DO70" s="50">
        <v>2.69E-2</v>
      </c>
      <c r="DP70" s="50">
        <v>6.9900000000000004E-2</v>
      </c>
      <c r="DQ70" s="40">
        <v>0.1830127018922193</v>
      </c>
      <c r="DR70" s="32">
        <v>0.3169872981077807</v>
      </c>
      <c r="DS70" s="32">
        <v>0.1830127018922193</v>
      </c>
      <c r="DT70" s="34">
        <v>0.3169872981077807</v>
      </c>
    </row>
    <row r="71" spans="1:124" ht="12" customHeight="1" x14ac:dyDescent="0.2">
      <c r="A71" s="1"/>
      <c r="B71" s="25"/>
      <c r="C71" s="47"/>
      <c r="D71" s="68">
        <v>1.1000000000000001</v>
      </c>
      <c r="E71" s="85">
        <f t="shared" si="2"/>
        <v>3.04E-2</v>
      </c>
      <c r="F71" s="85">
        <f t="shared" si="3"/>
        <v>3.61E-2</v>
      </c>
      <c r="G71" s="85">
        <f t="shared" si="4"/>
        <v>7.8109999999999999E-2</v>
      </c>
      <c r="H71" s="85">
        <f t="shared" si="5"/>
        <v>3.0599999999999999E-2</v>
      </c>
      <c r="I71" s="85">
        <f t="shared" si="6"/>
        <v>7.2779999999999997E-2</v>
      </c>
      <c r="J71" s="85">
        <f t="shared" si="7"/>
        <v>0.19965022024605741</v>
      </c>
      <c r="K71" s="85">
        <f t="shared" si="8"/>
        <v>0.34580432520848803</v>
      </c>
      <c r="L71" s="85">
        <f t="shared" si="9"/>
        <v>0.1830127018922193</v>
      </c>
      <c r="M71" s="85">
        <f t="shared" si="10"/>
        <v>0.3169872981077807</v>
      </c>
      <c r="N71" s="1"/>
      <c r="P71" s="15"/>
      <c r="Q71" s="28"/>
      <c r="R71" s="31">
        <v>1.1000000000000001</v>
      </c>
      <c r="S71" s="37">
        <v>3.04E-2</v>
      </c>
      <c r="T71" s="32">
        <v>3.61E-2</v>
      </c>
      <c r="U71" s="32">
        <v>7.8109999999999999E-2</v>
      </c>
      <c r="V71" s="32">
        <v>3.0599999999999999E-2</v>
      </c>
      <c r="W71" s="32">
        <v>7.2779999999999997E-2</v>
      </c>
      <c r="X71" s="40">
        <v>0.19965022024605741</v>
      </c>
      <c r="Y71" s="32">
        <v>0.34580432520848803</v>
      </c>
      <c r="Z71" s="32">
        <v>0.1830127018922193</v>
      </c>
      <c r="AA71" s="34">
        <v>0.3169872981077807</v>
      </c>
      <c r="AC71" s="15"/>
      <c r="AD71" s="28"/>
      <c r="AE71" s="31">
        <v>1.1000000000000001</v>
      </c>
      <c r="AF71" s="37">
        <v>3.0200000000000001E-2</v>
      </c>
      <c r="AG71" s="32">
        <f>1/35.1</f>
        <v>2.8490028490028491E-2</v>
      </c>
      <c r="AH71" s="32">
        <f>1/12.7</f>
        <v>7.874015748031496E-2</v>
      </c>
      <c r="AI71" s="32">
        <f>1/42</f>
        <v>2.3809523809523808E-2</v>
      </c>
      <c r="AJ71" s="32">
        <f>1/13.6</f>
        <v>7.3529411764705885E-2</v>
      </c>
      <c r="AK71" s="40">
        <v>0.19965022024605741</v>
      </c>
      <c r="AL71" s="32">
        <v>0.34580432520848803</v>
      </c>
      <c r="AM71" s="32">
        <v>0.1830127018922193</v>
      </c>
      <c r="AN71" s="34">
        <v>0.3169872981077807</v>
      </c>
      <c r="AP71" s="15"/>
      <c r="AQ71" s="28"/>
      <c r="AR71" s="31">
        <v>1.1000000000000001</v>
      </c>
      <c r="AS71" s="45">
        <f t="shared" ref="AS71:AS80" si="83">AF71*(1-0.2^2)</f>
        <v>2.8992E-2</v>
      </c>
      <c r="AT71" s="32">
        <f>1/30.1</f>
        <v>3.3222591362126241E-2</v>
      </c>
      <c r="AU71" s="32">
        <f>1/12.7</f>
        <v>7.874015748031496E-2</v>
      </c>
      <c r="AV71" s="32">
        <f>1/33.9</f>
        <v>2.9498525073746312E-2</v>
      </c>
      <c r="AW71" s="32">
        <f>1/13.6</f>
        <v>7.3529411764705885E-2</v>
      </c>
      <c r="AX71" s="40">
        <v>0.19965022024605741</v>
      </c>
      <c r="AY71" s="32">
        <v>0.34580432520848803</v>
      </c>
      <c r="AZ71" s="32">
        <v>0.1830127018922193</v>
      </c>
      <c r="BA71" s="34">
        <v>0.3169872981077807</v>
      </c>
      <c r="BC71" s="25"/>
      <c r="BD71" s="47"/>
      <c r="BE71" s="53">
        <v>1.1000000000000001</v>
      </c>
      <c r="BF71" s="49">
        <v>2.9428410000000009E-2</v>
      </c>
      <c r="BG71" s="50">
        <v>3.1899999999999998E-2</v>
      </c>
      <c r="BH71" s="96">
        <v>7.6300000000000007E-2</v>
      </c>
      <c r="BI71" s="50">
        <v>2.6741000000000001E-2</v>
      </c>
      <c r="BJ71" s="96">
        <v>7.1027000000000007E-2</v>
      </c>
      <c r="BK71" s="40">
        <v>0.19965022024605741</v>
      </c>
      <c r="BL71" s="32">
        <v>0.34580432520848803</v>
      </c>
      <c r="BM71" s="32">
        <v>0.1830127018922193</v>
      </c>
      <c r="BN71" s="34">
        <v>0.3169872981077807</v>
      </c>
      <c r="BP71" s="15"/>
      <c r="BQ71" s="28"/>
      <c r="BR71" s="31">
        <v>1.1000000000000001</v>
      </c>
      <c r="BS71" s="84">
        <f t="shared" ref="BS71:BS80" si="84">2*CF71*CB71/32</f>
        <v>2.8587843695625018E-2</v>
      </c>
      <c r="BT71" s="78">
        <f t="shared" si="75"/>
        <v>3.216132415757815E-2</v>
      </c>
      <c r="BU71" s="78">
        <f t="shared" si="76"/>
        <v>7.4271539304411369E-2</v>
      </c>
      <c r="BV71" s="78">
        <f t="shared" si="77"/>
        <v>2.6579606741800117E-2</v>
      </c>
      <c r="BW71" s="78">
        <f t="shared" si="78"/>
        <v>6.1381437441662252E-2</v>
      </c>
      <c r="BX71" s="40">
        <v>0.19965022024605741</v>
      </c>
      <c r="BY71" s="32">
        <v>0.34580432520848803</v>
      </c>
      <c r="BZ71" s="32">
        <v>0.1830127018922193</v>
      </c>
      <c r="CA71" s="34">
        <v>0.3169872981077807</v>
      </c>
      <c r="CB71" s="37">
        <f t="shared" si="79"/>
        <v>0.59417231443529095</v>
      </c>
      <c r="CC71" s="37">
        <f t="shared" ref="CC71:CC80" si="85">1-CB71</f>
        <v>0.40582768556470905</v>
      </c>
      <c r="CD71" s="72">
        <f t="shared" ref="CD71:CE80" si="86">128/9</f>
        <v>14.222222222222221</v>
      </c>
      <c r="CE71" s="72">
        <f t="shared" si="86"/>
        <v>14.222222222222221</v>
      </c>
      <c r="CF71" s="37">
        <f t="shared" si="80"/>
        <v>0.76981960959376639</v>
      </c>
      <c r="CG71" s="37">
        <f t="shared" si="81"/>
        <v>0.76981960959376661</v>
      </c>
      <c r="CI71" s="15"/>
      <c r="CJ71" s="28"/>
      <c r="CK71" s="31">
        <v>1.1000000000000001</v>
      </c>
      <c r="CL71" s="45">
        <f t="shared" si="82"/>
        <v>2.7444329947800016E-2</v>
      </c>
      <c r="CM71" s="78">
        <f t="shared" ref="CM71:CM80" si="87">BT71+$CJ$14*BV71</f>
        <v>3.7477245505938173E-2</v>
      </c>
      <c r="CN71" s="78">
        <v>7.4271539304411369E-2</v>
      </c>
      <c r="CO71" s="78">
        <f t="shared" ref="CO71:CO80" si="88">$CJ$14*BT71+BV71</f>
        <v>3.3011871573315747E-2</v>
      </c>
      <c r="CP71" s="78">
        <v>6.1381437441662252E-2</v>
      </c>
      <c r="CQ71" s="40">
        <v>0.19965022024605741</v>
      </c>
      <c r="CR71" s="32">
        <v>0.34580432520848803</v>
      </c>
      <c r="CS71" s="32">
        <v>0.1830127018922193</v>
      </c>
      <c r="CT71" s="34">
        <v>0.3169872981077807</v>
      </c>
      <c r="CV71" s="25"/>
      <c r="CW71" s="47"/>
      <c r="CX71" s="53">
        <v>1.1000000000000001</v>
      </c>
      <c r="CY71" s="45">
        <f t="shared" ref="CY71:CY80" si="89">(1-$CW$14^2)/(1-$CW$13^2)*BF71</f>
        <v>3.0105790281329935E-2</v>
      </c>
      <c r="CZ71" s="78">
        <f t="shared" ref="CZ71:CZ80" si="90">(1/(1-$CW$13^2))*((1-$CW$13*$CW$14)*BG71+($CW$14-$CW$13)*BI71)</f>
        <v>2.8530792838874681E-2</v>
      </c>
      <c r="DA71" s="50">
        <v>7.8700000000000006E-2</v>
      </c>
      <c r="DB71" s="78">
        <f t="shared" ref="DB71:DB80" si="91">(1/(1-$CW$13^2))*((1-$CW$13*$CW$14)*BI71+($CW$14-$CW$13)*BG71)</f>
        <v>2.2461381074168802E-2</v>
      </c>
      <c r="DC71" s="50">
        <v>7.3599999999999999E-2</v>
      </c>
      <c r="DD71" s="40">
        <v>0.19965022024605741</v>
      </c>
      <c r="DE71" s="32">
        <v>0.34580432520848803</v>
      </c>
      <c r="DF71" s="32">
        <v>0.1830127018922193</v>
      </c>
      <c r="DG71" s="34">
        <v>0.3169872981077807</v>
      </c>
      <c r="DI71" s="25"/>
      <c r="DJ71" s="47"/>
      <c r="DK71" s="53">
        <v>1.1000000000000001</v>
      </c>
      <c r="DL71" s="49">
        <v>2.9600000000000001E-2</v>
      </c>
      <c r="DM71" s="50">
        <v>3.1899999999999998E-2</v>
      </c>
      <c r="DN71" s="50">
        <v>7.8700000000000006E-2</v>
      </c>
      <c r="DO71" s="50">
        <v>2.6699999999999998E-2</v>
      </c>
      <c r="DP71" s="50">
        <v>7.3599999999999999E-2</v>
      </c>
      <c r="DQ71" s="40">
        <v>0.19965022024605741</v>
      </c>
      <c r="DR71" s="32">
        <v>0.34580432520848803</v>
      </c>
      <c r="DS71" s="32">
        <v>0.1830127018922193</v>
      </c>
      <c r="DT71" s="34">
        <v>0.3169872981077807</v>
      </c>
    </row>
    <row r="72" spans="1:124" ht="12" customHeight="1" x14ac:dyDescent="0.2">
      <c r="A72" s="1"/>
      <c r="B72" s="25"/>
      <c r="C72" s="47"/>
      <c r="D72" s="68">
        <v>1.2</v>
      </c>
      <c r="E72" s="85">
        <f t="shared" si="2"/>
        <v>3.5000000000000003E-2</v>
      </c>
      <c r="F72" s="85">
        <f t="shared" si="3"/>
        <v>4.1200000000000001E-2</v>
      </c>
      <c r="G72" s="85">
        <f t="shared" si="4"/>
        <v>8.6120000000000002E-2</v>
      </c>
      <c r="H72" s="85">
        <f t="shared" si="5"/>
        <v>3.0099999999999998E-2</v>
      </c>
      <c r="I72" s="85">
        <f t="shared" si="6"/>
        <v>7.5399999999999995E-2</v>
      </c>
      <c r="J72" s="85">
        <f t="shared" si="7"/>
        <v>0.21351481887425583</v>
      </c>
      <c r="K72" s="85">
        <f t="shared" si="8"/>
        <v>0.36981851445907743</v>
      </c>
      <c r="L72" s="85">
        <f t="shared" si="9"/>
        <v>0.1830127018922193</v>
      </c>
      <c r="M72" s="85">
        <f t="shared" si="10"/>
        <v>0.3169872981077807</v>
      </c>
      <c r="N72" s="1"/>
      <c r="P72" s="15"/>
      <c r="Q72" s="28"/>
      <c r="R72" s="31">
        <v>1.2</v>
      </c>
      <c r="S72" s="37">
        <v>3.5000000000000003E-2</v>
      </c>
      <c r="T72" s="32">
        <v>4.1200000000000001E-2</v>
      </c>
      <c r="U72" s="32">
        <v>8.6120000000000002E-2</v>
      </c>
      <c r="V72" s="32">
        <v>3.0099999999999998E-2</v>
      </c>
      <c r="W72" s="32">
        <v>7.5399999999999995E-2</v>
      </c>
      <c r="X72" s="40">
        <v>0.21351481887425583</v>
      </c>
      <c r="Y72" s="32">
        <v>0.36981851445907743</v>
      </c>
      <c r="Z72" s="32">
        <v>0.1830127018922193</v>
      </c>
      <c r="AA72" s="34">
        <v>0.3169872981077807</v>
      </c>
      <c r="AC72" s="15"/>
      <c r="AD72" s="28"/>
      <c r="AE72" s="31">
        <v>1.2</v>
      </c>
      <c r="AF72" s="37">
        <v>3.4799999999999998E-2</v>
      </c>
      <c r="AG72" s="32">
        <f>1/30</f>
        <v>3.3333333333333333E-2</v>
      </c>
      <c r="AH72" s="32">
        <f>1/11.5</f>
        <v>8.6956521739130432E-2</v>
      </c>
      <c r="AI72" s="32">
        <f>1/44</f>
        <v>2.2727272727272728E-2</v>
      </c>
      <c r="AJ72" s="32">
        <f>1/13.1</f>
        <v>7.6335877862595422E-2</v>
      </c>
      <c r="AK72" s="40">
        <v>0.21351481887425583</v>
      </c>
      <c r="AL72" s="32">
        <v>0.36981851445907743</v>
      </c>
      <c r="AM72" s="32">
        <v>0.1830127018922193</v>
      </c>
      <c r="AN72" s="34">
        <v>0.3169872981077807</v>
      </c>
      <c r="AP72" s="15"/>
      <c r="AQ72" s="28"/>
      <c r="AR72" s="31">
        <v>1.2</v>
      </c>
      <c r="AS72" s="45">
        <f t="shared" si="83"/>
        <v>3.3407999999999993E-2</v>
      </c>
      <c r="AT72" s="32">
        <f>1/26.4</f>
        <v>3.787878787878788E-2</v>
      </c>
      <c r="AU72" s="32">
        <f>1/11.5</f>
        <v>8.6956521739130432E-2</v>
      </c>
      <c r="AV72" s="32">
        <f>1/34</f>
        <v>2.9411764705882353E-2</v>
      </c>
      <c r="AW72" s="32">
        <f>1/13.1</f>
        <v>7.6335877862595422E-2</v>
      </c>
      <c r="AX72" s="40">
        <v>0.21351481887425583</v>
      </c>
      <c r="AY72" s="32">
        <v>0.36981851445907743</v>
      </c>
      <c r="AZ72" s="32">
        <v>0.1830127018922193</v>
      </c>
      <c r="BA72" s="34">
        <v>0.3169872981077807</v>
      </c>
      <c r="BC72" s="25"/>
      <c r="BD72" s="47"/>
      <c r="BE72" s="53">
        <v>1.2</v>
      </c>
      <c r="BF72" s="49">
        <v>3.4007040000000002E-2</v>
      </c>
      <c r="BG72" s="50">
        <v>3.6499999999999998E-2</v>
      </c>
      <c r="BH72" s="96">
        <v>8.43E-2</v>
      </c>
      <c r="BI72" s="50">
        <v>2.6207999999999999E-2</v>
      </c>
      <c r="BJ72" s="96">
        <v>7.3439999999999991E-2</v>
      </c>
      <c r="BK72" s="40">
        <v>0.21351481887425583</v>
      </c>
      <c r="BL72" s="32">
        <v>0.36981851445907743</v>
      </c>
      <c r="BM72" s="32">
        <v>0.1830127018922193</v>
      </c>
      <c r="BN72" s="34">
        <v>0.3169872981077807</v>
      </c>
      <c r="BP72" s="15"/>
      <c r="BQ72" s="28"/>
      <c r="BR72" s="31">
        <v>1.2</v>
      </c>
      <c r="BS72" s="84">
        <f t="shared" si="84"/>
        <v>3.290547284039172E-2</v>
      </c>
      <c r="BT72" s="78">
        <f t="shared" si="75"/>
        <v>3.7018656945440688E-2</v>
      </c>
      <c r="BU72" s="78">
        <f t="shared" si="76"/>
        <v>8.4331077563768869E-2</v>
      </c>
      <c r="BV72" s="78">
        <f t="shared" si="77"/>
        <v>2.5707400656556037E-2</v>
      </c>
      <c r="BW72" s="78">
        <f t="shared" si="78"/>
        <v>5.8563248308172826E-2</v>
      </c>
      <c r="BX72" s="40">
        <v>0.21351481887425583</v>
      </c>
      <c r="BY72" s="32">
        <v>0.36981851445907743</v>
      </c>
      <c r="BZ72" s="32">
        <v>0.1830127018922193</v>
      </c>
      <c r="CA72" s="34">
        <v>0.3169872981077807</v>
      </c>
      <c r="CB72" s="37">
        <f t="shared" si="79"/>
        <v>0.67464862051015095</v>
      </c>
      <c r="CC72" s="37">
        <f t="shared" si="85"/>
        <v>0.32535137948984905</v>
      </c>
      <c r="CD72" s="72">
        <f t="shared" si="86"/>
        <v>14.222222222222221</v>
      </c>
      <c r="CE72" s="72">
        <f t="shared" si="86"/>
        <v>14.222222222222221</v>
      </c>
      <c r="CF72" s="37">
        <f t="shared" si="80"/>
        <v>0.78038781884435182</v>
      </c>
      <c r="CG72" s="37">
        <f t="shared" si="81"/>
        <v>0.78038781884435193</v>
      </c>
      <c r="CI72" s="15"/>
      <c r="CJ72" s="28"/>
      <c r="CK72" s="31">
        <v>1.2</v>
      </c>
      <c r="CL72" s="45">
        <f t="shared" si="82"/>
        <v>3.1589253926776049E-2</v>
      </c>
      <c r="CM72" s="78">
        <f t="shared" si="87"/>
        <v>4.2160137076751897E-2</v>
      </c>
      <c r="CN72" s="78">
        <v>8.4331077563768869E-2</v>
      </c>
      <c r="CO72" s="78">
        <f t="shared" si="88"/>
        <v>3.3111132045644177E-2</v>
      </c>
      <c r="CP72" s="78">
        <v>5.8563248308172826E-2</v>
      </c>
      <c r="CQ72" s="40">
        <v>0.21351481887425583</v>
      </c>
      <c r="CR72" s="32">
        <v>0.36981851445907743</v>
      </c>
      <c r="CS72" s="32">
        <v>0.1830127018922193</v>
      </c>
      <c r="CT72" s="34">
        <v>0.3169872981077807</v>
      </c>
      <c r="CV72" s="25"/>
      <c r="CW72" s="47"/>
      <c r="CX72" s="53">
        <v>1.2</v>
      </c>
      <c r="CY72" s="45">
        <f t="shared" si="89"/>
        <v>3.4789810741687986E-2</v>
      </c>
      <c r="CZ72" s="78">
        <f t="shared" si="90"/>
        <v>3.3318465473145778E-2</v>
      </c>
      <c r="DA72" s="50">
        <v>8.6899999999999991E-2</v>
      </c>
      <c r="DB72" s="78">
        <f t="shared" si="91"/>
        <v>2.1210230179028133E-2</v>
      </c>
      <c r="DC72" s="50">
        <v>7.6299999999999993E-2</v>
      </c>
      <c r="DD72" s="40">
        <v>0.21351481887425583</v>
      </c>
      <c r="DE72" s="32">
        <v>0.36981851445907743</v>
      </c>
      <c r="DF72" s="32">
        <v>0.1830127018922193</v>
      </c>
      <c r="DG72" s="34">
        <v>0.3169872981077807</v>
      </c>
      <c r="DI72" s="25"/>
      <c r="DJ72" s="47"/>
      <c r="DK72" s="53">
        <v>1.2</v>
      </c>
      <c r="DL72" s="49">
        <v>3.4000000000000002E-2</v>
      </c>
      <c r="DM72" s="50">
        <v>3.6499999999999998E-2</v>
      </c>
      <c r="DN72" s="50">
        <v>8.6899999999999991E-2</v>
      </c>
      <c r="DO72" s="50">
        <v>2.6200000000000001E-2</v>
      </c>
      <c r="DP72" s="50">
        <v>7.6299999999999993E-2</v>
      </c>
      <c r="DQ72" s="40">
        <v>0.21351481887425583</v>
      </c>
      <c r="DR72" s="32">
        <v>0.36981851445907743</v>
      </c>
      <c r="DS72" s="32">
        <v>0.1830127018922193</v>
      </c>
      <c r="DT72" s="34">
        <v>0.3169872981077807</v>
      </c>
    </row>
    <row r="73" spans="1:124" ht="12" customHeight="1" x14ac:dyDescent="0.2">
      <c r="A73" s="1"/>
      <c r="B73" s="25"/>
      <c r="C73" s="47"/>
      <c r="D73" s="68">
        <v>1.3</v>
      </c>
      <c r="E73" s="85">
        <f t="shared" si="2"/>
        <v>3.9100000000000003E-2</v>
      </c>
      <c r="F73" s="85">
        <f t="shared" si="3"/>
        <v>4.5760000000000002E-2</v>
      </c>
      <c r="G73" s="85">
        <f t="shared" si="4"/>
        <v>9.307E-2</v>
      </c>
      <c r="H73" s="85">
        <f t="shared" si="5"/>
        <v>2.9270000000000001E-2</v>
      </c>
      <c r="I73" s="85">
        <f t="shared" si="6"/>
        <v>7.7219999999999997E-2</v>
      </c>
      <c r="J73" s="85">
        <f t="shared" si="7"/>
        <v>0.22524640232888529</v>
      </c>
      <c r="K73" s="85">
        <f t="shared" si="8"/>
        <v>0.3901382130557301</v>
      </c>
      <c r="L73" s="85">
        <f t="shared" si="9"/>
        <v>0.1830127018922193</v>
      </c>
      <c r="M73" s="85">
        <f t="shared" si="10"/>
        <v>0.3169872981077807</v>
      </c>
      <c r="N73" s="1"/>
      <c r="P73" s="15"/>
      <c r="Q73" s="28"/>
      <c r="R73" s="31">
        <v>1.3</v>
      </c>
      <c r="S73" s="37">
        <v>3.9100000000000003E-2</v>
      </c>
      <c r="T73" s="32">
        <v>4.5760000000000002E-2</v>
      </c>
      <c r="U73" s="32">
        <v>9.307E-2</v>
      </c>
      <c r="V73" s="32">
        <v>2.9270000000000001E-2</v>
      </c>
      <c r="W73" s="32">
        <v>7.7219999999999997E-2</v>
      </c>
      <c r="X73" s="40">
        <v>0.22524640232888529</v>
      </c>
      <c r="Y73" s="32">
        <v>0.3901382130557301</v>
      </c>
      <c r="Z73" s="32">
        <v>0.1830127018922193</v>
      </c>
      <c r="AA73" s="34">
        <v>0.3169872981077807</v>
      </c>
      <c r="AC73" s="15"/>
      <c r="AD73" s="28"/>
      <c r="AE73" s="31">
        <v>1.3</v>
      </c>
      <c r="AF73" s="37">
        <v>3.8899999999999997E-2</v>
      </c>
      <c r="AG73" s="32">
        <f>1/26.5</f>
        <v>3.7735849056603772E-2</v>
      </c>
      <c r="AH73" s="32">
        <f>1/10.7</f>
        <v>9.3457943925233655E-2</v>
      </c>
      <c r="AI73" s="32">
        <f>1/47.6</f>
        <v>2.1008403361344536E-2</v>
      </c>
      <c r="AJ73" s="32">
        <f>1/12.8</f>
        <v>7.8125E-2</v>
      </c>
      <c r="AK73" s="40">
        <v>0.22524640232888529</v>
      </c>
      <c r="AL73" s="32">
        <v>0.3901382130557301</v>
      </c>
      <c r="AM73" s="32">
        <v>0.1830127018922193</v>
      </c>
      <c r="AN73" s="34">
        <v>0.3169872981077807</v>
      </c>
      <c r="AP73" s="15"/>
      <c r="AQ73" s="28"/>
      <c r="AR73" s="31">
        <v>1.3</v>
      </c>
      <c r="AS73" s="45">
        <f t="shared" si="83"/>
        <v>3.7343999999999995E-2</v>
      </c>
      <c r="AT73" s="32">
        <f>1/23.8</f>
        <v>4.2016806722689072E-2</v>
      </c>
      <c r="AU73" s="32">
        <f>1/10.7</f>
        <v>9.3457943925233655E-2</v>
      </c>
      <c r="AV73" s="32">
        <f>1/35</f>
        <v>2.8571428571428571E-2</v>
      </c>
      <c r="AW73" s="32">
        <f>1/12.8</f>
        <v>7.8125E-2</v>
      </c>
      <c r="AX73" s="40">
        <v>0.22524640232888529</v>
      </c>
      <c r="AY73" s="32">
        <v>0.3901382130557301</v>
      </c>
      <c r="AZ73" s="32">
        <v>0.1830127018922193</v>
      </c>
      <c r="BA73" s="34">
        <v>0.3169872981077807</v>
      </c>
      <c r="BC73" s="25"/>
      <c r="BD73" s="47"/>
      <c r="BE73" s="53">
        <v>1.3</v>
      </c>
      <c r="BF73" s="49">
        <v>3.7986130000000007E-2</v>
      </c>
      <c r="BG73" s="50">
        <v>4.0599999999999997E-2</v>
      </c>
      <c r="BH73" s="96">
        <v>9.1700000000000004E-2</v>
      </c>
      <c r="BI73" s="50">
        <v>2.5012000000000003E-2</v>
      </c>
      <c r="BJ73" s="96">
        <v>7.537400000000001E-2</v>
      </c>
      <c r="BK73" s="40">
        <v>0.22524640232888529</v>
      </c>
      <c r="BL73" s="32">
        <v>0.3901382130557301</v>
      </c>
      <c r="BM73" s="32">
        <v>0.1830127018922193</v>
      </c>
      <c r="BN73" s="34">
        <v>0.3169872981077807</v>
      </c>
      <c r="BP73" s="15"/>
      <c r="BQ73" s="28"/>
      <c r="BR73" s="31">
        <v>1.3</v>
      </c>
      <c r="BS73" s="84">
        <f t="shared" si="84"/>
        <v>3.6781819530327602E-2</v>
      </c>
      <c r="BT73" s="78">
        <f t="shared" si="75"/>
        <v>4.1379546971618553E-2</v>
      </c>
      <c r="BU73" s="78">
        <f t="shared" si="76"/>
        <v>9.2583828220222514E-2</v>
      </c>
      <c r="BV73" s="78">
        <f t="shared" si="77"/>
        <v>2.4484939036460675E-2</v>
      </c>
      <c r="BW73" s="78">
        <f t="shared" si="78"/>
        <v>5.4783330307823959E-2</v>
      </c>
      <c r="BX73" s="40">
        <v>0.22524640232888529</v>
      </c>
      <c r="BY73" s="32">
        <v>0.3901382130557301</v>
      </c>
      <c r="BZ73" s="32">
        <v>0.1830127018922193</v>
      </c>
      <c r="CA73" s="34">
        <v>0.3169872981077807</v>
      </c>
      <c r="CB73" s="37">
        <f t="shared" si="79"/>
        <v>0.74067062576178011</v>
      </c>
      <c r="CC73" s="37">
        <f t="shared" si="85"/>
        <v>0.25932937423821989</v>
      </c>
      <c r="CD73" s="72">
        <f t="shared" si="86"/>
        <v>14.222222222222221</v>
      </c>
      <c r="CE73" s="72">
        <f t="shared" si="86"/>
        <v>14.222222222222221</v>
      </c>
      <c r="CF73" s="37">
        <f t="shared" si="80"/>
        <v>0.79456251134566014</v>
      </c>
      <c r="CG73" s="37">
        <f t="shared" si="81"/>
        <v>0.79456251134566014</v>
      </c>
      <c r="CI73" s="15"/>
      <c r="CJ73" s="28"/>
      <c r="CK73" s="31">
        <v>1.3</v>
      </c>
      <c r="CL73" s="45">
        <f t="shared" si="82"/>
        <v>3.5310546749114498E-2</v>
      </c>
      <c r="CM73" s="78">
        <f t="shared" si="87"/>
        <v>4.6276534778910687E-2</v>
      </c>
      <c r="CN73" s="78">
        <v>9.2583828220222514E-2</v>
      </c>
      <c r="CO73" s="78">
        <f t="shared" si="88"/>
        <v>3.2760848430784389E-2</v>
      </c>
      <c r="CP73" s="78">
        <v>5.4783330307823959E-2</v>
      </c>
      <c r="CQ73" s="40">
        <v>0.22524640232888529</v>
      </c>
      <c r="CR73" s="32">
        <v>0.3901382130557301</v>
      </c>
      <c r="CS73" s="32">
        <v>0.1830127018922193</v>
      </c>
      <c r="CT73" s="34">
        <v>0.3169872981077807</v>
      </c>
      <c r="CV73" s="25"/>
      <c r="CW73" s="47"/>
      <c r="CX73" s="53">
        <v>1.3</v>
      </c>
      <c r="CY73" s="45">
        <f t="shared" si="89"/>
        <v>3.8860491048593362E-2</v>
      </c>
      <c r="CZ73" s="78">
        <f t="shared" si="90"/>
        <v>3.7696368286445014E-2</v>
      </c>
      <c r="DA73" s="50">
        <v>9.3699999999999992E-2</v>
      </c>
      <c r="DB73" s="78">
        <f t="shared" si="91"/>
        <v>1.9357544757033253E-2</v>
      </c>
      <c r="DC73" s="50">
        <v>7.8100000000000003E-2</v>
      </c>
      <c r="DD73" s="40">
        <v>0.22524640232888529</v>
      </c>
      <c r="DE73" s="32">
        <v>0.3901382130557301</v>
      </c>
      <c r="DF73" s="32">
        <v>0.1830127018922193</v>
      </c>
      <c r="DG73" s="34">
        <v>0.3169872981077807</v>
      </c>
      <c r="DI73" s="25"/>
      <c r="DJ73" s="47"/>
      <c r="DK73" s="53">
        <v>1.3</v>
      </c>
      <c r="DL73" s="49">
        <v>3.7999999999999999E-2</v>
      </c>
      <c r="DM73" s="50">
        <v>4.0599999999999997E-2</v>
      </c>
      <c r="DN73" s="50">
        <v>9.3699999999999992E-2</v>
      </c>
      <c r="DO73" s="50">
        <v>2.5000000000000001E-2</v>
      </c>
      <c r="DP73" s="50">
        <v>7.8100000000000003E-2</v>
      </c>
      <c r="DQ73" s="40">
        <v>0.22524640232888529</v>
      </c>
      <c r="DR73" s="32">
        <v>0.3901382130557301</v>
      </c>
      <c r="DS73" s="32">
        <v>0.1830127018922193</v>
      </c>
      <c r="DT73" s="34">
        <v>0.3169872981077807</v>
      </c>
    </row>
    <row r="74" spans="1:124" ht="12" customHeight="1" x14ac:dyDescent="0.2">
      <c r="A74" s="1"/>
      <c r="B74" s="25"/>
      <c r="C74" s="47"/>
      <c r="D74" s="68">
        <v>1.4</v>
      </c>
      <c r="E74" s="85">
        <f t="shared" si="2"/>
        <v>4.2799999999999998E-2</v>
      </c>
      <c r="F74" s="85">
        <f t="shared" si="3"/>
        <v>4.9770000000000002E-2</v>
      </c>
      <c r="G74" s="85">
        <f t="shared" si="4"/>
        <v>9.9000000000000005E-2</v>
      </c>
      <c r="H74" s="85">
        <f t="shared" si="5"/>
        <v>2.828E-2</v>
      </c>
      <c r="I74" s="85">
        <f t="shared" si="6"/>
        <v>7.8399999999999997E-2</v>
      </c>
      <c r="J74" s="85">
        <f t="shared" si="7"/>
        <v>0.23530204528999621</v>
      </c>
      <c r="K74" s="85">
        <f t="shared" si="8"/>
        <v>0.40755509756714658</v>
      </c>
      <c r="L74" s="85">
        <f t="shared" si="9"/>
        <v>0.1830127018922193</v>
      </c>
      <c r="M74" s="85">
        <f t="shared" si="10"/>
        <v>0.3169872981077807</v>
      </c>
      <c r="N74" s="1"/>
      <c r="P74" s="15"/>
      <c r="Q74" s="28"/>
      <c r="R74" s="31">
        <v>1.4</v>
      </c>
      <c r="S74" s="37">
        <v>4.2799999999999998E-2</v>
      </c>
      <c r="T74" s="32">
        <v>4.9770000000000002E-2</v>
      </c>
      <c r="U74" s="32">
        <v>9.9000000000000005E-2</v>
      </c>
      <c r="V74" s="32">
        <v>2.828E-2</v>
      </c>
      <c r="W74" s="32">
        <v>7.8399999999999997E-2</v>
      </c>
      <c r="X74" s="40">
        <v>0.23530204528999621</v>
      </c>
      <c r="Y74" s="32">
        <v>0.40755509756714658</v>
      </c>
      <c r="Z74" s="32">
        <v>0.1830127018922193</v>
      </c>
      <c r="AA74" s="34">
        <v>0.3169872981077807</v>
      </c>
      <c r="AC74" s="15"/>
      <c r="AD74" s="28"/>
      <c r="AE74" s="31">
        <v>1.4</v>
      </c>
      <c r="AF74" s="37">
        <v>4.2599999999999999E-2</v>
      </c>
      <c r="AG74" s="32">
        <f>1/24.1</f>
        <v>4.1493775933609957E-2</v>
      </c>
      <c r="AH74" s="32">
        <f>1/10</f>
        <v>0.1</v>
      </c>
      <c r="AI74" s="32">
        <f>1/51</f>
        <v>1.9607843137254902E-2</v>
      </c>
      <c r="AJ74" s="32">
        <f>1/12.6</f>
        <v>7.9365079365079361E-2</v>
      </c>
      <c r="AK74" s="40">
        <v>0.23530204528999621</v>
      </c>
      <c r="AL74" s="32">
        <v>0.40755509756714658</v>
      </c>
      <c r="AM74" s="32">
        <v>0.1830127018922193</v>
      </c>
      <c r="AN74" s="34">
        <v>0.3169872981077807</v>
      </c>
      <c r="AP74" s="15"/>
      <c r="AQ74" s="28"/>
      <c r="AR74" s="31">
        <v>1.4</v>
      </c>
      <c r="AS74" s="45">
        <f t="shared" si="83"/>
        <v>4.0895999999999995E-2</v>
      </c>
      <c r="AT74" s="32">
        <f>1/22.2</f>
        <v>4.504504504504505E-2</v>
      </c>
      <c r="AU74" s="32">
        <f>1/10</f>
        <v>0.1</v>
      </c>
      <c r="AV74" s="32">
        <f>1/37.8</f>
        <v>2.6455026455026457E-2</v>
      </c>
      <c r="AW74" s="32">
        <f>1/12.6</f>
        <v>7.9365079365079361E-2</v>
      </c>
      <c r="AX74" s="40">
        <v>0.23530204528999621</v>
      </c>
      <c r="AY74" s="32">
        <v>0.40755509756714658</v>
      </c>
      <c r="AZ74" s="32">
        <v>0.1830127018922193</v>
      </c>
      <c r="BA74" s="34">
        <v>0.3169872981077807</v>
      </c>
      <c r="BC74" s="25"/>
      <c r="BD74" s="47"/>
      <c r="BE74" s="53">
        <v>1.4</v>
      </c>
      <c r="BF74" s="49">
        <v>4.1489279999999983E-2</v>
      </c>
      <c r="BG74" s="50">
        <v>4.4200000000000003E-2</v>
      </c>
      <c r="BH74" s="96">
        <v>9.7900000000000001E-2</v>
      </c>
      <c r="BI74" s="50">
        <v>2.3911999999999999E-2</v>
      </c>
      <c r="BJ74" s="96">
        <v>7.6243999999999992E-2</v>
      </c>
      <c r="BK74" s="40">
        <v>0.23530204528999621</v>
      </c>
      <c r="BL74" s="32">
        <v>0.40755509756714658</v>
      </c>
      <c r="BM74" s="32">
        <v>0.1830127018922193</v>
      </c>
      <c r="BN74" s="34">
        <v>0.3169872981077807</v>
      </c>
      <c r="BP74" s="15"/>
      <c r="BQ74" s="28"/>
      <c r="BR74" s="31">
        <v>1.4</v>
      </c>
      <c r="BS74" s="84">
        <f t="shared" si="84"/>
        <v>4.0180565942065108E-2</v>
      </c>
      <c r="BT74" s="78">
        <f t="shared" si="75"/>
        <v>4.5203136684823252E-2</v>
      </c>
      <c r="BU74" s="78">
        <f t="shared" si="76"/>
        <v>9.9182088565763382E-2</v>
      </c>
      <c r="BV74" s="78">
        <f t="shared" si="77"/>
        <v>2.3062824839195532E-2</v>
      </c>
      <c r="BW74" s="78">
        <f t="shared" si="78"/>
        <v>5.0603106411103764E-2</v>
      </c>
      <c r="BX74" s="40">
        <v>0.23530204528999621</v>
      </c>
      <c r="BY74" s="32">
        <v>0.40755509756714658</v>
      </c>
      <c r="BZ74" s="32">
        <v>0.1830127018922193</v>
      </c>
      <c r="CA74" s="34">
        <v>0.3169872981077807</v>
      </c>
      <c r="CB74" s="37">
        <f t="shared" si="79"/>
        <v>0.79345670852610706</v>
      </c>
      <c r="CC74" s="37">
        <f t="shared" si="85"/>
        <v>0.20654329147389294</v>
      </c>
      <c r="CD74" s="72">
        <f t="shared" si="86"/>
        <v>14.222222222222221</v>
      </c>
      <c r="CE74" s="72">
        <f t="shared" si="86"/>
        <v>14.222222222222221</v>
      </c>
      <c r="CF74" s="37">
        <f t="shared" si="80"/>
        <v>0.81023835095836083</v>
      </c>
      <c r="CG74" s="37">
        <f t="shared" si="81"/>
        <v>0.81023835095836083</v>
      </c>
      <c r="CI74" s="15"/>
      <c r="CJ74" s="28"/>
      <c r="CK74" s="31">
        <v>1.4</v>
      </c>
      <c r="CL74" s="45">
        <f t="shared" si="82"/>
        <v>3.8573343304382501E-2</v>
      </c>
      <c r="CM74" s="78">
        <f t="shared" si="87"/>
        <v>4.9815701652662359E-2</v>
      </c>
      <c r="CN74" s="78">
        <v>9.9182088565763382E-2</v>
      </c>
      <c r="CO74" s="78">
        <f t="shared" si="88"/>
        <v>3.2103452176160181E-2</v>
      </c>
      <c r="CP74" s="78">
        <v>5.0603106411103764E-2</v>
      </c>
      <c r="CQ74" s="40">
        <v>0.23530204528999621</v>
      </c>
      <c r="CR74" s="32">
        <v>0.40755509756714658</v>
      </c>
      <c r="CS74" s="32">
        <v>0.1830127018922193</v>
      </c>
      <c r="CT74" s="34">
        <v>0.3169872981077807</v>
      </c>
      <c r="CV74" s="25"/>
      <c r="CW74" s="47"/>
      <c r="CX74" s="53">
        <v>1.4</v>
      </c>
      <c r="CY74" s="45">
        <f t="shared" si="89"/>
        <v>4.2444276214833744E-2</v>
      </c>
      <c r="CZ74" s="78">
        <f t="shared" si="90"/>
        <v>4.1548030690537092E-2</v>
      </c>
      <c r="DA74" s="50">
        <v>9.9299999999999999E-2</v>
      </c>
      <c r="DB74" s="78">
        <f t="shared" si="91"/>
        <v>1.7679795396419437E-2</v>
      </c>
      <c r="DC74" s="50">
        <v>7.9399999999999998E-2</v>
      </c>
      <c r="DD74" s="40">
        <v>0.23530204528999621</v>
      </c>
      <c r="DE74" s="32">
        <v>0.40755509756714658</v>
      </c>
      <c r="DF74" s="32">
        <v>0.1830127018922193</v>
      </c>
      <c r="DG74" s="34">
        <v>0.3169872981077807</v>
      </c>
      <c r="DI74" s="25"/>
      <c r="DJ74" s="47"/>
      <c r="DK74" s="53">
        <v>1.4</v>
      </c>
      <c r="DL74" s="49">
        <v>4.1500000000000002E-2</v>
      </c>
      <c r="DM74" s="50">
        <v>4.4199999999999996E-2</v>
      </c>
      <c r="DN74" s="50">
        <v>9.9299999999999999E-2</v>
      </c>
      <c r="DO74" s="50">
        <v>2.3900000000000001E-2</v>
      </c>
      <c r="DP74" s="50">
        <v>7.9399999999999998E-2</v>
      </c>
      <c r="DQ74" s="40">
        <v>0.23530204528999621</v>
      </c>
      <c r="DR74" s="32">
        <v>0.40755509756714658</v>
      </c>
      <c r="DS74" s="32">
        <v>0.1830127018922193</v>
      </c>
      <c r="DT74" s="34">
        <v>0.3169872981077807</v>
      </c>
    </row>
    <row r="75" spans="1:124" ht="12" customHeight="1" x14ac:dyDescent="0.2">
      <c r="A75" s="1"/>
      <c r="B75" s="25"/>
      <c r="C75" s="47"/>
      <c r="D75" s="68">
        <v>1.5</v>
      </c>
      <c r="E75" s="85">
        <f t="shared" si="2"/>
        <v>4.5999999999999999E-2</v>
      </c>
      <c r="F75" s="85">
        <f t="shared" si="3"/>
        <v>5.3249999999999999E-2</v>
      </c>
      <c r="G75" s="85">
        <f t="shared" si="4"/>
        <v>0.104</v>
      </c>
      <c r="H75" s="85">
        <f t="shared" si="5"/>
        <v>2.7320000000000001E-2</v>
      </c>
      <c r="I75" s="85">
        <f t="shared" si="6"/>
        <v>7.9130000000000006E-2</v>
      </c>
      <c r="J75" s="85">
        <f t="shared" si="7"/>
        <v>0.24401693585629242</v>
      </c>
      <c r="K75" s="85">
        <f t="shared" si="8"/>
        <v>0.42264973081037432</v>
      </c>
      <c r="L75" s="85">
        <f t="shared" si="9"/>
        <v>0.1830127018922193</v>
      </c>
      <c r="M75" s="85">
        <f t="shared" si="10"/>
        <v>0.3169872981077807</v>
      </c>
      <c r="N75" s="1"/>
      <c r="P75" s="15"/>
      <c r="Q75" s="28"/>
      <c r="R75" s="31">
        <v>1.5</v>
      </c>
      <c r="S75" s="37">
        <v>4.5999999999999999E-2</v>
      </c>
      <c r="T75" s="32">
        <v>5.3249999999999999E-2</v>
      </c>
      <c r="U75" s="32">
        <v>0.104</v>
      </c>
      <c r="V75" s="32">
        <v>2.7320000000000001E-2</v>
      </c>
      <c r="W75" s="32">
        <v>7.9130000000000006E-2</v>
      </c>
      <c r="X75" s="40">
        <v>0.24401693585629242</v>
      </c>
      <c r="Y75" s="32">
        <v>0.42264973081037432</v>
      </c>
      <c r="Z75" s="32">
        <v>0.1830127018922193</v>
      </c>
      <c r="AA75" s="34">
        <v>0.3169872981077807</v>
      </c>
      <c r="AC75" s="15"/>
      <c r="AD75" s="28"/>
      <c r="AE75" s="31">
        <v>1.5</v>
      </c>
      <c r="AF75" s="37">
        <v>4.5900000000000003E-2</v>
      </c>
      <c r="AG75" s="32">
        <f>1/22.2</f>
        <v>4.504504504504505E-2</v>
      </c>
      <c r="AH75" s="32">
        <f>1/9.6</f>
        <v>0.10416666666666667</v>
      </c>
      <c r="AI75" s="32">
        <f>1/53</f>
        <v>1.8867924528301886E-2</v>
      </c>
      <c r="AJ75" s="32">
        <f>1/12.4</f>
        <v>8.0645161290322578E-2</v>
      </c>
      <c r="AK75" s="40">
        <v>0.24401693585629242</v>
      </c>
      <c r="AL75" s="32">
        <v>0.42264973081037432</v>
      </c>
      <c r="AM75" s="32">
        <v>0.1830127018922193</v>
      </c>
      <c r="AN75" s="34">
        <v>0.3169872981077807</v>
      </c>
      <c r="AP75" s="15"/>
      <c r="AQ75" s="28"/>
      <c r="AR75" s="31">
        <v>1.5</v>
      </c>
      <c r="AS75" s="45">
        <f t="shared" si="83"/>
        <v>4.4063999999999999E-2</v>
      </c>
      <c r="AT75" s="32">
        <f>1/20.7</f>
        <v>4.8309178743961352E-2</v>
      </c>
      <c r="AU75" s="32">
        <f>1/9.6</f>
        <v>0.10416666666666667</v>
      </c>
      <c r="AV75" s="32">
        <f t="shared" ref="AV75:AV80" si="92">1/40.2</f>
        <v>2.4875621890547261E-2</v>
      </c>
      <c r="AW75" s="32">
        <f>1/12.4</f>
        <v>8.0645161290322578E-2</v>
      </c>
      <c r="AX75" s="40">
        <v>0.24401693585629242</v>
      </c>
      <c r="AY75" s="32">
        <v>0.42264973081037432</v>
      </c>
      <c r="AZ75" s="32">
        <v>0.1830127018922193</v>
      </c>
      <c r="BA75" s="34">
        <v>0.3169872981077807</v>
      </c>
      <c r="BC75" s="25"/>
      <c r="BD75" s="47"/>
      <c r="BE75" s="53">
        <v>1.5</v>
      </c>
      <c r="BF75" s="49">
        <v>4.5056249999999999E-2</v>
      </c>
      <c r="BG75" s="50">
        <v>4.7300000000000002E-2</v>
      </c>
      <c r="BH75" s="96">
        <v>0.10290000000000001</v>
      </c>
      <c r="BI75" s="50">
        <v>2.2499999999999999E-2</v>
      </c>
      <c r="BJ75" s="96">
        <v>7.6950000000000005E-2</v>
      </c>
      <c r="BK75" s="40">
        <v>0.24401693585629242</v>
      </c>
      <c r="BL75" s="32">
        <v>0.42264973081037432</v>
      </c>
      <c r="BM75" s="32">
        <v>0.1830127018922193</v>
      </c>
      <c r="BN75" s="34">
        <v>0.3169872981077807</v>
      </c>
      <c r="BP75" s="15"/>
      <c r="BQ75" s="28"/>
      <c r="BR75" s="31">
        <v>1.5</v>
      </c>
      <c r="BS75" s="84">
        <f t="shared" si="84"/>
        <v>4.3111150228504619E-2</v>
      </c>
      <c r="BT75" s="78">
        <f t="shared" si="75"/>
        <v>4.85000440070677E-2</v>
      </c>
      <c r="BU75" s="78">
        <f t="shared" si="76"/>
        <v>0.10438144329896908</v>
      </c>
      <c r="BV75" s="78">
        <f t="shared" si="77"/>
        <v>2.1555575114252313E-2</v>
      </c>
      <c r="BW75" s="78">
        <f t="shared" si="78"/>
        <v>4.6391752577319575E-2</v>
      </c>
      <c r="BX75" s="40">
        <v>0.24401693585629242</v>
      </c>
      <c r="BY75" s="32">
        <v>0.42264973081037432</v>
      </c>
      <c r="BZ75" s="32">
        <v>0.1830127018922193</v>
      </c>
      <c r="CA75" s="34">
        <v>0.3169872981077807</v>
      </c>
      <c r="CB75" s="37">
        <f t="shared" si="79"/>
        <v>0.83505154639175261</v>
      </c>
      <c r="CC75" s="37">
        <f t="shared" si="85"/>
        <v>0.16494845360824739</v>
      </c>
      <c r="CD75" s="72">
        <f t="shared" si="86"/>
        <v>14.222222222222221</v>
      </c>
      <c r="CE75" s="72">
        <f t="shared" si="86"/>
        <v>14.222222222222221</v>
      </c>
      <c r="CF75" s="37">
        <f t="shared" si="80"/>
        <v>0.8260309278350515</v>
      </c>
      <c r="CG75" s="37">
        <f t="shared" si="81"/>
        <v>0.82603092783505161</v>
      </c>
      <c r="CI75" s="15"/>
      <c r="CJ75" s="28"/>
      <c r="CK75" s="31">
        <v>1.5</v>
      </c>
      <c r="CL75" s="45">
        <f t="shared" si="82"/>
        <v>4.1386704219364433E-2</v>
      </c>
      <c r="CM75" s="78">
        <f t="shared" si="87"/>
        <v>5.2811159029918162E-2</v>
      </c>
      <c r="CN75" s="78">
        <v>0.10438144329896908</v>
      </c>
      <c r="CO75" s="78">
        <f t="shared" si="88"/>
        <v>3.1255583915665852E-2</v>
      </c>
      <c r="CP75" s="78">
        <v>4.6391752577319575E-2</v>
      </c>
      <c r="CQ75" s="40">
        <v>0.24401693585629242</v>
      </c>
      <c r="CR75" s="32">
        <v>0.42264973081037432</v>
      </c>
      <c r="CS75" s="32">
        <v>0.1830127018922193</v>
      </c>
      <c r="CT75" s="34">
        <v>0.3169872981077807</v>
      </c>
      <c r="CV75" s="25"/>
      <c r="CW75" s="47"/>
      <c r="CX75" s="53">
        <v>1.5</v>
      </c>
      <c r="CY75" s="45">
        <f t="shared" si="89"/>
        <v>4.6093350383631715E-2</v>
      </c>
      <c r="CZ75" s="78">
        <f t="shared" si="90"/>
        <v>4.4936061381074172E-2</v>
      </c>
      <c r="DA75" s="50">
        <v>0.1041</v>
      </c>
      <c r="DB75" s="78">
        <f t="shared" si="91"/>
        <v>1.5759590792838875E-2</v>
      </c>
      <c r="DC75" s="50">
        <v>8.0600000000000005E-2</v>
      </c>
      <c r="DD75" s="40">
        <v>0.24401693585629242</v>
      </c>
      <c r="DE75" s="32">
        <v>0.42264973081037432</v>
      </c>
      <c r="DF75" s="32">
        <v>0.1830127018922193</v>
      </c>
      <c r="DG75" s="34">
        <v>0.3169872981077807</v>
      </c>
      <c r="DI75" s="25"/>
      <c r="DJ75" s="47"/>
      <c r="DK75" s="53">
        <v>1.5</v>
      </c>
      <c r="DL75" s="49">
        <v>4.4600000000000001E-2</v>
      </c>
      <c r="DM75" s="50">
        <v>4.7300000000000002E-2</v>
      </c>
      <c r="DN75" s="50">
        <v>0.1041</v>
      </c>
      <c r="DO75" s="50">
        <v>2.2499999999999999E-2</v>
      </c>
      <c r="DP75" s="50">
        <v>8.0600000000000005E-2</v>
      </c>
      <c r="DQ75" s="40">
        <v>0.24401693585629242</v>
      </c>
      <c r="DR75" s="32">
        <v>0.42264973081037432</v>
      </c>
      <c r="DS75" s="32">
        <v>0.1830127018922193</v>
      </c>
      <c r="DT75" s="34">
        <v>0.3169872981077807</v>
      </c>
    </row>
    <row r="76" spans="1:124" ht="12" customHeight="1" x14ac:dyDescent="0.2">
      <c r="A76" s="1"/>
      <c r="B76" s="25"/>
      <c r="C76" s="47"/>
      <c r="D76" s="68">
        <v>1.6</v>
      </c>
      <c r="E76" s="85">
        <f t="shared" si="2"/>
        <v>4.8800000000000003E-2</v>
      </c>
      <c r="F76" s="85">
        <f t="shared" si="3"/>
        <v>5.6210000000000003E-2</v>
      </c>
      <c r="G76" s="85">
        <f t="shared" si="4"/>
        <v>0.1081</v>
      </c>
      <c r="H76" s="85">
        <f t="shared" si="5"/>
        <v>2.6509999999999999E-2</v>
      </c>
      <c r="I76" s="85">
        <f t="shared" si="6"/>
        <v>7.9549999999999996E-2</v>
      </c>
      <c r="J76" s="85">
        <f t="shared" si="7"/>
        <v>0.25164246510180155</v>
      </c>
      <c r="K76" s="85">
        <f t="shared" si="8"/>
        <v>0.43585753489819845</v>
      </c>
      <c r="L76" s="85">
        <f t="shared" si="9"/>
        <v>0.1830127018922193</v>
      </c>
      <c r="M76" s="85">
        <f t="shared" si="10"/>
        <v>0.3169872981077807</v>
      </c>
      <c r="N76" s="1"/>
      <c r="P76" s="15"/>
      <c r="Q76" s="28"/>
      <c r="R76" s="31">
        <v>1.6</v>
      </c>
      <c r="S76" s="37">
        <v>4.8800000000000003E-2</v>
      </c>
      <c r="T76" s="32">
        <v>5.6210000000000003E-2</v>
      </c>
      <c r="U76" s="32">
        <v>0.1081</v>
      </c>
      <c r="V76" s="32">
        <v>2.6509999999999999E-2</v>
      </c>
      <c r="W76" s="32">
        <v>7.9549999999999996E-2</v>
      </c>
      <c r="X76" s="40">
        <v>0.25164246510180155</v>
      </c>
      <c r="Y76" s="32">
        <v>0.43585753489819845</v>
      </c>
      <c r="Z76" s="32">
        <v>0.1830127018922193</v>
      </c>
      <c r="AA76" s="34">
        <v>0.3169872981077807</v>
      </c>
      <c r="AC76" s="15"/>
      <c r="AD76" s="28"/>
      <c r="AE76" s="31">
        <v>1.6</v>
      </c>
      <c r="AF76" s="37">
        <v>4.8399999999999999E-2</v>
      </c>
      <c r="AG76" s="32">
        <f>1/21</f>
        <v>4.7619047619047616E-2</v>
      </c>
      <c r="AH76" s="32">
        <f>1/9.2</f>
        <v>0.10869565217391305</v>
      </c>
      <c r="AI76" s="32">
        <f>1/54.8</f>
        <v>1.8248175182481754E-2</v>
      </c>
      <c r="AJ76" s="32">
        <f>1/12.3</f>
        <v>8.1300813008130079E-2</v>
      </c>
      <c r="AK76" s="40">
        <v>0.25164246510180155</v>
      </c>
      <c r="AL76" s="32">
        <v>0.43585753489819845</v>
      </c>
      <c r="AM76" s="32">
        <v>0.1830127018922193</v>
      </c>
      <c r="AN76" s="34">
        <v>0.3169872981077807</v>
      </c>
      <c r="AP76" s="15"/>
      <c r="AQ76" s="28"/>
      <c r="AR76" s="31">
        <v>1.6</v>
      </c>
      <c r="AS76" s="45">
        <f t="shared" si="83"/>
        <v>4.6463999999999998E-2</v>
      </c>
      <c r="AT76" s="32">
        <f>1/19.7</f>
        <v>5.0761421319796954E-2</v>
      </c>
      <c r="AU76" s="32">
        <f>1/9.2</f>
        <v>0.10869565217391305</v>
      </c>
      <c r="AV76" s="32">
        <f t="shared" si="92"/>
        <v>2.4875621890547261E-2</v>
      </c>
      <c r="AW76" s="32">
        <f>1/12.3</f>
        <v>8.1300813008130079E-2</v>
      </c>
      <c r="AX76" s="40">
        <v>0.25164246510180155</v>
      </c>
      <c r="AY76" s="32">
        <v>0.43585753489819845</v>
      </c>
      <c r="AZ76" s="32">
        <v>0.1830127018922193</v>
      </c>
      <c r="BA76" s="34">
        <v>0.3169872981077807</v>
      </c>
      <c r="BC76" s="25"/>
      <c r="BD76" s="47"/>
      <c r="BE76" s="53">
        <v>1.6</v>
      </c>
      <c r="BF76" s="49">
        <v>4.718592000000002E-2</v>
      </c>
      <c r="BG76" s="50">
        <v>4.99E-2</v>
      </c>
      <c r="BH76" s="96">
        <v>0.107</v>
      </c>
      <c r="BI76" s="50">
        <v>2.0736000000000004E-2</v>
      </c>
      <c r="BJ76" s="96">
        <v>7.7312000000000006E-2</v>
      </c>
      <c r="BK76" s="40">
        <v>0.25164246510180155</v>
      </c>
      <c r="BL76" s="32">
        <v>0.43585753489819845</v>
      </c>
      <c r="BM76" s="32">
        <v>0.1830127018922193</v>
      </c>
      <c r="BN76" s="34">
        <v>0.3169872981077807</v>
      </c>
      <c r="BP76" s="15"/>
      <c r="BQ76" s="28"/>
      <c r="BR76" s="31">
        <v>1.6</v>
      </c>
      <c r="BS76" s="84">
        <f t="shared" si="84"/>
        <v>4.5611237086624949E-2</v>
      </c>
      <c r="BT76" s="78">
        <f t="shared" si="75"/>
        <v>5.1312641722453069E-2</v>
      </c>
      <c r="BU76" s="78">
        <f t="shared" si="76"/>
        <v>0.10845159923744969</v>
      </c>
      <c r="BV76" s="78">
        <f t="shared" si="77"/>
        <v>2.0044000672833229E-2</v>
      </c>
      <c r="BW76" s="78">
        <f t="shared" si="78"/>
        <v>4.2363905952128793E-2</v>
      </c>
      <c r="BX76" s="40">
        <v>0.25164246510180155</v>
      </c>
      <c r="BY76" s="32">
        <v>0.43585753489819845</v>
      </c>
      <c r="BZ76" s="32">
        <v>0.1830127018922193</v>
      </c>
      <c r="CA76" s="34">
        <v>0.3169872981077807</v>
      </c>
      <c r="CB76" s="37">
        <f t="shared" si="79"/>
        <v>0.86761279389959756</v>
      </c>
      <c r="CC76" s="37">
        <f t="shared" si="85"/>
        <v>0.13238720610040244</v>
      </c>
      <c r="CD76" s="72">
        <f t="shared" si="86"/>
        <v>14.222222222222221</v>
      </c>
      <c r="CE76" s="72">
        <f t="shared" si="86"/>
        <v>14.222222222222221</v>
      </c>
      <c r="CF76" s="37">
        <f t="shared" si="80"/>
        <v>0.84113535267951711</v>
      </c>
      <c r="CG76" s="37">
        <f t="shared" si="81"/>
        <v>0.841135352679517</v>
      </c>
      <c r="CI76" s="15"/>
      <c r="CJ76" s="28"/>
      <c r="CK76" s="31">
        <v>1.6</v>
      </c>
      <c r="CL76" s="45">
        <f t="shared" si="82"/>
        <v>4.3786787603159946E-2</v>
      </c>
      <c r="CM76" s="78">
        <f t="shared" si="87"/>
        <v>5.5321441857019718E-2</v>
      </c>
      <c r="CN76" s="78">
        <v>0.10845159923744969</v>
      </c>
      <c r="CO76" s="78">
        <f t="shared" si="88"/>
        <v>3.0306529017323842E-2</v>
      </c>
      <c r="CP76" s="78">
        <v>4.2363905952128793E-2</v>
      </c>
      <c r="CQ76" s="40">
        <v>0.25164246510180155</v>
      </c>
      <c r="CR76" s="32">
        <v>0.43585753489819845</v>
      </c>
      <c r="CS76" s="32">
        <v>0.1830127018922193</v>
      </c>
      <c r="CT76" s="34">
        <v>0.3169872981077807</v>
      </c>
      <c r="CV76" s="25"/>
      <c r="CW76" s="47"/>
      <c r="CX76" s="53">
        <v>1.6</v>
      </c>
      <c r="CY76" s="45">
        <f t="shared" si="89"/>
        <v>4.8272040920716137E-2</v>
      </c>
      <c r="CZ76" s="78">
        <f t="shared" si="90"/>
        <v>4.7866598465473149E-2</v>
      </c>
      <c r="DA76" s="50">
        <v>0.1082</v>
      </c>
      <c r="DB76" s="78">
        <f t="shared" si="91"/>
        <v>1.3556010230179034E-2</v>
      </c>
      <c r="DC76" s="50">
        <v>8.1199999999999994E-2</v>
      </c>
      <c r="DD76" s="40">
        <v>0.25164246510180155</v>
      </c>
      <c r="DE76" s="32">
        <v>0.43585753489819845</v>
      </c>
      <c r="DF76" s="32">
        <v>0.1830127018922193</v>
      </c>
      <c r="DG76" s="34">
        <v>0.3169872981077807</v>
      </c>
      <c r="DI76" s="25"/>
      <c r="DJ76" s="47"/>
      <c r="DK76" s="53">
        <v>1.6</v>
      </c>
      <c r="DL76" s="49">
        <v>4.7300000000000002E-2</v>
      </c>
      <c r="DM76" s="50">
        <v>4.99E-2</v>
      </c>
      <c r="DN76" s="50">
        <v>0.1082</v>
      </c>
      <c r="DO76" s="50">
        <v>2.07E-2</v>
      </c>
      <c r="DP76" s="50">
        <v>8.1199999999999994E-2</v>
      </c>
      <c r="DQ76" s="40">
        <v>0.25164246510180155</v>
      </c>
      <c r="DR76" s="32">
        <v>0.43585753489819845</v>
      </c>
      <c r="DS76" s="32">
        <v>0.1830127018922193</v>
      </c>
      <c r="DT76" s="34">
        <v>0.3169872981077807</v>
      </c>
    </row>
    <row r="77" spans="1:124" ht="12" customHeight="1" x14ac:dyDescent="0.2">
      <c r="A77" s="1"/>
      <c r="B77" s="25"/>
      <c r="C77" s="47"/>
      <c r="D77" s="68">
        <v>1.7</v>
      </c>
      <c r="E77" s="85">
        <f t="shared" si="2"/>
        <v>5.11E-2</v>
      </c>
      <c r="F77" s="85">
        <f t="shared" si="3"/>
        <v>5.8729999999999997E-2</v>
      </c>
      <c r="G77" s="85">
        <f t="shared" si="4"/>
        <v>0.1116</v>
      </c>
      <c r="H77" s="85">
        <f t="shared" si="5"/>
        <v>2.5909999999999999E-2</v>
      </c>
      <c r="I77" s="85">
        <f t="shared" si="6"/>
        <v>7.9759999999999998E-2</v>
      </c>
      <c r="J77" s="85">
        <f t="shared" si="7"/>
        <v>0.25837087325960367</v>
      </c>
      <c r="K77" s="85">
        <f t="shared" si="8"/>
        <v>0.44751147968157273</v>
      </c>
      <c r="L77" s="85">
        <f t="shared" si="9"/>
        <v>0.1830127018922193</v>
      </c>
      <c r="M77" s="85">
        <f t="shared" si="10"/>
        <v>0.3169872981077807</v>
      </c>
      <c r="N77" s="1"/>
      <c r="P77" s="15"/>
      <c r="Q77" s="28"/>
      <c r="R77" s="31">
        <v>1.7</v>
      </c>
      <c r="S77" s="37">
        <v>5.11E-2</v>
      </c>
      <c r="T77" s="32">
        <v>5.8729999999999997E-2</v>
      </c>
      <c r="U77" s="32">
        <v>0.1116</v>
      </c>
      <c r="V77" s="32">
        <v>2.5909999999999999E-2</v>
      </c>
      <c r="W77" s="32">
        <v>7.9759999999999998E-2</v>
      </c>
      <c r="X77" s="40">
        <v>0.25837087325960367</v>
      </c>
      <c r="Y77" s="32">
        <v>0.44751147968157273</v>
      </c>
      <c r="Z77" s="32">
        <v>0.1830127018922193</v>
      </c>
      <c r="AA77" s="34">
        <v>0.3169872981077807</v>
      </c>
      <c r="AC77" s="15"/>
      <c r="AD77" s="28"/>
      <c r="AE77" s="31">
        <v>1.7</v>
      </c>
      <c r="AF77" s="37">
        <v>5.0799999999999998E-2</v>
      </c>
      <c r="AG77" s="32">
        <f>1/19.9</f>
        <v>5.0251256281407038E-2</v>
      </c>
      <c r="AH77" s="32">
        <f>1/8.9</f>
        <v>0.11235955056179775</v>
      </c>
      <c r="AI77" s="32">
        <f>1/56.3</f>
        <v>1.7761989342806397E-2</v>
      </c>
      <c r="AJ77" s="32">
        <f>1/12.2</f>
        <v>8.1967213114754106E-2</v>
      </c>
      <c r="AK77" s="40">
        <v>0.25837087325960367</v>
      </c>
      <c r="AL77" s="32">
        <v>0.44751147968157273</v>
      </c>
      <c r="AM77" s="32">
        <v>0.1830127018922193</v>
      </c>
      <c r="AN77" s="34">
        <v>0.3169872981077807</v>
      </c>
      <c r="AP77" s="15"/>
      <c r="AQ77" s="28"/>
      <c r="AR77" s="31">
        <v>1.7</v>
      </c>
      <c r="AS77" s="45">
        <f t="shared" si="83"/>
        <v>4.8767999999999999E-2</v>
      </c>
      <c r="AT77" s="32">
        <f>1/18.8</f>
        <v>5.3191489361702128E-2</v>
      </c>
      <c r="AU77" s="32">
        <f>1/8.9</f>
        <v>0.11235955056179775</v>
      </c>
      <c r="AV77" s="32">
        <f t="shared" si="92"/>
        <v>2.4875621890547261E-2</v>
      </c>
      <c r="AW77" s="32">
        <f>1/12.2</f>
        <v>8.1967213114754106E-2</v>
      </c>
      <c r="AX77" s="40">
        <v>0.25837087325960367</v>
      </c>
      <c r="AY77" s="32">
        <v>0.44751147968157273</v>
      </c>
      <c r="AZ77" s="32">
        <v>0.1830127018922193</v>
      </c>
      <c r="BA77" s="34">
        <v>0.3169872981077807</v>
      </c>
      <c r="BC77" s="25"/>
      <c r="BD77" s="47"/>
      <c r="BE77" s="53">
        <v>1.7</v>
      </c>
      <c r="BF77" s="49">
        <v>4.927738999999999E-2</v>
      </c>
      <c r="BG77" s="50">
        <v>5.21E-2</v>
      </c>
      <c r="BH77" s="96">
        <v>0.1104</v>
      </c>
      <c r="BI77" s="50">
        <v>1.9073999999999997E-2</v>
      </c>
      <c r="BJ77" s="96">
        <v>7.7451999999999993E-2</v>
      </c>
      <c r="BK77" s="40">
        <v>0.25837087325960367</v>
      </c>
      <c r="BL77" s="32">
        <v>0.44751147968157273</v>
      </c>
      <c r="BM77" s="32">
        <v>0.1830127018922193</v>
      </c>
      <c r="BN77" s="34">
        <v>0.3169872981077807</v>
      </c>
      <c r="BP77" s="15"/>
      <c r="BQ77" s="28"/>
      <c r="BR77" s="31">
        <v>1.7</v>
      </c>
      <c r="BS77" s="84">
        <f t="shared" si="84"/>
        <v>4.7731701500339195E-2</v>
      </c>
      <c r="BT77" s="78">
        <f t="shared" si="75"/>
        <v>5.3698164187881599E-2</v>
      </c>
      <c r="BU77" s="78">
        <f t="shared" si="76"/>
        <v>0.11163401802803648</v>
      </c>
      <c r="BV77" s="78">
        <f t="shared" si="77"/>
        <v>1.8580679649786023E-2</v>
      </c>
      <c r="BW77" s="78">
        <f t="shared" si="78"/>
        <v>3.8627687898974576E-2</v>
      </c>
      <c r="BX77" s="40">
        <v>0.25837087325960367</v>
      </c>
      <c r="BY77" s="32">
        <v>0.44751147968157273</v>
      </c>
      <c r="BZ77" s="32">
        <v>0.1830127018922193</v>
      </c>
      <c r="CA77" s="34">
        <v>0.3169872981077807</v>
      </c>
      <c r="CB77" s="37">
        <f t="shared" si="79"/>
        <v>0.89307214422429182</v>
      </c>
      <c r="CC77" s="37">
        <f t="shared" si="85"/>
        <v>0.10692785577570818</v>
      </c>
      <c r="CD77" s="72">
        <f t="shared" si="86"/>
        <v>14.222222222222221</v>
      </c>
      <c r="CE77" s="72">
        <f t="shared" si="86"/>
        <v>14.222222222222221</v>
      </c>
      <c r="CF77" s="37">
        <f t="shared" si="80"/>
        <v>0.85514617037884544</v>
      </c>
      <c r="CG77" s="37">
        <f t="shared" si="81"/>
        <v>0.85514617037884533</v>
      </c>
      <c r="CI77" s="15"/>
      <c r="CJ77" s="28"/>
      <c r="CK77" s="31">
        <v>1.7</v>
      </c>
      <c r="CL77" s="45">
        <f t="shared" si="82"/>
        <v>4.5822433440325626E-2</v>
      </c>
      <c r="CM77" s="78">
        <f t="shared" si="87"/>
        <v>5.7414300117838803E-2</v>
      </c>
      <c r="CN77" s="78">
        <v>0.11163401802803648</v>
      </c>
      <c r="CO77" s="78">
        <f t="shared" si="88"/>
        <v>2.9320312487362343E-2</v>
      </c>
      <c r="CP77" s="78">
        <v>3.8627687898974576E-2</v>
      </c>
      <c r="CQ77" s="40">
        <v>0.25837087325960367</v>
      </c>
      <c r="CR77" s="32">
        <v>0.44751147968157273</v>
      </c>
      <c r="CS77" s="32">
        <v>0.1830127018922193</v>
      </c>
      <c r="CT77" s="34">
        <v>0.3169872981077807</v>
      </c>
      <c r="CV77" s="25"/>
      <c r="CW77" s="47"/>
      <c r="CX77" s="53">
        <v>1.7</v>
      </c>
      <c r="CY77" s="45">
        <f t="shared" si="89"/>
        <v>5.0411652173913038E-2</v>
      </c>
      <c r="CZ77" s="78">
        <f t="shared" si="90"/>
        <v>5.0372276214833762E-2</v>
      </c>
      <c r="DA77" s="50">
        <v>0.1116</v>
      </c>
      <c r="DB77" s="78">
        <f t="shared" si="91"/>
        <v>1.1518158567774935E-2</v>
      </c>
      <c r="DC77" s="50">
        <v>8.1500000000000003E-2</v>
      </c>
      <c r="DD77" s="40">
        <v>0.25837087325960367</v>
      </c>
      <c r="DE77" s="32">
        <v>0.44751147968157273</v>
      </c>
      <c r="DF77" s="32">
        <v>0.1830127018922193</v>
      </c>
      <c r="DG77" s="34">
        <v>0.3169872981077807</v>
      </c>
      <c r="DI77" s="25"/>
      <c r="DJ77" s="47"/>
      <c r="DK77" s="53">
        <v>1.7</v>
      </c>
      <c r="DL77" s="49">
        <v>4.9699999999999994E-2</v>
      </c>
      <c r="DM77" s="50">
        <v>5.21E-2</v>
      </c>
      <c r="DN77" s="50">
        <v>0.1116</v>
      </c>
      <c r="DO77" s="50">
        <v>1.9099999999999999E-2</v>
      </c>
      <c r="DP77" s="50">
        <v>8.1500000000000003E-2</v>
      </c>
      <c r="DQ77" s="40">
        <v>0.25837087325960367</v>
      </c>
      <c r="DR77" s="32">
        <v>0.44751147968157273</v>
      </c>
      <c r="DS77" s="32">
        <v>0.1830127018922193</v>
      </c>
      <c r="DT77" s="34">
        <v>0.3169872981077807</v>
      </c>
    </row>
    <row r="78" spans="1:124" ht="12" customHeight="1" x14ac:dyDescent="0.2">
      <c r="A78" s="1"/>
      <c r="B78" s="25"/>
      <c r="C78" s="47"/>
      <c r="D78" s="68">
        <v>1.8</v>
      </c>
      <c r="E78" s="85">
        <f t="shared" si="2"/>
        <v>5.3100000000000001E-2</v>
      </c>
      <c r="F78" s="85">
        <f t="shared" si="3"/>
        <v>6.0850000000000001E-2</v>
      </c>
      <c r="G78" s="85">
        <f t="shared" si="4"/>
        <v>0.1144</v>
      </c>
      <c r="H78" s="85">
        <f t="shared" si="5"/>
        <v>2.5440000000000001E-2</v>
      </c>
      <c r="I78" s="85">
        <f t="shared" si="6"/>
        <v>7.9820000000000002E-2</v>
      </c>
      <c r="J78" s="85">
        <f t="shared" si="7"/>
        <v>0.2643516805109834</v>
      </c>
      <c r="K78" s="85">
        <f t="shared" si="8"/>
        <v>0.45787054171123881</v>
      </c>
      <c r="L78" s="85">
        <f t="shared" si="9"/>
        <v>0.1830127018922193</v>
      </c>
      <c r="M78" s="85">
        <f t="shared" si="10"/>
        <v>0.3169872981077807</v>
      </c>
      <c r="N78" s="1"/>
      <c r="P78" s="15"/>
      <c r="Q78" s="28"/>
      <c r="R78" s="31">
        <v>1.8</v>
      </c>
      <c r="S78" s="37">
        <v>5.3100000000000001E-2</v>
      </c>
      <c r="T78" s="32">
        <v>6.0850000000000001E-2</v>
      </c>
      <c r="U78" s="32">
        <v>0.1144</v>
      </c>
      <c r="V78" s="32">
        <v>2.5440000000000001E-2</v>
      </c>
      <c r="W78" s="32">
        <v>7.9820000000000002E-2</v>
      </c>
      <c r="X78" s="40">
        <v>0.2643516805109834</v>
      </c>
      <c r="Y78" s="32">
        <v>0.45787054171123881</v>
      </c>
      <c r="Z78" s="32">
        <v>0.1830127018922193</v>
      </c>
      <c r="AA78" s="34">
        <v>0.3169872981077807</v>
      </c>
      <c r="AC78" s="15"/>
      <c r="AD78" s="28"/>
      <c r="AE78" s="31">
        <v>1.8</v>
      </c>
      <c r="AF78" s="37">
        <v>5.2900000000000003E-2</v>
      </c>
      <c r="AG78" s="32">
        <f>1/19.1</f>
        <v>5.235602094240837E-2</v>
      </c>
      <c r="AH78" s="32">
        <f>1/8.7</f>
        <v>0.1149425287356322</v>
      </c>
      <c r="AI78" s="32">
        <f>1/57.7</f>
        <v>1.7331022530329289E-2</v>
      </c>
      <c r="AJ78" s="32">
        <f>1/12.2</f>
        <v>8.1967213114754106E-2</v>
      </c>
      <c r="AK78" s="40">
        <v>0.2643516805109834</v>
      </c>
      <c r="AL78" s="32">
        <v>0.45787054171123881</v>
      </c>
      <c r="AM78" s="32">
        <v>0.1830127018922193</v>
      </c>
      <c r="AN78" s="34">
        <v>0.3169872981077807</v>
      </c>
      <c r="AP78" s="15"/>
      <c r="AQ78" s="28"/>
      <c r="AR78" s="31">
        <v>1.8</v>
      </c>
      <c r="AS78" s="45">
        <f t="shared" si="83"/>
        <v>5.0784000000000003E-2</v>
      </c>
      <c r="AT78" s="32">
        <f>1/18.1</f>
        <v>5.5248618784530384E-2</v>
      </c>
      <c r="AU78" s="32">
        <f>1/8.7</f>
        <v>0.1149425287356322</v>
      </c>
      <c r="AV78" s="32">
        <f t="shared" si="92"/>
        <v>2.4875621890547261E-2</v>
      </c>
      <c r="AW78" s="32">
        <f>1/12.2</f>
        <v>8.1967213114754106E-2</v>
      </c>
      <c r="AX78" s="40">
        <v>0.2643516805109834</v>
      </c>
      <c r="AY78" s="32">
        <v>0.45787054171123881</v>
      </c>
      <c r="AZ78" s="32">
        <v>0.1830127018922193</v>
      </c>
      <c r="BA78" s="34">
        <v>0.3169872981077807</v>
      </c>
      <c r="BC78" s="25"/>
      <c r="BD78" s="47"/>
      <c r="BE78" s="53">
        <v>1.8</v>
      </c>
      <c r="BF78" s="49">
        <v>5.0388480000000013E-2</v>
      </c>
      <c r="BG78" s="50">
        <v>5.3999999999999999E-2</v>
      </c>
      <c r="BH78" s="96">
        <v>0.1132</v>
      </c>
      <c r="BI78" s="50">
        <v>1.7820000000000003E-2</v>
      </c>
      <c r="BJ78" s="96">
        <v>7.7436000000000005E-2</v>
      </c>
      <c r="BK78" s="40">
        <v>0.2643516805109834</v>
      </c>
      <c r="BL78" s="32">
        <v>0.45787054171123881</v>
      </c>
      <c r="BM78" s="32">
        <v>0.1830127018922193</v>
      </c>
      <c r="BN78" s="34">
        <v>0.3169872981077807</v>
      </c>
      <c r="BP78" s="15"/>
      <c r="BQ78" s="28"/>
      <c r="BR78" s="31">
        <v>1.8</v>
      </c>
      <c r="BS78" s="84">
        <f t="shared" si="84"/>
        <v>4.9526329324060731E-2</v>
      </c>
      <c r="BT78" s="78">
        <f t="shared" si="75"/>
        <v>5.5717120489568325E-2</v>
      </c>
      <c r="BU78" s="78">
        <f t="shared" si="76"/>
        <v>0.11412816587809629</v>
      </c>
      <c r="BV78" s="78">
        <f t="shared" si="77"/>
        <v>1.7196642126409985E-2</v>
      </c>
      <c r="BW78" s="78">
        <f t="shared" si="78"/>
        <v>3.5224742554968012E-2</v>
      </c>
      <c r="BX78" s="40">
        <v>0.2643516805109834</v>
      </c>
      <c r="BY78" s="32">
        <v>0.45787054171123881</v>
      </c>
      <c r="BZ78" s="32">
        <v>0.1830127018922193</v>
      </c>
      <c r="CA78" s="34">
        <v>0.3169872981077807</v>
      </c>
      <c r="CB78" s="37">
        <f t="shared" si="79"/>
        <v>0.91302532702477035</v>
      </c>
      <c r="CC78" s="37">
        <f t="shared" si="85"/>
        <v>8.697467297522965E-2</v>
      </c>
      <c r="CD78" s="72">
        <f t="shared" si="86"/>
        <v>14.222222222222221</v>
      </c>
      <c r="CE78" s="72">
        <f t="shared" si="86"/>
        <v>14.222222222222221</v>
      </c>
      <c r="CF78" s="37">
        <f t="shared" si="80"/>
        <v>0.86790721541887006</v>
      </c>
      <c r="CG78" s="37">
        <f t="shared" si="81"/>
        <v>0.86790721541886995</v>
      </c>
      <c r="CI78" s="15"/>
      <c r="CJ78" s="28"/>
      <c r="CK78" s="31">
        <v>1.8</v>
      </c>
      <c r="CL78" s="45">
        <f t="shared" si="82"/>
        <v>4.7545276151098298E-2</v>
      </c>
      <c r="CM78" s="78">
        <f t="shared" si="87"/>
        <v>5.9156448914850321E-2</v>
      </c>
      <c r="CN78" s="78">
        <v>0.11412816587809629</v>
      </c>
      <c r="CO78" s="78">
        <f t="shared" si="88"/>
        <v>2.834006622432365E-2</v>
      </c>
      <c r="CP78" s="78">
        <v>3.5224742554968012E-2</v>
      </c>
      <c r="CQ78" s="40">
        <v>0.2643516805109834</v>
      </c>
      <c r="CR78" s="32">
        <v>0.45787054171123881</v>
      </c>
      <c r="CS78" s="32">
        <v>0.1830127018922193</v>
      </c>
      <c r="CT78" s="34">
        <v>0.3169872981077807</v>
      </c>
      <c r="CV78" s="25"/>
      <c r="CW78" s="47"/>
      <c r="CX78" s="53">
        <v>1.8</v>
      </c>
      <c r="CY78" s="45">
        <f t="shared" si="89"/>
        <v>5.1548317135549887E-2</v>
      </c>
      <c r="CZ78" s="78">
        <f t="shared" si="90"/>
        <v>5.2508439897698211E-2</v>
      </c>
      <c r="DA78" s="50">
        <v>0.1143</v>
      </c>
      <c r="DB78" s="78">
        <f t="shared" si="91"/>
        <v>9.9437340153452729E-3</v>
      </c>
      <c r="DC78" s="50">
        <v>8.1699999999999995E-2</v>
      </c>
      <c r="DD78" s="40">
        <v>0.2643516805109834</v>
      </c>
      <c r="DE78" s="32">
        <v>0.45787054171123881</v>
      </c>
      <c r="DF78" s="32">
        <v>0.1830127018922193</v>
      </c>
      <c r="DG78" s="34">
        <v>0.3169872981077807</v>
      </c>
      <c r="DI78" s="25"/>
      <c r="DJ78" s="47"/>
      <c r="DK78" s="53">
        <v>1.8</v>
      </c>
      <c r="DL78" s="49">
        <v>5.16E-2</v>
      </c>
      <c r="DM78" s="50">
        <v>5.4000000000000006E-2</v>
      </c>
      <c r="DN78" s="50">
        <v>0.1143</v>
      </c>
      <c r="DO78" s="50">
        <v>1.78E-2</v>
      </c>
      <c r="DP78" s="50">
        <v>8.1699999999999995E-2</v>
      </c>
      <c r="DQ78" s="40">
        <v>0.2643516805109834</v>
      </c>
      <c r="DR78" s="32">
        <v>0.45787054171123881</v>
      </c>
      <c r="DS78" s="32">
        <v>0.1830127018922193</v>
      </c>
      <c r="DT78" s="34">
        <v>0.3169872981077807</v>
      </c>
    </row>
    <row r="79" spans="1:124" ht="12" customHeight="1" x14ac:dyDescent="0.2">
      <c r="A79" s="1"/>
      <c r="B79" s="25"/>
      <c r="C79" s="47"/>
      <c r="D79" s="68">
        <v>1.9</v>
      </c>
      <c r="E79" s="85">
        <f t="shared" si="2"/>
        <v>5.4699999999999999E-2</v>
      </c>
      <c r="F79" s="85">
        <f t="shared" si="3"/>
        <v>6.2609999999999999E-2</v>
      </c>
      <c r="G79" s="85">
        <f t="shared" si="4"/>
        <v>0.1166</v>
      </c>
      <c r="H79" s="85">
        <f t="shared" si="5"/>
        <v>2.5190000000000001E-2</v>
      </c>
      <c r="I79" s="85">
        <f t="shared" si="6"/>
        <v>7.9780000000000004E-2</v>
      </c>
      <c r="J79" s="85">
        <f t="shared" si="7"/>
        <v>0.2697029291043232</v>
      </c>
      <c r="K79" s="85">
        <f t="shared" si="8"/>
        <v>0.46713917615883477</v>
      </c>
      <c r="L79" s="85">
        <f t="shared" si="9"/>
        <v>0.1830127018922193</v>
      </c>
      <c r="M79" s="85">
        <f t="shared" si="10"/>
        <v>0.3169872981077807</v>
      </c>
      <c r="N79" s="1"/>
      <c r="P79" s="15"/>
      <c r="Q79" s="28"/>
      <c r="R79" s="31">
        <v>1.9</v>
      </c>
      <c r="S79" s="37">
        <v>5.4699999999999999E-2</v>
      </c>
      <c r="T79" s="32">
        <v>6.2609999999999999E-2</v>
      </c>
      <c r="U79" s="32">
        <v>0.1166</v>
      </c>
      <c r="V79" s="32">
        <v>2.5190000000000001E-2</v>
      </c>
      <c r="W79" s="32">
        <v>7.9780000000000004E-2</v>
      </c>
      <c r="X79" s="40">
        <v>0.2697029291043232</v>
      </c>
      <c r="Y79" s="32">
        <v>0.46713917615883477</v>
      </c>
      <c r="Z79" s="32">
        <v>0.1830127018922193</v>
      </c>
      <c r="AA79" s="34">
        <v>0.3169872981077807</v>
      </c>
      <c r="AC79" s="15"/>
      <c r="AD79" s="28"/>
      <c r="AE79" s="31">
        <v>1.9</v>
      </c>
      <c r="AF79" s="37">
        <v>5.4699999999999999E-2</v>
      </c>
      <c r="AG79" s="32">
        <f>1/18.4</f>
        <v>5.4347826086956527E-2</v>
      </c>
      <c r="AH79" s="32">
        <f>1/8.5</f>
        <v>0.11764705882352941</v>
      </c>
      <c r="AI79" s="32">
        <f>1/59</f>
        <v>1.6949152542372881E-2</v>
      </c>
      <c r="AJ79" s="32">
        <f>1/12.2</f>
        <v>8.1967213114754106E-2</v>
      </c>
      <c r="AK79" s="40">
        <v>0.2697029291043232</v>
      </c>
      <c r="AL79" s="32">
        <v>0.46713917615883477</v>
      </c>
      <c r="AM79" s="32">
        <v>0.1830127018922193</v>
      </c>
      <c r="AN79" s="34">
        <v>0.3169872981077807</v>
      </c>
      <c r="AP79" s="15"/>
      <c r="AQ79" s="28"/>
      <c r="AR79" s="31">
        <v>1.9</v>
      </c>
      <c r="AS79" s="45">
        <f t="shared" si="83"/>
        <v>5.2511999999999996E-2</v>
      </c>
      <c r="AT79" s="32">
        <f>1/17.5</f>
        <v>5.7142857142857141E-2</v>
      </c>
      <c r="AU79" s="32">
        <f>1/8.5</f>
        <v>0.11764705882352941</v>
      </c>
      <c r="AV79" s="32">
        <f t="shared" si="92"/>
        <v>2.4875621890547261E-2</v>
      </c>
      <c r="AW79" s="32">
        <f>1/12.2</f>
        <v>8.1967213114754106E-2</v>
      </c>
      <c r="AX79" s="40">
        <v>0.2697029291043232</v>
      </c>
      <c r="AY79" s="32">
        <v>0.46713917615883477</v>
      </c>
      <c r="AZ79" s="32">
        <v>0.1830127018922193</v>
      </c>
      <c r="BA79" s="34">
        <v>0.3169872981077807</v>
      </c>
      <c r="BC79" s="25"/>
      <c r="BD79" s="47"/>
      <c r="BE79" s="53">
        <v>1.9</v>
      </c>
      <c r="BF79" s="49">
        <v>5.2128399999999998E-2</v>
      </c>
      <c r="BG79" s="50">
        <v>5.5599999999999997E-2</v>
      </c>
      <c r="BH79" s="96">
        <v>0.1157</v>
      </c>
      <c r="BI79" s="50">
        <v>1.6605999999999999E-2</v>
      </c>
      <c r="BJ79" s="96">
        <v>7.7615000000000003E-2</v>
      </c>
      <c r="BK79" s="40">
        <v>0.2697029291043232</v>
      </c>
      <c r="BL79" s="32">
        <v>0.46713917615883477</v>
      </c>
      <c r="BM79" s="32">
        <v>0.1830127018922193</v>
      </c>
      <c r="BN79" s="34">
        <v>0.3169872981077807</v>
      </c>
      <c r="BP79" s="15"/>
      <c r="BQ79" s="28"/>
      <c r="BR79" s="31">
        <v>1.9</v>
      </c>
      <c r="BS79" s="84">
        <f t="shared" si="84"/>
        <v>5.1045934548416279E-2</v>
      </c>
      <c r="BT79" s="78">
        <f t="shared" si="75"/>
        <v>5.742667636696832E-2</v>
      </c>
      <c r="BU79" s="78">
        <f t="shared" si="76"/>
        <v>0.11609185367835177</v>
      </c>
      <c r="BV79" s="78">
        <f t="shared" si="77"/>
        <v>1.5907666583647742E-2</v>
      </c>
      <c r="BW79" s="78">
        <f t="shared" si="78"/>
        <v>3.2158408221150098E-2</v>
      </c>
      <c r="BX79" s="40">
        <v>0.2697029291043232</v>
      </c>
      <c r="BY79" s="32">
        <v>0.46713917615883477</v>
      </c>
      <c r="BZ79" s="32">
        <v>0.1830127018922193</v>
      </c>
      <c r="CA79" s="34">
        <v>0.3169872981077807</v>
      </c>
      <c r="CB79" s="37">
        <f t="shared" si="79"/>
        <v>0.92873482942681418</v>
      </c>
      <c r="CC79" s="37">
        <f t="shared" si="85"/>
        <v>7.1265170573185821E-2</v>
      </c>
      <c r="CD79" s="72">
        <f t="shared" si="86"/>
        <v>14.222222222222221</v>
      </c>
      <c r="CE79" s="72">
        <f t="shared" si="86"/>
        <v>14.222222222222221</v>
      </c>
      <c r="CF79" s="37">
        <f t="shared" si="80"/>
        <v>0.87940596917068725</v>
      </c>
      <c r="CG79" s="37">
        <f t="shared" si="81"/>
        <v>0.87940596917068714</v>
      </c>
      <c r="CI79" s="15"/>
      <c r="CJ79" s="28"/>
      <c r="CK79" s="31">
        <v>1.9</v>
      </c>
      <c r="CL79" s="45">
        <f t="shared" si="82"/>
        <v>4.9004097166479625E-2</v>
      </c>
      <c r="CM79" s="78">
        <f t="shared" si="87"/>
        <v>6.0608209683697865E-2</v>
      </c>
      <c r="CN79" s="78">
        <v>0.11609185367835177</v>
      </c>
      <c r="CO79" s="78">
        <f t="shared" si="88"/>
        <v>2.7393001857041407E-2</v>
      </c>
      <c r="CP79" s="78">
        <v>3.2158408221150098E-2</v>
      </c>
      <c r="CQ79" s="40">
        <v>0.2697029291043232</v>
      </c>
      <c r="CR79" s="32">
        <v>0.46713917615883477</v>
      </c>
      <c r="CS79" s="32">
        <v>0.1830127018922193</v>
      </c>
      <c r="CT79" s="34">
        <v>0.3169872981077807</v>
      </c>
      <c r="CV79" s="25"/>
      <c r="CW79" s="47"/>
      <c r="CX79" s="53">
        <v>1.9</v>
      </c>
      <c r="CY79" s="45">
        <f t="shared" si="89"/>
        <v>5.3328286445012786E-2</v>
      </c>
      <c r="CZ79" s="78">
        <f t="shared" si="90"/>
        <v>5.4331560102301793E-2</v>
      </c>
      <c r="DA79" s="50">
        <v>0.1167</v>
      </c>
      <c r="DB79" s="78">
        <f t="shared" si="91"/>
        <v>8.456265984654732E-3</v>
      </c>
      <c r="DC79" s="50">
        <v>8.1799999999999998E-2</v>
      </c>
      <c r="DD79" s="40">
        <v>0.2697029291043232</v>
      </c>
      <c r="DE79" s="32">
        <v>0.46713917615883477</v>
      </c>
      <c r="DF79" s="32">
        <v>0.1830127018922193</v>
      </c>
      <c r="DG79" s="34">
        <v>0.3169872981077807</v>
      </c>
      <c r="DI79" s="25"/>
      <c r="DJ79" s="47"/>
      <c r="DK79" s="53">
        <v>1.9</v>
      </c>
      <c r="DL79" s="49">
        <v>5.33E-2</v>
      </c>
      <c r="DM79" s="50">
        <v>5.5599999999999997E-2</v>
      </c>
      <c r="DN79" s="50">
        <v>0.1167</v>
      </c>
      <c r="DO79" s="50">
        <v>1.66E-2</v>
      </c>
      <c r="DP79" s="50">
        <v>8.1799999999999998E-2</v>
      </c>
      <c r="DQ79" s="40">
        <v>0.2697029291043232</v>
      </c>
      <c r="DR79" s="32">
        <v>0.46713917615883477</v>
      </c>
      <c r="DS79" s="32">
        <v>0.1830127018922193</v>
      </c>
      <c r="DT79" s="34">
        <v>0.3169872981077807</v>
      </c>
    </row>
    <row r="80" spans="1:124" ht="12" customHeight="1" x14ac:dyDescent="0.2">
      <c r="A80" s="1"/>
      <c r="B80" s="25"/>
      <c r="C80" s="47"/>
      <c r="D80" s="68">
        <v>2</v>
      </c>
      <c r="E80" s="85">
        <f t="shared" si="2"/>
        <v>5.6099999999999997E-2</v>
      </c>
      <c r="F80" s="85">
        <f t="shared" si="3"/>
        <v>6.4079999999999998E-2</v>
      </c>
      <c r="G80" s="85">
        <f t="shared" si="4"/>
        <v>0.11849999999999999</v>
      </c>
      <c r="H80" s="85">
        <f t="shared" si="5"/>
        <v>2.4930000000000001E-2</v>
      </c>
      <c r="I80" s="85">
        <f t="shared" si="6"/>
        <v>7.9689999999999997E-2</v>
      </c>
      <c r="J80" s="85">
        <f t="shared" si="7"/>
        <v>0.27451905283832895</v>
      </c>
      <c r="K80" s="85">
        <f t="shared" si="8"/>
        <v>0.47548094716167105</v>
      </c>
      <c r="L80" s="85">
        <f t="shared" si="9"/>
        <v>0.1830127018922193</v>
      </c>
      <c r="M80" s="85">
        <f t="shared" si="10"/>
        <v>0.3169872981077807</v>
      </c>
      <c r="N80" s="1"/>
      <c r="P80" s="15"/>
      <c r="Q80" s="28"/>
      <c r="R80" s="31">
        <v>2</v>
      </c>
      <c r="S80" s="37">
        <v>5.6099999999999997E-2</v>
      </c>
      <c r="T80" s="32">
        <v>6.4079999999999998E-2</v>
      </c>
      <c r="U80" s="32">
        <v>0.11849999999999999</v>
      </c>
      <c r="V80" s="32">
        <v>2.4930000000000001E-2</v>
      </c>
      <c r="W80" s="32">
        <v>7.9689999999999997E-2</v>
      </c>
      <c r="X80" s="40">
        <v>0.27451905283832895</v>
      </c>
      <c r="Y80" s="32">
        <v>0.47548094716167105</v>
      </c>
      <c r="Z80" s="32">
        <v>0.1830127018922193</v>
      </c>
      <c r="AA80" s="34">
        <v>0.3169872981077807</v>
      </c>
      <c r="AC80" s="15"/>
      <c r="AD80" s="28"/>
      <c r="AE80" s="31">
        <v>2</v>
      </c>
      <c r="AF80" s="37">
        <v>5.62E-2</v>
      </c>
      <c r="AG80" s="32">
        <f>1/17.9</f>
        <v>5.5865921787709501E-2</v>
      </c>
      <c r="AH80" s="32">
        <f>1/8.4</f>
        <v>0.11904761904761904</v>
      </c>
      <c r="AI80" s="32">
        <f>1/60.2</f>
        <v>1.6611295681063121E-2</v>
      </c>
      <c r="AJ80" s="32">
        <f>1/12.2</f>
        <v>8.1967213114754106E-2</v>
      </c>
      <c r="AK80" s="40">
        <v>0.27451905283832895</v>
      </c>
      <c r="AL80" s="32">
        <v>0.47548094716167105</v>
      </c>
      <c r="AM80" s="32">
        <v>0.1830127018922193</v>
      </c>
      <c r="AN80" s="34">
        <v>0.3169872981077807</v>
      </c>
      <c r="AP80" s="15"/>
      <c r="AQ80" s="28"/>
      <c r="AR80" s="31">
        <v>2</v>
      </c>
      <c r="AS80" s="45">
        <f t="shared" si="83"/>
        <v>5.3952E-2</v>
      </c>
      <c r="AT80" s="32">
        <f>1/17.1</f>
        <v>5.8479532163742687E-2</v>
      </c>
      <c r="AU80" s="32">
        <f>1/8.4</f>
        <v>0.11904761904761904</v>
      </c>
      <c r="AV80" s="32">
        <f t="shared" si="92"/>
        <v>2.4875621890547261E-2</v>
      </c>
      <c r="AW80" s="32">
        <f>1/12.2</f>
        <v>8.1967213114754106E-2</v>
      </c>
      <c r="AX80" s="40">
        <v>0.27451905283832895</v>
      </c>
      <c r="AY80" s="32">
        <v>0.47548094716167105</v>
      </c>
      <c r="AZ80" s="32">
        <v>0.1830127018922193</v>
      </c>
      <c r="BA80" s="34">
        <v>0.3169872981077807</v>
      </c>
      <c r="BC80" s="25"/>
      <c r="BD80" s="47"/>
      <c r="BE80" s="53">
        <v>2</v>
      </c>
      <c r="BF80" s="49">
        <v>5.4399999999999997E-2</v>
      </c>
      <c r="BG80" s="50">
        <v>5.7000000000000002E-2</v>
      </c>
      <c r="BH80" s="96">
        <v>0.1177</v>
      </c>
      <c r="BI80" s="50">
        <v>1.6E-2</v>
      </c>
      <c r="BJ80" s="96">
        <v>7.8E-2</v>
      </c>
      <c r="BK80" s="40">
        <v>0.27451905283832895</v>
      </c>
      <c r="BL80" s="32">
        <v>0.47548094716167105</v>
      </c>
      <c r="BM80" s="32">
        <v>0.1830127018922193</v>
      </c>
      <c r="BN80" s="34">
        <v>0.3169872981077807</v>
      </c>
      <c r="BP80" s="15"/>
      <c r="BQ80" s="28"/>
      <c r="BR80" s="31">
        <v>2</v>
      </c>
      <c r="BS80" s="84">
        <f t="shared" si="84"/>
        <v>5.2335640138408301E-2</v>
      </c>
      <c r="BT80" s="78">
        <f t="shared" si="75"/>
        <v>5.8877595155709339E-2</v>
      </c>
      <c r="BU80" s="78">
        <f t="shared" si="76"/>
        <v>0.11764705882352941</v>
      </c>
      <c r="BV80" s="78">
        <f t="shared" si="77"/>
        <v>1.471939878892734E-2</v>
      </c>
      <c r="BW80" s="78">
        <f t="shared" si="78"/>
        <v>2.9411764705882359E-2</v>
      </c>
      <c r="BX80" s="40">
        <v>0.27451905283832895</v>
      </c>
      <c r="BY80" s="32">
        <v>0.47548094716167105</v>
      </c>
      <c r="BZ80" s="32">
        <v>0.1830127018922193</v>
      </c>
      <c r="CA80" s="34">
        <v>0.3169872981077807</v>
      </c>
      <c r="CB80" s="37">
        <f t="shared" si="79"/>
        <v>0.94117647058823528</v>
      </c>
      <c r="CC80" s="37">
        <f t="shared" si="85"/>
        <v>5.8823529411764719E-2</v>
      </c>
      <c r="CD80" s="72">
        <f t="shared" si="86"/>
        <v>14.222222222222221</v>
      </c>
      <c r="CE80" s="72">
        <f t="shared" si="86"/>
        <v>14.222222222222221</v>
      </c>
      <c r="CF80" s="37">
        <f t="shared" si="80"/>
        <v>0.88970588235294112</v>
      </c>
      <c r="CG80" s="37">
        <f t="shared" si="81"/>
        <v>0.88970588235294112</v>
      </c>
      <c r="CI80" s="15"/>
      <c r="CJ80" s="28"/>
      <c r="CK80" s="31">
        <v>2</v>
      </c>
      <c r="CL80" s="45">
        <f t="shared" si="82"/>
        <v>5.0242214532871969E-2</v>
      </c>
      <c r="CM80" s="78">
        <f t="shared" si="87"/>
        <v>6.1821474913494809E-2</v>
      </c>
      <c r="CN80" s="78">
        <v>0.11764705882352941</v>
      </c>
      <c r="CO80" s="78">
        <f t="shared" si="88"/>
        <v>2.6494917820069207E-2</v>
      </c>
      <c r="CP80" s="78">
        <v>2.9411764705882359E-2</v>
      </c>
      <c r="CQ80" s="40">
        <v>0.27451905283832895</v>
      </c>
      <c r="CR80" s="32">
        <v>0.47548094716167105</v>
      </c>
      <c r="CS80" s="32">
        <v>0.1830127018922193</v>
      </c>
      <c r="CT80" s="34">
        <v>0.3169872981077807</v>
      </c>
      <c r="CV80" s="25"/>
      <c r="CW80" s="47"/>
      <c r="CX80" s="53">
        <v>2</v>
      </c>
      <c r="CY80" s="45">
        <f t="shared" si="89"/>
        <v>5.565217391304348E-2</v>
      </c>
      <c r="CZ80" s="78">
        <f t="shared" si="90"/>
        <v>5.5856777493606145E-2</v>
      </c>
      <c r="DA80" s="50">
        <v>0.11890000000000001</v>
      </c>
      <c r="DB80" s="78">
        <f t="shared" si="91"/>
        <v>7.6214833759590799E-3</v>
      </c>
      <c r="DC80" s="50">
        <v>8.199999999999999E-2</v>
      </c>
      <c r="DD80" s="40">
        <v>0.27451905283832895</v>
      </c>
      <c r="DE80" s="32">
        <v>0.47548094716167105</v>
      </c>
      <c r="DF80" s="32">
        <v>0.1830127018922193</v>
      </c>
      <c r="DG80" s="34">
        <v>0.3169872981077807</v>
      </c>
      <c r="DI80" s="25"/>
      <c r="DJ80" s="47"/>
      <c r="DK80" s="53">
        <v>2</v>
      </c>
      <c r="DL80" s="49">
        <v>5.4900000000000004E-2</v>
      </c>
      <c r="DM80" s="50">
        <v>5.7000000000000002E-2</v>
      </c>
      <c r="DN80" s="50">
        <v>0.11890000000000001</v>
      </c>
      <c r="DO80" s="50">
        <v>1.6E-2</v>
      </c>
      <c r="DP80" s="50">
        <v>8.199999999999999E-2</v>
      </c>
      <c r="DQ80" s="40">
        <v>0.27451905283832895</v>
      </c>
      <c r="DR80" s="32">
        <v>0.47548094716167105</v>
      </c>
      <c r="DS80" s="32">
        <v>0.1830127018922193</v>
      </c>
      <c r="DT80" s="34">
        <v>0.3169872981077807</v>
      </c>
    </row>
    <row r="81" spans="1:124" ht="12" customHeight="1" x14ac:dyDescent="0.2">
      <c r="A81" s="1"/>
      <c r="B81" s="54"/>
      <c r="C81" s="55"/>
      <c r="D81" s="22" t="s">
        <v>128</v>
      </c>
      <c r="E81" s="85">
        <f t="shared" si="2"/>
        <v>6.2405200433369466E-2</v>
      </c>
      <c r="F81" s="85">
        <f t="shared" si="3"/>
        <v>7.03125E-2</v>
      </c>
      <c r="G81" s="85">
        <f t="shared" si="4"/>
        <v>0.125</v>
      </c>
      <c r="H81" s="85">
        <f t="shared" si="5"/>
        <v>2.4930000000000001E-2</v>
      </c>
      <c r="I81" s="85">
        <f t="shared" si="6"/>
        <v>7.9689999999999997E-2</v>
      </c>
      <c r="J81" s="85">
        <f t="shared" si="7"/>
        <v>0.375</v>
      </c>
      <c r="K81" s="85">
        <f t="shared" si="8"/>
        <v>0.625</v>
      </c>
      <c r="L81" s="85">
        <f t="shared" si="9"/>
        <v>0.1830127018922193</v>
      </c>
      <c r="M81" s="85">
        <f t="shared" si="10"/>
        <v>0.3169872981077807</v>
      </c>
      <c r="N81" s="1"/>
      <c r="P81" s="17"/>
      <c r="Q81" s="29"/>
      <c r="R81" s="22" t="s">
        <v>128</v>
      </c>
      <c r="S81" s="200">
        <v>6.2405200433369466E-2</v>
      </c>
      <c r="T81" s="32">
        <v>7.03125E-2</v>
      </c>
      <c r="U81" s="32">
        <v>0.125</v>
      </c>
      <c r="V81" s="32">
        <f>V80</f>
        <v>2.4930000000000001E-2</v>
      </c>
      <c r="W81" s="92">
        <f>W80</f>
        <v>7.9689999999999997E-2</v>
      </c>
      <c r="X81" s="41">
        <v>0.375</v>
      </c>
      <c r="Y81" s="32">
        <v>0.625</v>
      </c>
      <c r="Z81" s="32">
        <v>0.1830127018922193</v>
      </c>
      <c r="AA81" s="34">
        <v>0.3169872981077807</v>
      </c>
      <c r="AC81" s="17"/>
      <c r="AD81" s="29"/>
      <c r="AE81" s="22" t="s">
        <v>128</v>
      </c>
      <c r="AF81" s="38">
        <v>6.500541711809317E-2</v>
      </c>
      <c r="AG81" s="32">
        <v>7.03125E-2</v>
      </c>
      <c r="AH81" s="32">
        <v>0.125</v>
      </c>
      <c r="AI81" s="32">
        <f>AI80</f>
        <v>1.6611295681063121E-2</v>
      </c>
      <c r="AJ81" s="92">
        <f>AJ80</f>
        <v>8.1967213114754106E-2</v>
      </c>
      <c r="AK81" s="41">
        <v>0.375</v>
      </c>
      <c r="AL81" s="32">
        <v>0.625</v>
      </c>
      <c r="AM81" s="32">
        <v>0.1830127018922193</v>
      </c>
      <c r="AN81" s="34">
        <v>0.3169872981077807</v>
      </c>
      <c r="AP81" s="17"/>
      <c r="AQ81" s="29"/>
      <c r="AR81" s="22" t="s">
        <v>128</v>
      </c>
      <c r="AS81" s="200">
        <v>6.2405200433369466E-2</v>
      </c>
      <c r="AT81" s="32">
        <v>7.03125E-2</v>
      </c>
      <c r="AU81" s="32">
        <v>0.125</v>
      </c>
      <c r="AV81" s="32">
        <f>AV80</f>
        <v>2.4875621890547261E-2</v>
      </c>
      <c r="AW81" s="92">
        <f>AW80</f>
        <v>8.1967213114754106E-2</v>
      </c>
      <c r="AX81" s="41">
        <v>0.375</v>
      </c>
      <c r="AY81" s="32">
        <v>0.625</v>
      </c>
      <c r="AZ81" s="32">
        <v>0.1830127018922193</v>
      </c>
      <c r="BA81" s="34">
        <v>0.3169872981077807</v>
      </c>
      <c r="BC81" s="54"/>
      <c r="BD81" s="55"/>
      <c r="BE81" s="22" t="s">
        <v>128</v>
      </c>
      <c r="BF81" s="200">
        <v>6.3542795232936072E-2</v>
      </c>
      <c r="BG81" s="32">
        <v>7.03125E-2</v>
      </c>
      <c r="BH81" s="44">
        <v>0.125</v>
      </c>
      <c r="BI81" s="56">
        <f>BI80</f>
        <v>1.6E-2</v>
      </c>
      <c r="BJ81" s="100">
        <f>BJ80</f>
        <v>7.8E-2</v>
      </c>
      <c r="BK81" s="41">
        <v>0.375</v>
      </c>
      <c r="BL81" s="32">
        <v>0.625</v>
      </c>
      <c r="BM81" s="32">
        <v>0.1830127018922193</v>
      </c>
      <c r="BN81" s="34">
        <v>0.3169872981077807</v>
      </c>
      <c r="BP81" s="17"/>
      <c r="BQ81" s="29"/>
      <c r="BR81" s="22" t="s">
        <v>128</v>
      </c>
      <c r="BS81" s="38">
        <v>6.500541711809317E-2</v>
      </c>
      <c r="BT81" s="32">
        <v>7.03125E-2</v>
      </c>
      <c r="BU81" s="32">
        <v>0.125</v>
      </c>
      <c r="BV81" s="32">
        <f>BV80</f>
        <v>1.471939878892734E-2</v>
      </c>
      <c r="BW81" s="32">
        <f>BW80</f>
        <v>2.9411764705882359E-2</v>
      </c>
      <c r="BX81" s="41">
        <v>0.375</v>
      </c>
      <c r="BY81" s="32">
        <v>0.625</v>
      </c>
      <c r="BZ81" s="32">
        <v>0.1830127018922193</v>
      </c>
      <c r="CA81" s="34">
        <v>0.3169872981077807</v>
      </c>
      <c r="CB81" s="36"/>
      <c r="CC81" s="36"/>
      <c r="CD81" s="36"/>
      <c r="CE81" s="36"/>
      <c r="CF81" s="36"/>
      <c r="CG81" s="36"/>
      <c r="CI81" s="17"/>
      <c r="CJ81" s="29"/>
      <c r="CK81" s="22" t="s">
        <v>128</v>
      </c>
      <c r="CL81" s="200">
        <v>6.2405200433369466E-2</v>
      </c>
      <c r="CM81" s="32">
        <v>7.03125E-2</v>
      </c>
      <c r="CN81" s="32">
        <v>0.125</v>
      </c>
      <c r="CO81" s="50">
        <f>CO80</f>
        <v>2.6494917820069207E-2</v>
      </c>
      <c r="CP81" s="99">
        <f>CP80</f>
        <v>2.9411764705882359E-2</v>
      </c>
      <c r="CQ81" s="41">
        <v>0.375</v>
      </c>
      <c r="CR81" s="32">
        <v>0.625</v>
      </c>
      <c r="CS81" s="32">
        <v>0.1830127018922193</v>
      </c>
      <c r="CT81" s="34">
        <v>0.3169872981077807</v>
      </c>
      <c r="CV81" s="54"/>
      <c r="CW81" s="55"/>
      <c r="CX81" s="22" t="s">
        <v>128</v>
      </c>
      <c r="CY81" s="38">
        <v>6.500541711809317E-2</v>
      </c>
      <c r="CZ81" s="32">
        <v>7.03125E-2</v>
      </c>
      <c r="DA81" s="32">
        <v>0.125</v>
      </c>
      <c r="DB81" s="50">
        <f>DB80</f>
        <v>7.6214833759590799E-3</v>
      </c>
      <c r="DC81" s="99">
        <f>DC80</f>
        <v>8.199999999999999E-2</v>
      </c>
      <c r="DD81" s="41">
        <v>0.375</v>
      </c>
      <c r="DE81" s="32">
        <v>0.625</v>
      </c>
      <c r="DF81" s="32">
        <v>0.1830127018922193</v>
      </c>
      <c r="DG81" s="34">
        <v>0.3169872981077807</v>
      </c>
      <c r="DI81" s="54"/>
      <c r="DJ81" s="55"/>
      <c r="DK81" s="22" t="s">
        <v>128</v>
      </c>
      <c r="DL81" s="200">
        <v>6.3542795232936072E-2</v>
      </c>
      <c r="DM81" s="32">
        <v>7.03125E-2</v>
      </c>
      <c r="DN81" s="32">
        <v>0.125</v>
      </c>
      <c r="DO81" s="50">
        <f>DO80</f>
        <v>1.6E-2</v>
      </c>
      <c r="DP81" s="99">
        <f>DP80</f>
        <v>8.199999999999999E-2</v>
      </c>
      <c r="DQ81" s="41">
        <v>0.375</v>
      </c>
      <c r="DR81" s="32">
        <v>0.625</v>
      </c>
      <c r="DS81" s="32">
        <v>0.1830127018922193</v>
      </c>
      <c r="DT81" s="34">
        <v>0.3169872981077807</v>
      </c>
    </row>
    <row r="82" spans="1:124" ht="12" customHeight="1" x14ac:dyDescent="0.3">
      <c r="A82" s="1"/>
      <c r="B82" s="25"/>
      <c r="C82" s="47"/>
      <c r="D82" s="20" t="s">
        <v>93</v>
      </c>
      <c r="E82" s="85" t="str">
        <f t="shared" ref="E82:E133" si="93">IF($E$7=1,S82,IF($E$7=2,AF82,IF($E$7=3,AS82,IF($E$7=4,BF82,IF($E$7=5,BS82)))))</f>
        <v>fmáx</v>
      </c>
      <c r="F82" s="85" t="str">
        <f t="shared" ref="F82:F133" si="94">IF($E$7=1,T82,IF($E$7=2,AG82,IF($E$7=3,AT82,IF($E$7=4,BG82,IF($E$7=5,BT82)))))</f>
        <v>mamáx</v>
      </c>
      <c r="G82" s="85" t="str">
        <f t="shared" ref="G82:G133" si="95">IF($E$7=1,U82,IF($E$7=2,AH82,IF($E$7=3,AU82,IF($E$7=4,BH82,IF($E$7=5,BU82)))))</f>
        <v>maemín</v>
      </c>
      <c r="H82" s="85" t="str">
        <f t="shared" ref="H82:H133" si="96">IF($E$7=1,V82,IF($E$7=2,AI82,IF($E$7=3,AV82,IF($E$7=4,BI82,IF($E$7=5,BV82)))))</f>
        <v>mbmáx</v>
      </c>
      <c r="I82" s="85" t="str">
        <f t="shared" ref="I82:I133" si="97">IF($E$7=1,W82,IF($E$7=2,AJ82,IF($E$7=3,AW82,IF($E$7=4,BJ82,IF($E$7=5,BW82)))))</f>
        <v>mbemín</v>
      </c>
      <c r="J82" s="85" t="str">
        <f t="shared" ref="J82:J133" si="98">IF($E$7=1,X82,IF($E$7=2,AK82,IF($E$7=3,AX82,IF($E$7=4,BK82,IF($E$7=5,BX82)))))</f>
        <v>ra</v>
      </c>
      <c r="K82" s="85" t="str">
        <f t="shared" ref="K82:K133" si="99">IF($E$7=1,Y82,IF($E$7=2,AL82,IF($E$7=3,AY82,IF($E$7=4,BL82,IF($E$7=5,BY82)))))</f>
        <v>rae</v>
      </c>
      <c r="L82" s="85" t="str">
        <f t="shared" ref="L82:L133" si="100">IF($E$7=1,Z82,IF($E$7=2,AM82,IF($E$7=3,AZ82,IF($E$7=4,BM82,IF($E$7=5,BZ82)))))</f>
        <v>rb</v>
      </c>
      <c r="M82" s="85" t="str">
        <f t="shared" ref="M82:M133" si="101">IF($E$7=1,AA82,IF($E$7=2,AN82,IF($E$7=3,BA82,IF($E$7=4,BN82,IF($E$7=5,CA82)))))</f>
        <v>rbe</v>
      </c>
      <c r="N82" s="1"/>
      <c r="P82" s="483" t="s">
        <v>28</v>
      </c>
      <c r="Q82" s="484"/>
      <c r="R82" s="74" t="s">
        <v>93</v>
      </c>
      <c r="S82" s="20" t="s">
        <v>131</v>
      </c>
      <c r="T82" s="75" t="s">
        <v>132</v>
      </c>
      <c r="U82" s="75" t="s">
        <v>120</v>
      </c>
      <c r="V82" s="75" t="s">
        <v>117</v>
      </c>
      <c r="W82" s="76" t="s">
        <v>121</v>
      </c>
      <c r="X82" s="75" t="s">
        <v>111</v>
      </c>
      <c r="Y82" s="75" t="s">
        <v>112</v>
      </c>
      <c r="Z82" s="75" t="s">
        <v>113</v>
      </c>
      <c r="AA82" s="76" t="s">
        <v>114</v>
      </c>
      <c r="AC82" s="483" t="s">
        <v>28</v>
      </c>
      <c r="AD82" s="484"/>
      <c r="AE82" s="74" t="s">
        <v>93</v>
      </c>
      <c r="AF82" s="20" t="s">
        <v>115</v>
      </c>
      <c r="AG82" s="75" t="s">
        <v>116</v>
      </c>
      <c r="AH82" s="75" t="s">
        <v>120</v>
      </c>
      <c r="AI82" s="75" t="s">
        <v>117</v>
      </c>
      <c r="AJ82" s="76" t="s">
        <v>121</v>
      </c>
      <c r="AK82" s="75" t="s">
        <v>111</v>
      </c>
      <c r="AL82" s="75" t="s">
        <v>112</v>
      </c>
      <c r="AM82" s="75" t="s">
        <v>113</v>
      </c>
      <c r="AN82" s="76" t="s">
        <v>114</v>
      </c>
      <c r="AP82" s="483" t="s">
        <v>28</v>
      </c>
      <c r="AQ82" s="484"/>
      <c r="AR82" s="74" t="s">
        <v>93</v>
      </c>
      <c r="AS82" s="20" t="s">
        <v>115</v>
      </c>
      <c r="AT82" s="75" t="s">
        <v>116</v>
      </c>
      <c r="AU82" s="75" t="s">
        <v>120</v>
      </c>
      <c r="AV82" s="75" t="s">
        <v>117</v>
      </c>
      <c r="AW82" s="76" t="s">
        <v>121</v>
      </c>
      <c r="AX82" s="75" t="s">
        <v>111</v>
      </c>
      <c r="AY82" s="75" t="s">
        <v>112</v>
      </c>
      <c r="AZ82" s="75" t="s">
        <v>113</v>
      </c>
      <c r="BA82" s="76" t="s">
        <v>114</v>
      </c>
      <c r="BC82" s="483" t="s">
        <v>28</v>
      </c>
      <c r="BD82" s="484"/>
      <c r="BE82" s="77" t="s">
        <v>93</v>
      </c>
      <c r="BF82" s="20" t="s">
        <v>115</v>
      </c>
      <c r="BG82" s="75" t="s">
        <v>116</v>
      </c>
      <c r="BH82" s="75" t="s">
        <v>119</v>
      </c>
      <c r="BI82" s="75" t="s">
        <v>141</v>
      </c>
      <c r="BJ82" s="76" t="s">
        <v>118</v>
      </c>
      <c r="BK82" s="75" t="s">
        <v>111</v>
      </c>
      <c r="BL82" s="75" t="s">
        <v>112</v>
      </c>
      <c r="BM82" s="75" t="s">
        <v>113</v>
      </c>
      <c r="BN82" s="76" t="s">
        <v>114</v>
      </c>
      <c r="BP82" s="483" t="s">
        <v>28</v>
      </c>
      <c r="BQ82" s="484"/>
      <c r="BR82" s="74" t="s">
        <v>93</v>
      </c>
      <c r="BS82" s="20" t="s">
        <v>115</v>
      </c>
      <c r="BT82" s="75" t="s">
        <v>116</v>
      </c>
      <c r="BU82" s="75" t="s">
        <v>119</v>
      </c>
      <c r="BV82" s="75" t="s">
        <v>141</v>
      </c>
      <c r="BW82" s="76" t="s">
        <v>118</v>
      </c>
      <c r="BX82" s="75" t="s">
        <v>111</v>
      </c>
      <c r="BY82" s="75" t="s">
        <v>112</v>
      </c>
      <c r="BZ82" s="75" t="s">
        <v>113</v>
      </c>
      <c r="CA82" s="76" t="s">
        <v>114</v>
      </c>
      <c r="CB82" s="74" t="s">
        <v>122</v>
      </c>
      <c r="CC82" s="74" t="s">
        <v>123</v>
      </c>
      <c r="CD82" s="81" t="s">
        <v>124</v>
      </c>
      <c r="CE82" s="81" t="s">
        <v>125</v>
      </c>
      <c r="CF82" s="74" t="s">
        <v>126</v>
      </c>
      <c r="CG82" s="74" t="s">
        <v>127</v>
      </c>
      <c r="CI82" s="483" t="s">
        <v>28</v>
      </c>
      <c r="CJ82" s="484"/>
      <c r="CK82" s="74" t="s">
        <v>93</v>
      </c>
      <c r="CL82" s="20" t="s">
        <v>115</v>
      </c>
      <c r="CM82" s="75" t="s">
        <v>116</v>
      </c>
      <c r="CN82" s="75" t="s">
        <v>119</v>
      </c>
      <c r="CO82" s="75" t="s">
        <v>141</v>
      </c>
      <c r="CP82" s="76" t="s">
        <v>118</v>
      </c>
      <c r="CQ82" s="75" t="s">
        <v>111</v>
      </c>
      <c r="CR82" s="75" t="s">
        <v>112</v>
      </c>
      <c r="CS82" s="75" t="s">
        <v>113</v>
      </c>
      <c r="CT82" s="76" t="s">
        <v>114</v>
      </c>
      <c r="CV82" s="483" t="s">
        <v>28</v>
      </c>
      <c r="CW82" s="484"/>
      <c r="CX82" s="77" t="s">
        <v>93</v>
      </c>
      <c r="CY82" s="20" t="s">
        <v>115</v>
      </c>
      <c r="CZ82" s="75" t="s">
        <v>116</v>
      </c>
      <c r="DA82" s="75" t="s">
        <v>119</v>
      </c>
      <c r="DB82" s="75" t="s">
        <v>141</v>
      </c>
      <c r="DC82" s="76" t="s">
        <v>118</v>
      </c>
      <c r="DD82" s="75" t="s">
        <v>111</v>
      </c>
      <c r="DE82" s="75" t="s">
        <v>112</v>
      </c>
      <c r="DF82" s="75" t="s">
        <v>113</v>
      </c>
      <c r="DG82" s="76" t="s">
        <v>114</v>
      </c>
      <c r="DI82" s="483" t="s">
        <v>28</v>
      </c>
      <c r="DJ82" s="484"/>
      <c r="DK82" s="77" t="s">
        <v>93</v>
      </c>
      <c r="DL82" s="20" t="s">
        <v>115</v>
      </c>
      <c r="DM82" s="75" t="s">
        <v>116</v>
      </c>
      <c r="DN82" s="75" t="s">
        <v>120</v>
      </c>
      <c r="DO82" s="75" t="s">
        <v>141</v>
      </c>
      <c r="DP82" s="76" t="s">
        <v>121</v>
      </c>
      <c r="DQ82" s="75" t="s">
        <v>111</v>
      </c>
      <c r="DR82" s="75" t="s">
        <v>112</v>
      </c>
      <c r="DS82" s="75" t="s">
        <v>113</v>
      </c>
      <c r="DT82" s="76" t="s">
        <v>114</v>
      </c>
    </row>
    <row r="83" spans="1:124" ht="12" customHeight="1" x14ac:dyDescent="0.2">
      <c r="A83" s="1"/>
      <c r="B83" s="25"/>
      <c r="C83" s="47"/>
      <c r="D83" s="68">
        <v>1</v>
      </c>
      <c r="E83" s="85">
        <f t="shared" si="93"/>
        <v>1.8599999999999998E-2</v>
      </c>
      <c r="F83" s="85">
        <f t="shared" si="94"/>
        <v>2.2530000000000001E-2</v>
      </c>
      <c r="G83" s="85">
        <f t="shared" si="95"/>
        <v>5.4870000000000002E-2</v>
      </c>
      <c r="H83" s="85">
        <f t="shared" si="96"/>
        <v>2.6870000000000002E-2</v>
      </c>
      <c r="I83" s="85">
        <f t="shared" si="97"/>
        <v>6.1060000000000003E-2</v>
      </c>
      <c r="J83" s="85">
        <f t="shared" si="98"/>
        <v>0.14433756729740643</v>
      </c>
      <c r="K83" s="85">
        <f t="shared" si="99"/>
        <v>0.25</v>
      </c>
      <c r="L83" s="85">
        <f t="shared" si="100"/>
        <v>0</v>
      </c>
      <c r="M83" s="85">
        <f t="shared" si="101"/>
        <v>0.30283121635129684</v>
      </c>
      <c r="N83" s="1"/>
      <c r="P83" s="15"/>
      <c r="Q83" s="28"/>
      <c r="R83" s="31">
        <v>1</v>
      </c>
      <c r="S83" s="37">
        <v>1.8599999999999998E-2</v>
      </c>
      <c r="T83" s="32">
        <v>2.2530000000000001E-2</v>
      </c>
      <c r="U83" s="32">
        <v>5.4870000000000002E-2</v>
      </c>
      <c r="V83" s="32">
        <v>2.6870000000000002E-2</v>
      </c>
      <c r="W83" s="32">
        <v>6.1060000000000003E-2</v>
      </c>
      <c r="X83" s="40">
        <v>0.14433756729740643</v>
      </c>
      <c r="Y83" s="32">
        <v>0.25</v>
      </c>
      <c r="Z83" s="30">
        <v>0</v>
      </c>
      <c r="AA83" s="34">
        <v>0.30283121635129684</v>
      </c>
      <c r="AC83" s="15"/>
      <c r="AD83" s="28"/>
      <c r="AE83" s="31">
        <v>1</v>
      </c>
      <c r="AF83" s="37">
        <v>1.8800000000000001E-2</v>
      </c>
      <c r="AG83" s="32">
        <f>1/59.5</f>
        <v>1.680672268907563E-2</v>
      </c>
      <c r="AH83" s="32">
        <f>1/18.3</f>
        <v>5.4644808743169397E-2</v>
      </c>
      <c r="AI83" s="32">
        <f>1/44.1</f>
        <v>2.2675736961451247E-2</v>
      </c>
      <c r="AJ83" s="32">
        <f>1/16.2</f>
        <v>6.1728395061728399E-2</v>
      </c>
      <c r="AK83" s="40">
        <v>0.14433756729740643</v>
      </c>
      <c r="AL83" s="32">
        <v>0.25</v>
      </c>
      <c r="AM83" s="30">
        <v>0</v>
      </c>
      <c r="AN83" s="34">
        <v>0.30283121635129684</v>
      </c>
      <c r="AP83" s="15"/>
      <c r="AQ83" s="28"/>
      <c r="AR83" s="31">
        <v>1</v>
      </c>
      <c r="AS83" s="45">
        <f>AF83*(1-0.2^2)</f>
        <v>1.8048000000000002E-2</v>
      </c>
      <c r="AT83" s="32">
        <f>1/44.6</f>
        <v>2.2421524663677129E-2</v>
      </c>
      <c r="AU83" s="32">
        <f>1/18.3</f>
        <v>5.4644808743169397E-2</v>
      </c>
      <c r="AV83" s="32">
        <f>1/38.1</f>
        <v>2.6246719160104987E-2</v>
      </c>
      <c r="AW83" s="32">
        <f>1/16.2</f>
        <v>6.1728395061728399E-2</v>
      </c>
      <c r="AX83" s="40">
        <v>0.14433756729740643</v>
      </c>
      <c r="AY83" s="32">
        <v>0.25</v>
      </c>
      <c r="AZ83" s="30">
        <v>0</v>
      </c>
      <c r="BA83" s="34">
        <v>0.30283121635129684</v>
      </c>
      <c r="BC83" s="25"/>
      <c r="BD83" s="47"/>
      <c r="BE83" s="53">
        <v>1</v>
      </c>
      <c r="BF83" s="49">
        <v>1.84E-2</v>
      </c>
      <c r="BG83" s="50">
        <v>2.0199999999999999E-2</v>
      </c>
      <c r="BH83" s="50">
        <v>5.4600000000000003E-2</v>
      </c>
      <c r="BI83" s="50">
        <v>2.52E-2</v>
      </c>
      <c r="BJ83" s="96">
        <v>5.96E-2</v>
      </c>
      <c r="BK83" s="40">
        <v>0.14433756729740643</v>
      </c>
      <c r="BL83" s="32">
        <v>0.25</v>
      </c>
      <c r="BM83" s="30">
        <v>0</v>
      </c>
      <c r="BN83" s="34">
        <v>0.30283121635129684</v>
      </c>
      <c r="BP83" s="15"/>
      <c r="BQ83" s="28"/>
      <c r="BR83" s="31">
        <v>1</v>
      </c>
      <c r="BS83" s="84">
        <f>2*CF83*CB83/32</f>
        <v>1.7578125E-2</v>
      </c>
      <c r="BT83" s="78">
        <f>CF83*CB83/CD83</f>
        <v>1.9775390625E-2</v>
      </c>
      <c r="BU83" s="78">
        <f>CB83/8</f>
        <v>4.1666666666666664E-2</v>
      </c>
      <c r="BV83" s="78">
        <f>CG83*CC83*BR83^2/CE83</f>
        <v>2.2633744855967083E-2</v>
      </c>
      <c r="BW83" s="78">
        <f>CC83*BR83^2/12</f>
        <v>5.5555555555555559E-2</v>
      </c>
      <c r="BX83" s="40">
        <v>0.14433756729740643</v>
      </c>
      <c r="BY83" s="32">
        <v>0.25</v>
      </c>
      <c r="BZ83" s="30">
        <v>0</v>
      </c>
      <c r="CA83" s="34">
        <v>0.30283121635129684</v>
      </c>
      <c r="CB83" s="46">
        <f>BR83^4/(2+BR83^4)</f>
        <v>0.33333333333333331</v>
      </c>
      <c r="CC83" s="46">
        <f>1-CB83</f>
        <v>0.66666666666666674</v>
      </c>
      <c r="CD83" s="71">
        <f>128/9</f>
        <v>14.222222222222221</v>
      </c>
      <c r="CE83" s="70">
        <v>24</v>
      </c>
      <c r="CF83" s="46">
        <f>1-(20*CB83)/(3*CD83*BR83^2)</f>
        <v>0.84375</v>
      </c>
      <c r="CG83" s="46">
        <f>1-(20*CC83*BR83^2)/(3*CE83)</f>
        <v>0.81481481481481477</v>
      </c>
      <c r="CI83" s="15"/>
      <c r="CJ83" s="28"/>
      <c r="CK83" s="31">
        <v>1</v>
      </c>
      <c r="CL83" s="45">
        <f t="shared" ref="CL83:CL93" si="102">(1-$CJ$14^2)*BS83</f>
        <v>1.6875000000000001E-2</v>
      </c>
      <c r="CM83" s="78">
        <f>BT83+$CJ$14*BV83</f>
        <v>2.4302139596193418E-2</v>
      </c>
      <c r="CN83" s="78">
        <v>4.1666666666666664E-2</v>
      </c>
      <c r="CO83" s="78">
        <f>$CJ$14*BT83+BV83</f>
        <v>2.6588822980967083E-2</v>
      </c>
      <c r="CP83" s="78">
        <v>5.5555555555555559E-2</v>
      </c>
      <c r="CQ83" s="40">
        <v>0.14433756729740643</v>
      </c>
      <c r="CR83" s="32">
        <v>0.25</v>
      </c>
      <c r="CS83" s="30">
        <v>0</v>
      </c>
      <c r="CT83" s="34">
        <v>0.30283121635129684</v>
      </c>
      <c r="CV83" s="25"/>
      <c r="CW83" s="47"/>
      <c r="CX83" s="53">
        <v>1</v>
      </c>
      <c r="CY83" s="45">
        <f>(1-$CW$14^2)/(1-$CW$13^2)*BF83</f>
        <v>1.8823529411764708E-2</v>
      </c>
      <c r="CZ83" s="78">
        <f>(1/(1-$CW$13^2))*((1-$CW$13*$CW$14)*BG83+($CW$14-$CW$13)*BI83)</f>
        <v>1.6797953964194375E-2</v>
      </c>
      <c r="DA83" s="50">
        <v>5.4600000000000003E-2</v>
      </c>
      <c r="DB83" s="78">
        <f>(1/(1-$CW$13^2))*((1-$CW$13*$CW$14)*BI83+($CW$14-$CW$13)*BG83)</f>
        <v>2.2680306905370849E-2</v>
      </c>
      <c r="DC83" s="50">
        <v>6.1699999999999998E-2</v>
      </c>
      <c r="DD83" s="40">
        <v>0.14433756729740643</v>
      </c>
      <c r="DE83" s="32">
        <v>0.25</v>
      </c>
      <c r="DF83" s="30">
        <v>0</v>
      </c>
      <c r="DG83" s="34">
        <v>0.30283121635129684</v>
      </c>
      <c r="DI83" s="25"/>
      <c r="DJ83" s="47"/>
      <c r="DK83" s="53">
        <v>1</v>
      </c>
      <c r="DL83" s="49">
        <v>1.84E-2</v>
      </c>
      <c r="DM83" s="50">
        <v>2.0199999999999999E-2</v>
      </c>
      <c r="DN83" s="50">
        <v>5.4600000000000003E-2</v>
      </c>
      <c r="DO83" s="50">
        <v>2.52E-2</v>
      </c>
      <c r="DP83" s="50">
        <v>6.1699999999999998E-2</v>
      </c>
      <c r="DQ83" s="40">
        <v>0.14433756729740643</v>
      </c>
      <c r="DR83" s="32">
        <v>0.25</v>
      </c>
      <c r="DS83" s="30">
        <v>0</v>
      </c>
      <c r="DT83" s="34">
        <v>0.30283121635129684</v>
      </c>
    </row>
    <row r="84" spans="1:124" ht="12" customHeight="1" x14ac:dyDescent="0.2">
      <c r="A84" s="1"/>
      <c r="B84" s="25"/>
      <c r="C84" s="47"/>
      <c r="D84" s="68">
        <v>1.1000000000000001</v>
      </c>
      <c r="E84" s="85">
        <f t="shared" si="93"/>
        <v>2.3300000000000001E-2</v>
      </c>
      <c r="F84" s="85">
        <f t="shared" si="94"/>
        <v>2.7980000000000001E-2</v>
      </c>
      <c r="G84" s="85">
        <f t="shared" si="95"/>
        <v>6.4189999999999997E-2</v>
      </c>
      <c r="H84" s="85">
        <f t="shared" si="96"/>
        <v>2.8129999999999999E-2</v>
      </c>
      <c r="I84" s="85">
        <f t="shared" si="97"/>
        <v>6.6369999999999998E-2</v>
      </c>
      <c r="J84" s="85">
        <f t="shared" si="98"/>
        <v>0.15877132402714708</v>
      </c>
      <c r="K84" s="85">
        <f t="shared" si="99"/>
        <v>0.27500000000000002</v>
      </c>
      <c r="L84" s="85">
        <f t="shared" si="100"/>
        <v>0</v>
      </c>
      <c r="M84" s="85">
        <f t="shared" si="101"/>
        <v>0.31142577178506914</v>
      </c>
      <c r="N84" s="1"/>
      <c r="P84" s="15"/>
      <c r="Q84" s="28"/>
      <c r="R84" s="31">
        <v>1.1000000000000001</v>
      </c>
      <c r="S84" s="37">
        <v>2.3300000000000001E-2</v>
      </c>
      <c r="T84" s="32">
        <v>2.7980000000000001E-2</v>
      </c>
      <c r="U84" s="32">
        <v>6.4189999999999997E-2</v>
      </c>
      <c r="V84" s="32">
        <v>2.8129999999999999E-2</v>
      </c>
      <c r="W84" s="32">
        <v>6.6369999999999998E-2</v>
      </c>
      <c r="X84" s="40">
        <v>0.15877132402714708</v>
      </c>
      <c r="Y84" s="32">
        <v>0.27500000000000002</v>
      </c>
      <c r="Z84" s="30">
        <v>0</v>
      </c>
      <c r="AA84" s="34">
        <v>0.31142577178506914</v>
      </c>
      <c r="AC84" s="15"/>
      <c r="AD84" s="28"/>
      <c r="AE84" s="31">
        <v>1.1000000000000001</v>
      </c>
      <c r="AF84" s="37">
        <v>2.3599999999999999E-2</v>
      </c>
      <c r="AG84" s="32">
        <f>1/46.1</f>
        <v>2.1691973969631236E-2</v>
      </c>
      <c r="AH84" s="32">
        <f>1/15.4</f>
        <v>6.4935064935064929E-2</v>
      </c>
      <c r="AI84" s="32">
        <f>1/43.7</f>
        <v>2.2883295194508008E-2</v>
      </c>
      <c r="AJ84" s="32">
        <f>1/14.8</f>
        <v>6.7567567567567557E-2</v>
      </c>
      <c r="AK84" s="40">
        <v>0.15877132402714708</v>
      </c>
      <c r="AL84" s="32">
        <v>0.27500000000000002</v>
      </c>
      <c r="AM84" s="30">
        <v>0</v>
      </c>
      <c r="AN84" s="34">
        <v>0.31142577178506914</v>
      </c>
      <c r="AP84" s="15"/>
      <c r="AQ84" s="28"/>
      <c r="AR84" s="31">
        <v>1.1000000000000001</v>
      </c>
      <c r="AS84" s="45">
        <f t="shared" ref="AS84:AS93" si="103">AF84*(1-0.2^2)</f>
        <v>2.2655999999999999E-2</v>
      </c>
      <c r="AT84" s="32">
        <f>1/38.1</f>
        <v>2.6246719160104987E-2</v>
      </c>
      <c r="AU84" s="32">
        <f>1/15.4</f>
        <v>6.4935064935064929E-2</v>
      </c>
      <c r="AV84" s="32">
        <f>1/36.7</f>
        <v>2.7247956403269751E-2</v>
      </c>
      <c r="AW84" s="32">
        <f>1/14.8</f>
        <v>6.7567567567567557E-2</v>
      </c>
      <c r="AX84" s="40">
        <v>0.15877132402714708</v>
      </c>
      <c r="AY84" s="32">
        <v>0.27500000000000002</v>
      </c>
      <c r="AZ84" s="30">
        <v>0</v>
      </c>
      <c r="BA84" s="34">
        <v>0.31142577178506914</v>
      </c>
      <c r="BC84" s="25"/>
      <c r="BD84" s="47"/>
      <c r="BE84" s="53">
        <v>1.1000000000000001</v>
      </c>
      <c r="BF84" s="49">
        <v>2.3087000000000003E-2</v>
      </c>
      <c r="BG84" s="50">
        <v>2.5149000000000005E-2</v>
      </c>
      <c r="BH84" s="50">
        <v>6.4998E-2</v>
      </c>
      <c r="BI84" s="50">
        <v>2.6013790000000002E-2</v>
      </c>
      <c r="BJ84" s="96">
        <v>6.493465000000001E-2</v>
      </c>
      <c r="BK84" s="40">
        <v>0.15877132402714708</v>
      </c>
      <c r="BL84" s="32">
        <v>0.27500000000000002</v>
      </c>
      <c r="BM84" s="30">
        <v>0</v>
      </c>
      <c r="BN84" s="34">
        <v>0.31142577178506914</v>
      </c>
      <c r="BP84" s="15"/>
      <c r="BQ84" s="28"/>
      <c r="BR84" s="31">
        <v>1.1000000000000001</v>
      </c>
      <c r="BS84" s="84">
        <f t="shared" ref="BS84:BS93" si="104">2*CF84*CB84/32</f>
        <v>2.2090487220473087E-2</v>
      </c>
      <c r="BT84" s="78">
        <f t="shared" ref="BT84:BT93" si="105">CF84*CB84/CD84</f>
        <v>2.4851798123032225E-2</v>
      </c>
      <c r="BU84" s="78">
        <f t="shared" ref="BU84:BU93" si="106">CB84/8</f>
        <v>5.2831182702577882E-2</v>
      </c>
      <c r="BV84" s="78">
        <f t="shared" ref="BV84:BV93" si="107">CG84*CC84*BR84^2/CE84</f>
        <v>2.3459550425413488E-2</v>
      </c>
      <c r="BW84" s="78">
        <f t="shared" ref="BW84:BW93" si="108">CC84*BR84^2/12</f>
        <v>5.8216179286587177E-2</v>
      </c>
      <c r="BX84" s="40">
        <v>0.15877132402714708</v>
      </c>
      <c r="BY84" s="32">
        <v>0.27500000000000002</v>
      </c>
      <c r="BZ84" s="30">
        <v>0</v>
      </c>
      <c r="CA84" s="34">
        <v>0.31142577178506914</v>
      </c>
      <c r="CB84" s="46">
        <f t="shared" ref="CB84:CB93" si="109">BR84^4/(2+BR84^4)</f>
        <v>0.42264946162062306</v>
      </c>
      <c r="CC84" s="46">
        <f t="shared" ref="CC84:CC93" si="110">1-CB84</f>
        <v>0.57735053837937689</v>
      </c>
      <c r="CD84" s="71">
        <f t="shared" ref="CD84:CD93" si="111">128/9</f>
        <v>14.222222222222221</v>
      </c>
      <c r="CE84" s="70">
        <v>24</v>
      </c>
      <c r="CF84" s="46">
        <f t="shared" ref="CF84:CF93" si="112">1-(20*CB84)/(3*CD84*BR84^2)</f>
        <v>0.83626699575647345</v>
      </c>
      <c r="CG84" s="46">
        <f t="shared" ref="CG84:CG93" si="113">1-(20*CC84*BR84^2)/(3*CE84)</f>
        <v>0.80594606904470945</v>
      </c>
      <c r="CI84" s="15"/>
      <c r="CJ84" s="28"/>
      <c r="CK84" s="31">
        <v>1.1000000000000001</v>
      </c>
      <c r="CL84" s="45">
        <f t="shared" si="102"/>
        <v>2.1206867731654162E-2</v>
      </c>
      <c r="CM84" s="78">
        <f t="shared" ref="CM84:CM93" si="114">BT84+$CJ$14*BV84</f>
        <v>2.9543708208114923E-2</v>
      </c>
      <c r="CN84" s="78">
        <v>5.2831182702577882E-2</v>
      </c>
      <c r="CO84" s="78">
        <f t="shared" ref="CO84:CO93" si="115">$CJ$14*BT84+BV84</f>
        <v>2.8429910050019935E-2</v>
      </c>
      <c r="CP84" s="78">
        <v>5.8216179286587177E-2</v>
      </c>
      <c r="CQ84" s="40">
        <v>0.15877132402714708</v>
      </c>
      <c r="CR84" s="32">
        <v>0.27500000000000002</v>
      </c>
      <c r="CS84" s="30">
        <v>0</v>
      </c>
      <c r="CT84" s="34">
        <v>0.31142577178506914</v>
      </c>
      <c r="CV84" s="25"/>
      <c r="CW84" s="47"/>
      <c r="CX84" s="53">
        <v>1.1000000000000001</v>
      </c>
      <c r="CY84" s="45">
        <f t="shared" ref="CY84:CY93" si="116">(1-$CW$14^2)/(1-$CW$13^2)*BF84</f>
        <v>2.3618414322250644E-2</v>
      </c>
      <c r="CZ84" s="78">
        <f t="shared" ref="CZ84:CZ93" si="117">(1/(1-$CW$13^2))*((1-$CW$13*$CW$14)*BG84+($CW$14-$CW$13)*BI84)</f>
        <v>2.1735991304347831E-2</v>
      </c>
      <c r="DA84" s="50">
        <v>6.5000000000000002E-2</v>
      </c>
      <c r="DB84" s="78">
        <f t="shared" ref="DB84:DB93" si="118">(1/(1-$CW$13^2))*((1-$CW$13*$CW$14)*BI84+($CW$14-$CW$13)*BG84)</f>
        <v>2.2753391304347829E-2</v>
      </c>
      <c r="DC84" s="50">
        <v>6.7500000000000004E-2</v>
      </c>
      <c r="DD84" s="40">
        <v>0.15877132402714708</v>
      </c>
      <c r="DE84" s="32">
        <v>0.27500000000000002</v>
      </c>
      <c r="DF84" s="30">
        <v>0</v>
      </c>
      <c r="DG84" s="34">
        <v>0.31142577178506914</v>
      </c>
      <c r="DI84" s="25"/>
      <c r="DJ84" s="47"/>
      <c r="DK84" s="53">
        <v>1.1000000000000001</v>
      </c>
      <c r="DL84" s="49">
        <v>2.3099999999999999E-2</v>
      </c>
      <c r="DM84" s="50">
        <v>2.52E-2</v>
      </c>
      <c r="DN84" s="50">
        <v>6.5000000000000002E-2</v>
      </c>
      <c r="DO84" s="50">
        <v>2.6000000000000002E-2</v>
      </c>
      <c r="DP84" s="50">
        <v>6.7500000000000004E-2</v>
      </c>
      <c r="DQ84" s="40">
        <v>0.15877132402714708</v>
      </c>
      <c r="DR84" s="32">
        <v>0.27500000000000002</v>
      </c>
      <c r="DS84" s="30">
        <v>0</v>
      </c>
      <c r="DT84" s="34">
        <v>0.31142577178506914</v>
      </c>
    </row>
    <row r="85" spans="1:124" ht="12" customHeight="1" x14ac:dyDescent="0.2">
      <c r="A85" s="1"/>
      <c r="B85" s="25"/>
      <c r="C85" s="47"/>
      <c r="D85" s="68">
        <v>1.2</v>
      </c>
      <c r="E85" s="85">
        <f t="shared" si="93"/>
        <v>2.81E-2</v>
      </c>
      <c r="F85" s="85">
        <f t="shared" si="94"/>
        <v>3.3340000000000002E-2</v>
      </c>
      <c r="G85" s="85">
        <f t="shared" si="95"/>
        <v>7.3039999999999994E-2</v>
      </c>
      <c r="H85" s="85">
        <f t="shared" si="96"/>
        <v>2.8680000000000001E-2</v>
      </c>
      <c r="I85" s="85">
        <f t="shared" si="97"/>
        <v>7.0480000000000001E-2</v>
      </c>
      <c r="J85" s="85">
        <f t="shared" si="98"/>
        <v>0.1732050807568877</v>
      </c>
      <c r="K85" s="85">
        <f t="shared" si="99"/>
        <v>0.3</v>
      </c>
      <c r="L85" s="85">
        <f t="shared" si="100"/>
        <v>0</v>
      </c>
      <c r="M85" s="85">
        <f t="shared" si="101"/>
        <v>0.3160769515458674</v>
      </c>
      <c r="N85" s="1"/>
      <c r="P85" s="15"/>
      <c r="Q85" s="28"/>
      <c r="R85" s="31">
        <v>1.2</v>
      </c>
      <c r="S85" s="37">
        <v>2.81E-2</v>
      </c>
      <c r="T85" s="32">
        <v>3.3340000000000002E-2</v>
      </c>
      <c r="U85" s="32">
        <v>7.3039999999999994E-2</v>
      </c>
      <c r="V85" s="32">
        <v>2.8680000000000001E-2</v>
      </c>
      <c r="W85" s="32">
        <v>7.0480000000000001E-2</v>
      </c>
      <c r="X85" s="40">
        <v>0.1732050807568877</v>
      </c>
      <c r="Y85" s="32">
        <v>0.3</v>
      </c>
      <c r="Z85" s="30">
        <v>0</v>
      </c>
      <c r="AA85" s="34">
        <v>0.3160769515458674</v>
      </c>
      <c r="AC85" s="15"/>
      <c r="AD85" s="28"/>
      <c r="AE85" s="31">
        <v>1.2</v>
      </c>
      <c r="AF85" s="37">
        <v>2.8400000000000002E-2</v>
      </c>
      <c r="AG85" s="32">
        <f>1/37.5</f>
        <v>2.6666666666666668E-2</v>
      </c>
      <c r="AH85" s="32">
        <f>1/13.5</f>
        <v>7.407407407407407E-2</v>
      </c>
      <c r="AI85" s="32">
        <f>1/44.8</f>
        <v>2.2321428571428572E-2</v>
      </c>
      <c r="AJ85" s="32">
        <f>1/13.9</f>
        <v>7.1942446043165464E-2</v>
      </c>
      <c r="AK85" s="40">
        <v>0.1732050807568877</v>
      </c>
      <c r="AL85" s="32">
        <v>0.3</v>
      </c>
      <c r="AM85" s="30">
        <v>0</v>
      </c>
      <c r="AN85" s="34">
        <v>0.3160769515458674</v>
      </c>
      <c r="AP85" s="15"/>
      <c r="AQ85" s="28"/>
      <c r="AR85" s="31">
        <v>1.2</v>
      </c>
      <c r="AS85" s="45">
        <f t="shared" si="103"/>
        <v>2.7264E-2</v>
      </c>
      <c r="AT85" s="32">
        <f>1/32.1</f>
        <v>3.1152647975077882E-2</v>
      </c>
      <c r="AU85" s="32">
        <f>1/13.5</f>
        <v>7.407407407407407E-2</v>
      </c>
      <c r="AV85" s="32">
        <f>1/36.2</f>
        <v>2.7624309392265192E-2</v>
      </c>
      <c r="AW85" s="32">
        <f>1/13.9</f>
        <v>7.1942446043165464E-2</v>
      </c>
      <c r="AX85" s="40">
        <v>0.1732050807568877</v>
      </c>
      <c r="AY85" s="32">
        <v>0.3</v>
      </c>
      <c r="AZ85" s="30">
        <v>0</v>
      </c>
      <c r="BA85" s="34">
        <v>0.3160769515458674</v>
      </c>
      <c r="BC85" s="25"/>
      <c r="BD85" s="47"/>
      <c r="BE85" s="53">
        <v>1.2</v>
      </c>
      <c r="BF85" s="49">
        <v>2.7688000000000001E-2</v>
      </c>
      <c r="BG85" s="50">
        <v>2.9988000000000001E-2</v>
      </c>
      <c r="BH85" s="50">
        <v>7.7151999999999984E-2</v>
      </c>
      <c r="BI85" s="50">
        <v>2.6490240000000002E-2</v>
      </c>
      <c r="BJ85" s="96">
        <v>6.9102719999999992E-2</v>
      </c>
      <c r="BK85" s="40">
        <v>0.1732050807568877</v>
      </c>
      <c r="BL85" s="32">
        <v>0.3</v>
      </c>
      <c r="BM85" s="30">
        <v>0</v>
      </c>
      <c r="BN85" s="34">
        <v>0.3160769515458674</v>
      </c>
      <c r="BP85" s="15"/>
      <c r="BQ85" s="28"/>
      <c r="BR85" s="31">
        <v>1.2</v>
      </c>
      <c r="BS85" s="84">
        <f t="shared" si="104"/>
        <v>2.6542895097835334E-2</v>
      </c>
      <c r="BT85" s="78">
        <f t="shared" si="105"/>
        <v>2.9860756985064751E-2</v>
      </c>
      <c r="BU85" s="78">
        <f t="shared" si="106"/>
        <v>6.3629222309505101E-2</v>
      </c>
      <c r="BV85" s="78">
        <f t="shared" si="107"/>
        <v>2.3672825355177229E-2</v>
      </c>
      <c r="BW85" s="78">
        <f t="shared" si="108"/>
        <v>5.8915946582875099E-2</v>
      </c>
      <c r="BX85" s="40">
        <v>0.1732050807568877</v>
      </c>
      <c r="BY85" s="32">
        <v>0.3</v>
      </c>
      <c r="BZ85" s="30">
        <v>0</v>
      </c>
      <c r="CA85" s="34">
        <v>0.3160769515458674</v>
      </c>
      <c r="CB85" s="46">
        <f t="shared" si="109"/>
        <v>0.50903377847604081</v>
      </c>
      <c r="CC85" s="46">
        <f t="shared" si="110"/>
        <v>0.49096622152395919</v>
      </c>
      <c r="CD85" s="71">
        <f t="shared" si="111"/>
        <v>14.222222222222221</v>
      </c>
      <c r="CE85" s="70">
        <v>24</v>
      </c>
      <c r="CF85" s="46">
        <f t="shared" si="112"/>
        <v>0.83429890023566378</v>
      </c>
      <c r="CG85" s="46">
        <f t="shared" si="113"/>
        <v>0.80361351139041637</v>
      </c>
      <c r="CI85" s="15"/>
      <c r="CJ85" s="28"/>
      <c r="CK85" s="31">
        <v>1.2</v>
      </c>
      <c r="CL85" s="45">
        <f t="shared" si="102"/>
        <v>2.5481179293921921E-2</v>
      </c>
      <c r="CM85" s="78">
        <f t="shared" si="114"/>
        <v>3.4595322056100199E-2</v>
      </c>
      <c r="CN85" s="78">
        <v>6.3629222309505101E-2</v>
      </c>
      <c r="CO85" s="78">
        <f t="shared" si="115"/>
        <v>2.9644976752190182E-2</v>
      </c>
      <c r="CP85" s="78">
        <v>5.8915946582875099E-2</v>
      </c>
      <c r="CQ85" s="40">
        <v>0.1732050807568877</v>
      </c>
      <c r="CR85" s="32">
        <v>0.3</v>
      </c>
      <c r="CS85" s="30">
        <v>0</v>
      </c>
      <c r="CT85" s="34">
        <v>0.3160769515458674</v>
      </c>
      <c r="CV85" s="25"/>
      <c r="CW85" s="47"/>
      <c r="CX85" s="53">
        <v>1.2</v>
      </c>
      <c r="CY85" s="45">
        <f t="shared" si="116"/>
        <v>2.8325319693094632E-2</v>
      </c>
      <c r="CZ85" s="78">
        <f t="shared" si="117"/>
        <v>2.6613262404092074E-2</v>
      </c>
      <c r="DA85" s="50">
        <v>7.7199999999999991E-2</v>
      </c>
      <c r="DB85" s="78">
        <f t="shared" si="118"/>
        <v>2.2498250639386191E-2</v>
      </c>
      <c r="DC85" s="50">
        <v>7.1900000000000006E-2</v>
      </c>
      <c r="DD85" s="40">
        <v>0.1732050807568877</v>
      </c>
      <c r="DE85" s="32">
        <v>0.3</v>
      </c>
      <c r="DF85" s="30">
        <v>0</v>
      </c>
      <c r="DG85" s="34">
        <v>0.3160769515458674</v>
      </c>
      <c r="DI85" s="25"/>
      <c r="DJ85" s="47"/>
      <c r="DK85" s="53">
        <v>1.2</v>
      </c>
      <c r="DL85" s="49">
        <v>2.7699999999999999E-2</v>
      </c>
      <c r="DM85" s="50">
        <v>0.03</v>
      </c>
      <c r="DN85" s="50">
        <v>7.7199999999999991E-2</v>
      </c>
      <c r="DO85" s="50">
        <v>2.6499999999999999E-2</v>
      </c>
      <c r="DP85" s="50">
        <v>7.1900000000000006E-2</v>
      </c>
      <c r="DQ85" s="40">
        <v>0.1732050807568877</v>
      </c>
      <c r="DR85" s="32">
        <v>0.3</v>
      </c>
      <c r="DS85" s="30">
        <v>0</v>
      </c>
      <c r="DT85" s="34">
        <v>0.3160769515458674</v>
      </c>
    </row>
    <row r="86" spans="1:124" ht="12" customHeight="1" x14ac:dyDescent="0.2">
      <c r="A86" s="1"/>
      <c r="B86" s="25"/>
      <c r="C86" s="47"/>
      <c r="D86" s="68">
        <v>1.3</v>
      </c>
      <c r="E86" s="85">
        <f t="shared" si="93"/>
        <v>3.2599999999999997E-2</v>
      </c>
      <c r="F86" s="85">
        <f t="shared" si="94"/>
        <v>3.841E-2</v>
      </c>
      <c r="G86" s="85">
        <f t="shared" si="95"/>
        <v>8.1159999999999996E-2</v>
      </c>
      <c r="H86" s="85">
        <f t="shared" si="96"/>
        <v>2.8670000000000001E-2</v>
      </c>
      <c r="I86" s="85">
        <f t="shared" si="97"/>
        <v>7.3529999999999998E-2</v>
      </c>
      <c r="J86" s="85">
        <f t="shared" si="98"/>
        <v>0.18752478257760999</v>
      </c>
      <c r="K86" s="85">
        <f t="shared" si="99"/>
        <v>0.32480245110272743</v>
      </c>
      <c r="L86" s="85">
        <f t="shared" si="100"/>
        <v>0</v>
      </c>
      <c r="M86" s="85">
        <f t="shared" si="101"/>
        <v>0.3169872981077807</v>
      </c>
      <c r="N86" s="1"/>
      <c r="P86" s="15"/>
      <c r="Q86" s="28"/>
      <c r="R86" s="31">
        <v>1.3</v>
      </c>
      <c r="S86" s="37">
        <v>3.2599999999999997E-2</v>
      </c>
      <c r="T86" s="32">
        <v>3.841E-2</v>
      </c>
      <c r="U86" s="32">
        <v>8.1159999999999996E-2</v>
      </c>
      <c r="V86" s="32">
        <v>2.8670000000000001E-2</v>
      </c>
      <c r="W86" s="32">
        <v>7.3529999999999998E-2</v>
      </c>
      <c r="X86" s="40">
        <v>0.18752478257760999</v>
      </c>
      <c r="Y86" s="32">
        <v>0.32480245110272743</v>
      </c>
      <c r="Z86" s="30">
        <v>0</v>
      </c>
      <c r="AA86" s="34">
        <v>0.3169872981077807</v>
      </c>
      <c r="AC86" s="15"/>
      <c r="AD86" s="28"/>
      <c r="AE86" s="31">
        <v>1.3</v>
      </c>
      <c r="AF86" s="37">
        <v>3.2899999999999999E-2</v>
      </c>
      <c r="AG86" s="32">
        <f>1/31.8</f>
        <v>3.1446540880503145E-2</v>
      </c>
      <c r="AH86" s="32">
        <f>1/12.2</f>
        <v>8.1967213114754106E-2</v>
      </c>
      <c r="AI86" s="32">
        <f>1/46.9</f>
        <v>2.1321961620469083E-2</v>
      </c>
      <c r="AJ86" s="32">
        <f>1/13.3</f>
        <v>7.5187969924812026E-2</v>
      </c>
      <c r="AK86" s="40">
        <v>0.18752478257760999</v>
      </c>
      <c r="AL86" s="32">
        <v>0.32480245110272743</v>
      </c>
      <c r="AM86" s="30">
        <v>0</v>
      </c>
      <c r="AN86" s="34">
        <v>0.3169872981077807</v>
      </c>
      <c r="AP86" s="15"/>
      <c r="AQ86" s="28"/>
      <c r="AR86" s="31">
        <v>1.3</v>
      </c>
      <c r="AS86" s="45">
        <f t="shared" si="103"/>
        <v>3.1584000000000001E-2</v>
      </c>
      <c r="AT86" s="32">
        <f>1/28</f>
        <v>3.5714285714285712E-2</v>
      </c>
      <c r="AU86" s="32">
        <f>1/12.2</f>
        <v>8.1967213114754106E-2</v>
      </c>
      <c r="AV86" s="32">
        <f>1/36.2</f>
        <v>2.7624309392265192E-2</v>
      </c>
      <c r="AW86" s="32">
        <f>1/13.3</f>
        <v>7.5187969924812026E-2</v>
      </c>
      <c r="AX86" s="40">
        <v>0.18752478257760999</v>
      </c>
      <c r="AY86" s="32">
        <v>0.32480245110272743</v>
      </c>
      <c r="AZ86" s="30">
        <v>0</v>
      </c>
      <c r="BA86" s="34">
        <v>0.3169872981077807</v>
      </c>
      <c r="BC86" s="25"/>
      <c r="BD86" s="47"/>
      <c r="BE86" s="53">
        <v>1.3</v>
      </c>
      <c r="BF86" s="49">
        <v>3.2160000000000001E-2</v>
      </c>
      <c r="BG86" s="50">
        <v>3.4460000000000005E-2</v>
      </c>
      <c r="BH86" s="50">
        <v>8.5940000000000003E-2</v>
      </c>
      <c r="BI86" s="50">
        <v>2.6127399999999995E-2</v>
      </c>
      <c r="BJ86" s="96">
        <v>7.2027799999999989E-2</v>
      </c>
      <c r="BK86" s="40">
        <v>0.18752478257760999</v>
      </c>
      <c r="BL86" s="32">
        <v>0.32480245110272743</v>
      </c>
      <c r="BM86" s="30">
        <v>0</v>
      </c>
      <c r="BN86" s="34">
        <v>0.3169872981077807</v>
      </c>
      <c r="BP86" s="15"/>
      <c r="BQ86" s="28"/>
      <c r="BR86" s="31">
        <v>1.3</v>
      </c>
      <c r="BS86" s="84">
        <f t="shared" si="104"/>
        <v>3.0762564145292222E-2</v>
      </c>
      <c r="BT86" s="78">
        <f t="shared" si="105"/>
        <v>3.4607884663453749E-2</v>
      </c>
      <c r="BU86" s="78">
        <f t="shared" si="106"/>
        <v>7.3518358353411181E-2</v>
      </c>
      <c r="BV86" s="78">
        <f t="shared" si="107"/>
        <v>2.3394145862103088E-2</v>
      </c>
      <c r="BW86" s="78">
        <f t="shared" si="108"/>
        <v>5.8002649588490079E-2</v>
      </c>
      <c r="BX86" s="40">
        <v>0.18752478257760999</v>
      </c>
      <c r="BY86" s="32">
        <v>0.32480245110272743</v>
      </c>
      <c r="BZ86" s="30">
        <v>0</v>
      </c>
      <c r="CA86" s="34">
        <v>0.3169872981077807</v>
      </c>
      <c r="CB86" s="46">
        <f t="shared" si="109"/>
        <v>0.58814686682728945</v>
      </c>
      <c r="CC86" s="46">
        <f t="shared" si="110"/>
        <v>0.41185313317271055</v>
      </c>
      <c r="CD86" s="71">
        <f t="shared" si="111"/>
        <v>14.222222222222221</v>
      </c>
      <c r="CE86" s="70">
        <v>24</v>
      </c>
      <c r="CF86" s="46">
        <f t="shared" si="112"/>
        <v>0.83686754803237162</v>
      </c>
      <c r="CG86" s="46">
        <f t="shared" si="113"/>
        <v>0.80665783470503305</v>
      </c>
      <c r="CI86" s="15"/>
      <c r="CJ86" s="28"/>
      <c r="CK86" s="31">
        <v>1.3</v>
      </c>
      <c r="CL86" s="45">
        <f t="shared" si="102"/>
        <v>2.9532061579480531E-2</v>
      </c>
      <c r="CM86" s="78">
        <f t="shared" si="114"/>
        <v>3.9286713835874364E-2</v>
      </c>
      <c r="CN86" s="78">
        <v>7.3518358353411181E-2</v>
      </c>
      <c r="CO86" s="78">
        <f t="shared" si="115"/>
        <v>3.0315722794793838E-2</v>
      </c>
      <c r="CP86" s="78">
        <v>5.8002649588490079E-2</v>
      </c>
      <c r="CQ86" s="40">
        <v>0.18752478257760999</v>
      </c>
      <c r="CR86" s="32">
        <v>0.32480245110272743</v>
      </c>
      <c r="CS86" s="30">
        <v>0</v>
      </c>
      <c r="CT86" s="34">
        <v>0.3169872981077807</v>
      </c>
      <c r="CV86" s="25"/>
      <c r="CW86" s="47"/>
      <c r="CX86" s="53">
        <v>1.3</v>
      </c>
      <c r="CY86" s="45">
        <f t="shared" si="116"/>
        <v>3.2900255754475707E-2</v>
      </c>
      <c r="CZ86" s="78">
        <f t="shared" si="117"/>
        <v>3.1243877237851669E-2</v>
      </c>
      <c r="DA86" s="50">
        <v>8.5900000000000004E-2</v>
      </c>
      <c r="DB86" s="78">
        <f t="shared" si="118"/>
        <v>2.1440818414322247E-2</v>
      </c>
      <c r="DC86" s="50">
        <v>7.51E-2</v>
      </c>
      <c r="DD86" s="40">
        <v>0.18752478257760999</v>
      </c>
      <c r="DE86" s="32">
        <v>0.32480245110272743</v>
      </c>
      <c r="DF86" s="30">
        <v>0</v>
      </c>
      <c r="DG86" s="34">
        <v>0.3169872981077807</v>
      </c>
      <c r="DI86" s="25"/>
      <c r="DJ86" s="47"/>
      <c r="DK86" s="53">
        <v>1.3</v>
      </c>
      <c r="DL86" s="49">
        <v>3.2199999999999999E-2</v>
      </c>
      <c r="DM86" s="50">
        <v>3.4500000000000003E-2</v>
      </c>
      <c r="DN86" s="50">
        <v>8.5900000000000004E-2</v>
      </c>
      <c r="DO86" s="50">
        <v>2.6099999999999998E-2</v>
      </c>
      <c r="DP86" s="50">
        <v>7.51E-2</v>
      </c>
      <c r="DQ86" s="40">
        <v>0.18752478257760999</v>
      </c>
      <c r="DR86" s="32">
        <v>0.32480245110272743</v>
      </c>
      <c r="DS86" s="30">
        <v>0</v>
      </c>
      <c r="DT86" s="34">
        <v>0.3169872981077807</v>
      </c>
    </row>
    <row r="87" spans="1:124" ht="12" customHeight="1" x14ac:dyDescent="0.2">
      <c r="A87" s="1"/>
      <c r="B87" s="25"/>
      <c r="C87" s="47"/>
      <c r="D87" s="68">
        <v>1.4</v>
      </c>
      <c r="E87" s="85">
        <f t="shared" si="93"/>
        <v>3.6799999999999999E-2</v>
      </c>
      <c r="F87" s="85">
        <f t="shared" si="94"/>
        <v>4.308E-2</v>
      </c>
      <c r="G87" s="85">
        <f t="shared" si="95"/>
        <v>8.8429999999999995E-2</v>
      </c>
      <c r="H87" s="85">
        <f t="shared" si="96"/>
        <v>2.8230000000000002E-2</v>
      </c>
      <c r="I87" s="85">
        <f t="shared" si="97"/>
        <v>7.5749999999999998E-2</v>
      </c>
      <c r="J87" s="85">
        <f t="shared" si="98"/>
        <v>0.20027482694952631</v>
      </c>
      <c r="K87" s="85">
        <f t="shared" si="99"/>
        <v>0.34688617575364411</v>
      </c>
      <c r="L87" s="85">
        <f t="shared" si="100"/>
        <v>0</v>
      </c>
      <c r="M87" s="85">
        <f t="shared" si="101"/>
        <v>0.3169872981077807</v>
      </c>
      <c r="N87" s="1"/>
      <c r="P87" s="15"/>
      <c r="Q87" s="28"/>
      <c r="R87" s="31">
        <v>1.4</v>
      </c>
      <c r="S87" s="37">
        <v>3.6799999999999999E-2</v>
      </c>
      <c r="T87" s="32">
        <v>4.308E-2</v>
      </c>
      <c r="U87" s="32">
        <v>8.8429999999999995E-2</v>
      </c>
      <c r="V87" s="32">
        <v>2.8230000000000002E-2</v>
      </c>
      <c r="W87" s="32">
        <v>7.5749999999999998E-2</v>
      </c>
      <c r="X87" s="40">
        <v>0.20027482694952631</v>
      </c>
      <c r="Y87" s="32">
        <v>0.34688617575364411</v>
      </c>
      <c r="Z87" s="30">
        <v>0</v>
      </c>
      <c r="AA87" s="34">
        <v>0.3169872981077807</v>
      </c>
      <c r="AC87" s="15"/>
      <c r="AD87" s="28"/>
      <c r="AE87" s="31">
        <v>1.4</v>
      </c>
      <c r="AF87" s="37">
        <v>3.7100000000000001E-2</v>
      </c>
      <c r="AG87" s="32">
        <f>1/28</f>
        <v>3.5714285714285712E-2</v>
      </c>
      <c r="AH87" s="32">
        <f>1/11.2</f>
        <v>8.9285714285714288E-2</v>
      </c>
      <c r="AI87" s="32">
        <f>1/50.3</f>
        <v>1.9880715705765408E-2</v>
      </c>
      <c r="AJ87" s="44">
        <f>1/13</f>
        <v>7.6923076923076927E-2</v>
      </c>
      <c r="AK87" s="40">
        <v>0.20027482694952631</v>
      </c>
      <c r="AL87" s="32">
        <v>0.34688617575364411</v>
      </c>
      <c r="AM87" s="30">
        <v>0</v>
      </c>
      <c r="AN87" s="34">
        <v>0.3169872981077807</v>
      </c>
      <c r="AP87" s="15"/>
      <c r="AQ87" s="28"/>
      <c r="AR87" s="31">
        <v>1.4</v>
      </c>
      <c r="AS87" s="45">
        <f t="shared" si="103"/>
        <v>3.5616000000000002E-2</v>
      </c>
      <c r="AT87" s="32">
        <f>1/25.2</f>
        <v>3.968253968253968E-2</v>
      </c>
      <c r="AU87" s="32">
        <f>1/11.2</f>
        <v>8.9285714285714288E-2</v>
      </c>
      <c r="AV87" s="32">
        <f>1/37</f>
        <v>2.7027027027027029E-2</v>
      </c>
      <c r="AW87" s="44">
        <f>1/13</f>
        <v>7.6923076923076927E-2</v>
      </c>
      <c r="AX87" s="40">
        <v>0.20027482694952631</v>
      </c>
      <c r="AY87" s="32">
        <v>0.34688617575364411</v>
      </c>
      <c r="AZ87" s="30">
        <v>0</v>
      </c>
      <c r="BA87" s="34">
        <v>0.3169872981077807</v>
      </c>
      <c r="BC87" s="25"/>
      <c r="BD87" s="47"/>
      <c r="BE87" s="53">
        <v>1.4</v>
      </c>
      <c r="BF87" s="49">
        <v>3.619E-2</v>
      </c>
      <c r="BG87" s="50">
        <v>3.8629999999999998E-2</v>
      </c>
      <c r="BH87" s="50">
        <v>8.8769999999999988E-2</v>
      </c>
      <c r="BI87" s="50">
        <v>2.5264400000000003E-2</v>
      </c>
      <c r="BJ87" s="96">
        <v>7.399E-2</v>
      </c>
      <c r="BK87" s="40">
        <v>0.20027482694952631</v>
      </c>
      <c r="BL87" s="32">
        <v>0.34688617575364411</v>
      </c>
      <c r="BM87" s="30">
        <v>0</v>
      </c>
      <c r="BN87" s="34">
        <v>0.3169872981077807</v>
      </c>
      <c r="BP87" s="15"/>
      <c r="BQ87" s="28"/>
      <c r="BR87" s="31">
        <v>1.4</v>
      </c>
      <c r="BS87" s="84">
        <f t="shared" si="104"/>
        <v>3.4637387784568201E-2</v>
      </c>
      <c r="BT87" s="78">
        <f t="shared" si="105"/>
        <v>3.8967061257639227E-2</v>
      </c>
      <c r="BU87" s="78">
        <f t="shared" si="106"/>
        <v>8.2203505888797587E-2</v>
      </c>
      <c r="BV87" s="78">
        <f t="shared" si="107"/>
        <v>2.2748491922000211E-2</v>
      </c>
      <c r="BW87" s="78">
        <f t="shared" si="108"/>
        <v>5.5920752305304473E-2</v>
      </c>
      <c r="BX87" s="40">
        <v>0.20027482694952631</v>
      </c>
      <c r="BY87" s="32">
        <v>0.34688617575364411</v>
      </c>
      <c r="BZ87" s="30">
        <v>0</v>
      </c>
      <c r="CA87" s="34">
        <v>0.3169872981077807</v>
      </c>
      <c r="CB87" s="46">
        <f t="shared" si="109"/>
        <v>0.6576280471103807</v>
      </c>
      <c r="CC87" s="46">
        <f t="shared" si="110"/>
        <v>0.3423719528896193</v>
      </c>
      <c r="CD87" s="71">
        <f t="shared" si="111"/>
        <v>14.222222222222221</v>
      </c>
      <c r="CE87" s="70">
        <v>24</v>
      </c>
      <c r="CF87" s="46">
        <f t="shared" si="112"/>
        <v>0.84272288414133112</v>
      </c>
      <c r="CG87" s="46">
        <f t="shared" si="113"/>
        <v>0.8135974923156517</v>
      </c>
      <c r="CI87" s="15"/>
      <c r="CJ87" s="28"/>
      <c r="CK87" s="31">
        <v>1.4</v>
      </c>
      <c r="CL87" s="45">
        <f t="shared" si="102"/>
        <v>3.3251892273185472E-2</v>
      </c>
      <c r="CM87" s="78">
        <f t="shared" si="114"/>
        <v>4.3516759642039271E-2</v>
      </c>
      <c r="CN87" s="78">
        <v>8.2203505888797587E-2</v>
      </c>
      <c r="CO87" s="78">
        <f t="shared" si="115"/>
        <v>3.0541904173528058E-2</v>
      </c>
      <c r="CP87" s="78">
        <v>5.5920752305304473E-2</v>
      </c>
      <c r="CQ87" s="40">
        <v>0.20027482694952631</v>
      </c>
      <c r="CR87" s="32">
        <v>0.34688617575364411</v>
      </c>
      <c r="CS87" s="30">
        <v>0</v>
      </c>
      <c r="CT87" s="34">
        <v>0.3169872981077807</v>
      </c>
      <c r="CV87" s="25"/>
      <c r="CW87" s="47"/>
      <c r="CX87" s="53">
        <v>1.4</v>
      </c>
      <c r="CY87" s="45">
        <f t="shared" si="116"/>
        <v>3.7023017902813302E-2</v>
      </c>
      <c r="CZ87" s="78">
        <f t="shared" si="117"/>
        <v>3.5642291560102304E-2</v>
      </c>
      <c r="DA87" s="50">
        <v>8.8800000000000004E-2</v>
      </c>
      <c r="DB87" s="78">
        <f t="shared" si="118"/>
        <v>1.9918056265984661E-2</v>
      </c>
      <c r="DC87" s="56">
        <v>7.7399999999999997E-2</v>
      </c>
      <c r="DD87" s="40">
        <v>0.20027482694952631</v>
      </c>
      <c r="DE87" s="32">
        <v>0.34688617575364411</v>
      </c>
      <c r="DF87" s="30">
        <v>0</v>
      </c>
      <c r="DG87" s="34">
        <v>0.3169872981077807</v>
      </c>
      <c r="DI87" s="25"/>
      <c r="DJ87" s="47"/>
      <c r="DK87" s="53">
        <v>1.4</v>
      </c>
      <c r="DL87" s="49">
        <v>3.6200000000000003E-2</v>
      </c>
      <c r="DM87" s="50">
        <v>3.8599999999999995E-2</v>
      </c>
      <c r="DN87" s="50">
        <v>8.8800000000000004E-2</v>
      </c>
      <c r="DO87" s="50">
        <v>2.53E-2</v>
      </c>
      <c r="DP87" s="56">
        <v>7.7399999999999997E-2</v>
      </c>
      <c r="DQ87" s="40">
        <v>0.20027482694952631</v>
      </c>
      <c r="DR87" s="32">
        <v>0.34688617575364411</v>
      </c>
      <c r="DS87" s="30">
        <v>0</v>
      </c>
      <c r="DT87" s="34">
        <v>0.3169872981077807</v>
      </c>
    </row>
    <row r="88" spans="1:124" ht="12" customHeight="1" x14ac:dyDescent="0.2">
      <c r="A88" s="1"/>
      <c r="B88" s="25"/>
      <c r="C88" s="47"/>
      <c r="D88" s="68">
        <v>1.5</v>
      </c>
      <c r="E88" s="85">
        <f t="shared" si="93"/>
        <v>4.0599999999999997E-2</v>
      </c>
      <c r="F88" s="85">
        <f t="shared" si="94"/>
        <v>4.727E-2</v>
      </c>
      <c r="G88" s="85">
        <f t="shared" si="95"/>
        <v>9.4789999999999999E-2</v>
      </c>
      <c r="H88" s="85">
        <f t="shared" si="96"/>
        <v>2.7470000000000001E-2</v>
      </c>
      <c r="I88" s="85">
        <f t="shared" si="97"/>
        <v>7.7289999999999998E-2</v>
      </c>
      <c r="J88" s="85">
        <f t="shared" si="98"/>
        <v>0.21132486540518713</v>
      </c>
      <c r="K88" s="85">
        <f t="shared" si="99"/>
        <v>0.3660254037844386</v>
      </c>
      <c r="L88" s="85">
        <f t="shared" si="100"/>
        <v>0</v>
      </c>
      <c r="M88" s="85">
        <f t="shared" si="101"/>
        <v>0.3169872981077807</v>
      </c>
      <c r="N88" s="1"/>
      <c r="P88" s="15"/>
      <c r="Q88" s="28"/>
      <c r="R88" s="31">
        <v>1.5</v>
      </c>
      <c r="S88" s="37">
        <v>4.0599999999999997E-2</v>
      </c>
      <c r="T88" s="32">
        <v>4.727E-2</v>
      </c>
      <c r="U88" s="32">
        <v>9.4789999999999999E-2</v>
      </c>
      <c r="V88" s="32">
        <v>2.7470000000000001E-2</v>
      </c>
      <c r="W88" s="32">
        <v>7.7289999999999998E-2</v>
      </c>
      <c r="X88" s="40">
        <v>0.21132486540518713</v>
      </c>
      <c r="Y88" s="32">
        <v>0.3660254037844386</v>
      </c>
      <c r="Z88" s="30">
        <v>0</v>
      </c>
      <c r="AA88" s="34">
        <v>0.3169872981077807</v>
      </c>
      <c r="AC88" s="15"/>
      <c r="AD88" s="28"/>
      <c r="AE88" s="31">
        <v>1.5</v>
      </c>
      <c r="AF88" s="37">
        <v>4.0899999999999999E-2</v>
      </c>
      <c r="AG88" s="32">
        <f>1/25.2</f>
        <v>3.968253968253968E-2</v>
      </c>
      <c r="AH88" s="32">
        <f>1/10.6</f>
        <v>9.4339622641509441E-2</v>
      </c>
      <c r="AI88" s="32">
        <f>1/55</f>
        <v>1.8181818181818181E-2</v>
      </c>
      <c r="AJ88" s="32">
        <f>1/12.7</f>
        <v>7.874015748031496E-2</v>
      </c>
      <c r="AK88" s="40">
        <v>0.21132486540518713</v>
      </c>
      <c r="AL88" s="32">
        <v>0.3660254037844386</v>
      </c>
      <c r="AM88" s="30">
        <v>0</v>
      </c>
      <c r="AN88" s="34">
        <v>0.3169872981077807</v>
      </c>
      <c r="AP88" s="15"/>
      <c r="AQ88" s="28"/>
      <c r="AR88" s="31">
        <v>1.5</v>
      </c>
      <c r="AS88" s="45">
        <f t="shared" si="103"/>
        <v>3.9264E-2</v>
      </c>
      <c r="AT88" s="32">
        <f>1/23.1</f>
        <v>4.3290043290043288E-2</v>
      </c>
      <c r="AU88" s="32">
        <f>1/10.6</f>
        <v>9.4339622641509441E-2</v>
      </c>
      <c r="AV88" s="32">
        <f>1/38.3</f>
        <v>2.6109660574412535E-2</v>
      </c>
      <c r="AW88" s="32">
        <f>1/12.7</f>
        <v>7.874015748031496E-2</v>
      </c>
      <c r="AX88" s="40">
        <v>0.21132486540518713</v>
      </c>
      <c r="AY88" s="32">
        <v>0.3660254037844386</v>
      </c>
      <c r="AZ88" s="30">
        <v>0</v>
      </c>
      <c r="BA88" s="34">
        <v>0.3169872981077807</v>
      </c>
      <c r="BC88" s="25"/>
      <c r="BD88" s="47"/>
      <c r="BE88" s="53">
        <v>1.5</v>
      </c>
      <c r="BF88" s="49">
        <v>3.9770000000000007E-2</v>
      </c>
      <c r="BG88" s="50">
        <v>4.2270000000000002E-2</v>
      </c>
      <c r="BH88" s="50">
        <v>9.4370000000000009E-2</v>
      </c>
      <c r="BI88" s="50">
        <v>2.4378749999999998E-2</v>
      </c>
      <c r="BJ88" s="96">
        <v>7.5318750000000004E-2</v>
      </c>
      <c r="BK88" s="40">
        <v>0.21132486540518713</v>
      </c>
      <c r="BL88" s="32">
        <v>0.3660254037844386</v>
      </c>
      <c r="BM88" s="30">
        <v>0</v>
      </c>
      <c r="BN88" s="34">
        <v>0.3169872981077807</v>
      </c>
      <c r="BP88" s="15"/>
      <c r="BQ88" s="28"/>
      <c r="BR88" s="31">
        <v>1.5</v>
      </c>
      <c r="BS88" s="84">
        <f t="shared" si="104"/>
        <v>3.811048731302373E-2</v>
      </c>
      <c r="BT88" s="78">
        <f t="shared" si="105"/>
        <v>4.2874298227151698E-2</v>
      </c>
      <c r="BU88" s="78">
        <f t="shared" si="106"/>
        <v>8.9601769911504425E-2</v>
      </c>
      <c r="BV88" s="78">
        <f t="shared" si="107"/>
        <v>2.1849792466128906E-2</v>
      </c>
      <c r="BW88" s="78">
        <f t="shared" si="108"/>
        <v>5.3097345132743362E-2</v>
      </c>
      <c r="BX88" s="40">
        <v>0.21132486540518713</v>
      </c>
      <c r="BY88" s="32">
        <v>0.3660254037844386</v>
      </c>
      <c r="BZ88" s="30">
        <v>0</v>
      </c>
      <c r="CA88" s="34">
        <v>0.3169872981077807</v>
      </c>
      <c r="CB88" s="46">
        <f t="shared" si="109"/>
        <v>0.7168141592920354</v>
      </c>
      <c r="CC88" s="46">
        <f t="shared" si="110"/>
        <v>0.2831858407079646</v>
      </c>
      <c r="CD88" s="71">
        <f t="shared" si="111"/>
        <v>14.222222222222221</v>
      </c>
      <c r="CE88" s="70">
        <v>24</v>
      </c>
      <c r="CF88" s="46">
        <f t="shared" si="112"/>
        <v>0.85066371681415931</v>
      </c>
      <c r="CG88" s="46">
        <f t="shared" si="113"/>
        <v>0.82300884955752207</v>
      </c>
      <c r="CI88" s="15"/>
      <c r="CJ88" s="28"/>
      <c r="CK88" s="31">
        <v>1.5</v>
      </c>
      <c r="CL88" s="45">
        <f t="shared" si="102"/>
        <v>3.6586067820502777E-2</v>
      </c>
      <c r="CM88" s="78">
        <f t="shared" si="114"/>
        <v>4.7244256720377478E-2</v>
      </c>
      <c r="CN88" s="78">
        <v>8.9601769911504425E-2</v>
      </c>
      <c r="CO88" s="78">
        <f t="shared" si="115"/>
        <v>3.0424652111559244E-2</v>
      </c>
      <c r="CP88" s="78">
        <v>5.3097345132743362E-2</v>
      </c>
      <c r="CQ88" s="40">
        <v>0.21132486540518713</v>
      </c>
      <c r="CR88" s="32">
        <v>0.3660254037844386</v>
      </c>
      <c r="CS88" s="30">
        <v>0</v>
      </c>
      <c r="CT88" s="34">
        <v>0.3169872981077807</v>
      </c>
      <c r="CV88" s="25"/>
      <c r="CW88" s="47"/>
      <c r="CX88" s="53">
        <v>1.5</v>
      </c>
      <c r="CY88" s="45">
        <f t="shared" si="116"/>
        <v>4.0685421994884917E-2</v>
      </c>
      <c r="CZ88" s="78">
        <f t="shared" si="117"/>
        <v>3.9501982097186701E-2</v>
      </c>
      <c r="DA88" s="50">
        <v>9.4399999999999998E-2</v>
      </c>
      <c r="DB88" s="78">
        <f t="shared" si="118"/>
        <v>1.8453452685421996E-2</v>
      </c>
      <c r="DC88" s="50">
        <v>7.9100000000000004E-2</v>
      </c>
      <c r="DD88" s="40">
        <v>0.21132486540518713</v>
      </c>
      <c r="DE88" s="32">
        <v>0.3660254037844386</v>
      </c>
      <c r="DF88" s="30">
        <v>0</v>
      </c>
      <c r="DG88" s="34">
        <v>0.3169872981077807</v>
      </c>
      <c r="DI88" s="25"/>
      <c r="DJ88" s="47"/>
      <c r="DK88" s="53">
        <v>1.5</v>
      </c>
      <c r="DL88" s="49">
        <v>3.9800000000000002E-2</v>
      </c>
      <c r="DM88" s="50">
        <v>4.2300000000000004E-2</v>
      </c>
      <c r="DN88" s="50">
        <v>9.4399999999999998E-2</v>
      </c>
      <c r="DO88" s="50">
        <v>2.4300000000000002E-2</v>
      </c>
      <c r="DP88" s="50">
        <v>7.9100000000000004E-2</v>
      </c>
      <c r="DQ88" s="40">
        <v>0.21132486540518713</v>
      </c>
      <c r="DR88" s="32">
        <v>0.3660254037844386</v>
      </c>
      <c r="DS88" s="30">
        <v>0</v>
      </c>
      <c r="DT88" s="34">
        <v>0.3169872981077807</v>
      </c>
    </row>
    <row r="89" spans="1:124" ht="12" customHeight="1" x14ac:dyDescent="0.2">
      <c r="A89" s="1"/>
      <c r="B89" s="25"/>
      <c r="C89" s="47"/>
      <c r="D89" s="68">
        <v>1.6</v>
      </c>
      <c r="E89" s="85">
        <f t="shared" si="93"/>
        <v>4.3999999999999997E-2</v>
      </c>
      <c r="F89" s="85">
        <f t="shared" si="94"/>
        <v>5.0970000000000001E-2</v>
      </c>
      <c r="G89" s="85">
        <f t="shared" si="95"/>
        <v>0.1003</v>
      </c>
      <c r="H89" s="85">
        <f t="shared" si="96"/>
        <v>2.6499999999999999E-2</v>
      </c>
      <c r="I89" s="85">
        <f t="shared" si="97"/>
        <v>7.8310000000000005E-2</v>
      </c>
      <c r="J89" s="85">
        <f t="shared" si="98"/>
        <v>0.22099364905389035</v>
      </c>
      <c r="K89" s="85">
        <f t="shared" si="99"/>
        <v>0.3827722283113838</v>
      </c>
      <c r="L89" s="85">
        <f t="shared" si="100"/>
        <v>0</v>
      </c>
      <c r="M89" s="85">
        <f t="shared" si="101"/>
        <v>0.3169872981077807</v>
      </c>
      <c r="N89" s="1"/>
      <c r="P89" s="15"/>
      <c r="Q89" s="28"/>
      <c r="R89" s="31">
        <v>1.6</v>
      </c>
      <c r="S89" s="37">
        <v>4.3999999999999997E-2</v>
      </c>
      <c r="T89" s="32">
        <v>5.0970000000000001E-2</v>
      </c>
      <c r="U89" s="32">
        <v>0.1003</v>
      </c>
      <c r="V89" s="32">
        <v>2.6499999999999999E-2</v>
      </c>
      <c r="W89" s="32">
        <v>7.8310000000000005E-2</v>
      </c>
      <c r="X89" s="40">
        <v>0.22099364905389035</v>
      </c>
      <c r="Y89" s="32">
        <v>0.3827722283113838</v>
      </c>
      <c r="Z89" s="30">
        <v>0</v>
      </c>
      <c r="AA89" s="34">
        <v>0.3169872981077807</v>
      </c>
      <c r="AC89" s="15"/>
      <c r="AD89" s="28"/>
      <c r="AE89" s="31">
        <v>1.6</v>
      </c>
      <c r="AF89" s="37">
        <v>4.4200000000000003E-2</v>
      </c>
      <c r="AG89" s="32">
        <f>1/23.3</f>
        <v>4.2918454935622317E-2</v>
      </c>
      <c r="AH89" s="32">
        <f>1/10.1</f>
        <v>9.9009900990099015E-2</v>
      </c>
      <c r="AI89" s="32">
        <f>1/61.6</f>
        <v>1.6233766233766232E-2</v>
      </c>
      <c r="AJ89" s="32">
        <f>1/12.6</f>
        <v>7.9365079365079361E-2</v>
      </c>
      <c r="AK89" s="40">
        <v>0.22099364905389035</v>
      </c>
      <c r="AL89" s="32">
        <v>0.3827722283113838</v>
      </c>
      <c r="AM89" s="30">
        <v>0</v>
      </c>
      <c r="AN89" s="34">
        <v>0.3169872981077807</v>
      </c>
      <c r="AP89" s="15"/>
      <c r="AQ89" s="28"/>
      <c r="AR89" s="31">
        <v>1.6</v>
      </c>
      <c r="AS89" s="45">
        <f t="shared" si="103"/>
        <v>4.2432000000000004E-2</v>
      </c>
      <c r="AT89" s="32">
        <f>1/21.7</f>
        <v>4.6082949308755762E-2</v>
      </c>
      <c r="AU89" s="32">
        <f>1/10.1</f>
        <v>9.9009900990099015E-2</v>
      </c>
      <c r="AV89" s="32">
        <f>1/40.3</f>
        <v>2.4813895781637719E-2</v>
      </c>
      <c r="AW89" s="32">
        <f>1/12.6</f>
        <v>7.9365079365079361E-2</v>
      </c>
      <c r="AX89" s="40">
        <v>0.22099364905389035</v>
      </c>
      <c r="AY89" s="32">
        <v>0.3827722283113838</v>
      </c>
      <c r="AZ89" s="30">
        <v>0</v>
      </c>
      <c r="BA89" s="34">
        <v>0.3169872981077807</v>
      </c>
      <c r="BC89" s="25"/>
      <c r="BD89" s="47"/>
      <c r="BE89" s="53">
        <v>1.6</v>
      </c>
      <c r="BF89" s="49">
        <v>4.2972000000000003E-2</v>
      </c>
      <c r="BG89" s="50">
        <v>4.5520000000000005E-2</v>
      </c>
      <c r="BH89" s="50">
        <v>9.9136000000000002E-2</v>
      </c>
      <c r="BI89" s="50">
        <v>2.33984E-2</v>
      </c>
      <c r="BJ89" s="96">
        <v>7.6257279999999997E-2</v>
      </c>
      <c r="BK89" s="40">
        <v>0.22099364905389035</v>
      </c>
      <c r="BL89" s="32">
        <v>0.3827722283113838</v>
      </c>
      <c r="BM89" s="30">
        <v>0</v>
      </c>
      <c r="BN89" s="34">
        <v>0.3169872981077807</v>
      </c>
      <c r="BP89" s="15"/>
      <c r="BQ89" s="28"/>
      <c r="BR89" s="31">
        <v>1.6</v>
      </c>
      <c r="BS89" s="84">
        <f t="shared" si="104"/>
        <v>4.1168218746470406E-2</v>
      </c>
      <c r="BT89" s="78">
        <f t="shared" si="105"/>
        <v>4.6314246089779208E-2</v>
      </c>
      <c r="BU89" s="78">
        <f t="shared" si="106"/>
        <v>9.577254021698467E-2</v>
      </c>
      <c r="BV89" s="78">
        <f t="shared" si="107"/>
        <v>2.0793820396307696E-2</v>
      </c>
      <c r="BW89" s="78">
        <f t="shared" si="108"/>
        <v>4.9881531363012842E-2</v>
      </c>
      <c r="BX89" s="40">
        <v>0.22099364905389035</v>
      </c>
      <c r="BY89" s="32">
        <v>0.3827722283113838</v>
      </c>
      <c r="BZ89" s="30">
        <v>0</v>
      </c>
      <c r="CA89" s="34">
        <v>0.3169872981077807</v>
      </c>
      <c r="CB89" s="46">
        <f t="shared" si="109"/>
        <v>0.76618032173587736</v>
      </c>
      <c r="CC89" s="46">
        <f t="shared" si="110"/>
        <v>0.23381967826412264</v>
      </c>
      <c r="CD89" s="71">
        <f t="shared" si="111"/>
        <v>14.222222222222221</v>
      </c>
      <c r="CE89" s="70">
        <v>24</v>
      </c>
      <c r="CF89" s="46">
        <f t="shared" si="112"/>
        <v>0.85970819304152646</v>
      </c>
      <c r="CG89" s="46">
        <f t="shared" si="113"/>
        <v>0.83372822878995723</v>
      </c>
      <c r="CI89" s="15"/>
      <c r="CJ89" s="28"/>
      <c r="CK89" s="31">
        <v>1.6</v>
      </c>
      <c r="CL89" s="45">
        <f t="shared" si="102"/>
        <v>3.9521489996611585E-2</v>
      </c>
      <c r="CM89" s="78">
        <f t="shared" si="114"/>
        <v>5.0473010169040745E-2</v>
      </c>
      <c r="CN89" s="78">
        <v>9.577254021698467E-2</v>
      </c>
      <c r="CO89" s="78">
        <f t="shared" si="115"/>
        <v>3.0056669614263537E-2</v>
      </c>
      <c r="CP89" s="78">
        <v>4.9881531363012842E-2</v>
      </c>
      <c r="CQ89" s="40">
        <v>0.22099364905389035</v>
      </c>
      <c r="CR89" s="32">
        <v>0.3827722283113838</v>
      </c>
      <c r="CS89" s="30">
        <v>0</v>
      </c>
      <c r="CT89" s="34">
        <v>0.3169872981077807</v>
      </c>
      <c r="CV89" s="25"/>
      <c r="CW89" s="47"/>
      <c r="CX89" s="53">
        <v>1.6</v>
      </c>
      <c r="CY89" s="45">
        <f t="shared" si="116"/>
        <v>4.3961125319693102E-2</v>
      </c>
      <c r="CZ89" s="78">
        <f t="shared" si="117"/>
        <v>4.2977227621483385E-2</v>
      </c>
      <c r="DA89" s="50">
        <v>9.9100000000000008E-2</v>
      </c>
      <c r="DB89" s="78">
        <f t="shared" si="118"/>
        <v>1.6951815856777495E-2</v>
      </c>
      <c r="DC89" s="50">
        <v>8.0199999999999994E-2</v>
      </c>
      <c r="DD89" s="40">
        <v>0.22099364905389035</v>
      </c>
      <c r="DE89" s="32">
        <v>0.3827722283113838</v>
      </c>
      <c r="DF89" s="30">
        <v>0</v>
      </c>
      <c r="DG89" s="34">
        <v>0.3169872981077807</v>
      </c>
      <c r="DI89" s="25"/>
      <c r="DJ89" s="47"/>
      <c r="DK89" s="53">
        <v>1.6</v>
      </c>
      <c r="DL89" s="49">
        <v>4.2999999999999997E-2</v>
      </c>
      <c r="DM89" s="50">
        <v>4.5499999999999999E-2</v>
      </c>
      <c r="DN89" s="50">
        <v>9.9100000000000008E-2</v>
      </c>
      <c r="DO89" s="50">
        <v>2.3399999999999997E-2</v>
      </c>
      <c r="DP89" s="50">
        <v>8.0199999999999994E-2</v>
      </c>
      <c r="DQ89" s="40">
        <v>0.22099364905389035</v>
      </c>
      <c r="DR89" s="32">
        <v>0.3827722283113838</v>
      </c>
      <c r="DS89" s="30">
        <v>0</v>
      </c>
      <c r="DT89" s="34">
        <v>0.3169872981077807</v>
      </c>
    </row>
    <row r="90" spans="1:124" ht="12" customHeight="1" x14ac:dyDescent="0.2">
      <c r="A90" s="1"/>
      <c r="B90" s="25"/>
      <c r="C90" s="47"/>
      <c r="D90" s="68">
        <v>1.7</v>
      </c>
      <c r="E90" s="85">
        <f t="shared" si="93"/>
        <v>4.6899999999999997E-2</v>
      </c>
      <c r="F90" s="85">
        <f t="shared" si="94"/>
        <v>5.4190000000000002E-2</v>
      </c>
      <c r="G90" s="85">
        <f t="shared" si="95"/>
        <v>0.10489999999999999</v>
      </c>
      <c r="H90" s="85">
        <f t="shared" si="96"/>
        <v>2.5420000000000002E-2</v>
      </c>
      <c r="I90" s="85">
        <f t="shared" si="97"/>
        <v>7.8939999999999996E-2</v>
      </c>
      <c r="J90" s="85">
        <f t="shared" si="98"/>
        <v>0.22952492874392261</v>
      </c>
      <c r="K90" s="85">
        <f t="shared" si="99"/>
        <v>0.39754883818810011</v>
      </c>
      <c r="L90" s="85">
        <f t="shared" si="100"/>
        <v>0</v>
      </c>
      <c r="M90" s="85">
        <f t="shared" si="101"/>
        <v>0.3169872981077807</v>
      </c>
      <c r="N90" s="1"/>
      <c r="P90" s="15"/>
      <c r="Q90" s="28"/>
      <c r="R90" s="31">
        <v>1.7</v>
      </c>
      <c r="S90" s="37">
        <v>4.6899999999999997E-2</v>
      </c>
      <c r="T90" s="32">
        <v>5.4190000000000002E-2</v>
      </c>
      <c r="U90" s="32">
        <v>0.10489999999999999</v>
      </c>
      <c r="V90" s="32">
        <v>2.5420000000000002E-2</v>
      </c>
      <c r="W90" s="32">
        <v>7.8939999999999996E-2</v>
      </c>
      <c r="X90" s="40">
        <v>0.22952492874392261</v>
      </c>
      <c r="Y90" s="32">
        <v>0.39754883818810011</v>
      </c>
      <c r="Z90" s="30">
        <v>0</v>
      </c>
      <c r="AA90" s="34">
        <v>0.3169872981077807</v>
      </c>
      <c r="AC90" s="15"/>
      <c r="AD90" s="28"/>
      <c r="AE90" s="31">
        <v>1.7</v>
      </c>
      <c r="AF90" s="37">
        <v>4.7100000000000003E-2</v>
      </c>
      <c r="AG90" s="32">
        <f>1/21.7</f>
        <v>4.6082949308755762E-2</v>
      </c>
      <c r="AH90" s="32">
        <f>1/9.7</f>
        <v>0.10309278350515465</v>
      </c>
      <c r="AI90" s="32">
        <f>1/70.4</f>
        <v>1.4204545454545454E-2</v>
      </c>
      <c r="AJ90" s="32">
        <f>1/12.5</f>
        <v>0.08</v>
      </c>
      <c r="AK90" s="40">
        <v>0.22952492874392261</v>
      </c>
      <c r="AL90" s="32">
        <v>0.39754883818810011</v>
      </c>
      <c r="AM90" s="30">
        <v>0</v>
      </c>
      <c r="AN90" s="34">
        <v>0.3169872981077807</v>
      </c>
      <c r="AP90" s="15"/>
      <c r="AQ90" s="28"/>
      <c r="AR90" s="31">
        <v>1.7</v>
      </c>
      <c r="AS90" s="45">
        <f t="shared" si="103"/>
        <v>4.5215999999999999E-2</v>
      </c>
      <c r="AT90" s="32">
        <f>1/20.4</f>
        <v>4.9019607843137261E-2</v>
      </c>
      <c r="AU90" s="32">
        <f>1/9.7</f>
        <v>0.10309278350515465</v>
      </c>
      <c r="AV90" s="32">
        <f>1/42.7</f>
        <v>2.3419203747072598E-2</v>
      </c>
      <c r="AW90" s="32">
        <f>1/12.5</f>
        <v>0.08</v>
      </c>
      <c r="AX90" s="40">
        <v>0.22952492874392261</v>
      </c>
      <c r="AY90" s="32">
        <v>0.39754883818810011</v>
      </c>
      <c r="AZ90" s="30">
        <v>0</v>
      </c>
      <c r="BA90" s="34">
        <v>0.3169872981077807</v>
      </c>
      <c r="BC90" s="25"/>
      <c r="BD90" s="47"/>
      <c r="BE90" s="53">
        <v>1.7</v>
      </c>
      <c r="BF90" s="49">
        <v>4.5857999999999996E-2</v>
      </c>
      <c r="BG90" s="50">
        <v>4.8435999999999993E-2</v>
      </c>
      <c r="BH90" s="50">
        <v>0.103354</v>
      </c>
      <c r="BI90" s="50">
        <v>2.2200979999999999E-2</v>
      </c>
      <c r="BJ90" s="96">
        <v>7.6868220000000001E-2</v>
      </c>
      <c r="BK90" s="40">
        <v>0.22952492874392261</v>
      </c>
      <c r="BL90" s="32">
        <v>0.39754883818810011</v>
      </c>
      <c r="BM90" s="30">
        <v>0</v>
      </c>
      <c r="BN90" s="34">
        <v>0.3169872981077807</v>
      </c>
      <c r="BP90" s="15"/>
      <c r="BQ90" s="28"/>
      <c r="BR90" s="31">
        <v>1.7</v>
      </c>
      <c r="BS90" s="84">
        <f t="shared" si="104"/>
        <v>4.3826462500674651E-2</v>
      </c>
      <c r="BT90" s="78">
        <f t="shared" si="105"/>
        <v>4.9304770313258986E-2</v>
      </c>
      <c r="BU90" s="78">
        <f t="shared" si="106"/>
        <v>0.10085031056500612</v>
      </c>
      <c r="BV90" s="78">
        <f t="shared" si="107"/>
        <v>1.9656047223018055E-2</v>
      </c>
      <c r="BW90" s="78">
        <f t="shared" si="108"/>
        <v>4.6528401644754865E-2</v>
      </c>
      <c r="BX90" s="40">
        <v>0.22952492874392261</v>
      </c>
      <c r="BY90" s="32">
        <v>0.39754883818810011</v>
      </c>
      <c r="BZ90" s="30">
        <v>0</v>
      </c>
      <c r="CA90" s="34">
        <v>0.3169872981077807</v>
      </c>
      <c r="CB90" s="46">
        <f t="shared" si="109"/>
        <v>0.80680248452004899</v>
      </c>
      <c r="CC90" s="46">
        <f t="shared" si="110"/>
        <v>0.19319751547995101</v>
      </c>
      <c r="CD90" s="71">
        <f t="shared" si="111"/>
        <v>14.222222222222221</v>
      </c>
      <c r="CE90" s="70">
        <v>24</v>
      </c>
      <c r="CF90" s="46">
        <f t="shared" si="112"/>
        <v>0.86913887037412696</v>
      </c>
      <c r="CG90" s="46">
        <f t="shared" si="113"/>
        <v>0.84490532785081718</v>
      </c>
      <c r="CI90" s="15"/>
      <c r="CJ90" s="28"/>
      <c r="CK90" s="31">
        <v>1.7</v>
      </c>
      <c r="CL90" s="45">
        <f t="shared" si="102"/>
        <v>4.2073404000647664E-2</v>
      </c>
      <c r="CM90" s="78">
        <f t="shared" si="114"/>
        <v>5.3235979757862595E-2</v>
      </c>
      <c r="CN90" s="78">
        <v>0.10085031056500612</v>
      </c>
      <c r="CO90" s="78">
        <f t="shared" si="115"/>
        <v>2.9517001285669853E-2</v>
      </c>
      <c r="CP90" s="78">
        <v>4.6528401644754865E-2</v>
      </c>
      <c r="CQ90" s="40">
        <v>0.22952492874392261</v>
      </c>
      <c r="CR90" s="32">
        <v>0.39754883818810011</v>
      </c>
      <c r="CS90" s="30">
        <v>0</v>
      </c>
      <c r="CT90" s="34">
        <v>0.3169872981077807</v>
      </c>
      <c r="CV90" s="25"/>
      <c r="CW90" s="47"/>
      <c r="CX90" s="53">
        <v>1.7</v>
      </c>
      <c r="CY90" s="45">
        <f t="shared" si="116"/>
        <v>4.6913554987212273E-2</v>
      </c>
      <c r="CZ90" s="78">
        <f t="shared" si="117"/>
        <v>4.6144095140664962E-2</v>
      </c>
      <c r="DA90" s="50">
        <v>0.10339999999999999</v>
      </c>
      <c r="DB90" s="78">
        <f t="shared" si="118"/>
        <v>1.5279365728900257E-2</v>
      </c>
      <c r="DC90" s="50">
        <v>8.1000000000000003E-2</v>
      </c>
      <c r="DD90" s="40">
        <v>0.22952492874392261</v>
      </c>
      <c r="DE90" s="32">
        <v>0.39754883818810011</v>
      </c>
      <c r="DF90" s="30">
        <v>0</v>
      </c>
      <c r="DG90" s="34">
        <v>0.3169872981077807</v>
      </c>
      <c r="DI90" s="25"/>
      <c r="DJ90" s="47"/>
      <c r="DK90" s="53">
        <v>1.7</v>
      </c>
      <c r="DL90" s="49">
        <v>4.5899999999999996E-2</v>
      </c>
      <c r="DM90" s="50">
        <v>4.8399999999999999E-2</v>
      </c>
      <c r="DN90" s="50">
        <v>0.10339999999999999</v>
      </c>
      <c r="DO90" s="50">
        <v>2.2200000000000001E-2</v>
      </c>
      <c r="DP90" s="50">
        <v>8.1000000000000003E-2</v>
      </c>
      <c r="DQ90" s="40">
        <v>0.22952492874392261</v>
      </c>
      <c r="DR90" s="32">
        <v>0.39754883818810011</v>
      </c>
      <c r="DS90" s="30">
        <v>0</v>
      </c>
      <c r="DT90" s="34">
        <v>0.3169872981077807</v>
      </c>
    </row>
    <row r="91" spans="1:124" ht="12" customHeight="1" x14ac:dyDescent="0.2">
      <c r="A91" s="1"/>
      <c r="B91" s="25"/>
      <c r="C91" s="47"/>
      <c r="D91" s="68">
        <v>1.8</v>
      </c>
      <c r="E91" s="85">
        <f t="shared" si="93"/>
        <v>4.9500000000000002E-2</v>
      </c>
      <c r="F91" s="85">
        <f t="shared" si="94"/>
        <v>5.6959999999999997E-2</v>
      </c>
      <c r="G91" s="85">
        <f t="shared" si="95"/>
        <v>0.10879999999999999</v>
      </c>
      <c r="H91" s="85">
        <f t="shared" si="96"/>
        <v>2.4340000000000001E-2</v>
      </c>
      <c r="I91" s="85">
        <f t="shared" si="97"/>
        <v>7.9289999999999999E-2</v>
      </c>
      <c r="J91" s="85">
        <f t="shared" si="98"/>
        <v>0.23710828846839571</v>
      </c>
      <c r="K91" s="85">
        <f t="shared" si="99"/>
        <v>0.4106836025229591</v>
      </c>
      <c r="L91" s="85">
        <f t="shared" si="100"/>
        <v>0</v>
      </c>
      <c r="M91" s="85">
        <f t="shared" si="101"/>
        <v>0.3169872981077807</v>
      </c>
      <c r="N91" s="1"/>
      <c r="P91" s="15"/>
      <c r="Q91" s="28"/>
      <c r="R91" s="31">
        <v>1.8</v>
      </c>
      <c r="S91" s="37">
        <v>4.9500000000000002E-2</v>
      </c>
      <c r="T91" s="32">
        <v>5.6959999999999997E-2</v>
      </c>
      <c r="U91" s="32">
        <v>0.10879999999999999</v>
      </c>
      <c r="V91" s="32">
        <v>2.4340000000000001E-2</v>
      </c>
      <c r="W91" s="32">
        <v>7.9289999999999999E-2</v>
      </c>
      <c r="X91" s="40">
        <v>0.23710828846839571</v>
      </c>
      <c r="Y91" s="32">
        <v>0.4106836025229591</v>
      </c>
      <c r="Z91" s="30">
        <v>0</v>
      </c>
      <c r="AA91" s="34">
        <v>0.3169872981077807</v>
      </c>
      <c r="AC91" s="15"/>
      <c r="AD91" s="28"/>
      <c r="AE91" s="31">
        <v>1.8</v>
      </c>
      <c r="AF91" s="37">
        <v>4.9500000000000002E-2</v>
      </c>
      <c r="AG91" s="32">
        <f>1/20.5</f>
        <v>4.878048780487805E-2</v>
      </c>
      <c r="AH91" s="32">
        <f>1/9.4</f>
        <v>0.10638297872340426</v>
      </c>
      <c r="AI91" s="32">
        <f>1/79.6</f>
        <v>1.2562814070351759E-2</v>
      </c>
      <c r="AJ91" s="32">
        <f>1/12.4</f>
        <v>8.0645161290322578E-2</v>
      </c>
      <c r="AK91" s="40">
        <v>0.23710828846839571</v>
      </c>
      <c r="AL91" s="32">
        <v>0.4106836025229591</v>
      </c>
      <c r="AM91" s="30">
        <v>0</v>
      </c>
      <c r="AN91" s="34">
        <v>0.3169872981077807</v>
      </c>
      <c r="AP91" s="15"/>
      <c r="AQ91" s="28"/>
      <c r="AR91" s="31">
        <v>1.8</v>
      </c>
      <c r="AS91" s="45">
        <f t="shared" si="103"/>
        <v>4.752E-2</v>
      </c>
      <c r="AT91" s="32">
        <f>1/19.5</f>
        <v>5.128205128205128E-2</v>
      </c>
      <c r="AU91" s="32">
        <f>1/9.4</f>
        <v>0.10638297872340426</v>
      </c>
      <c r="AV91" s="32">
        <f>1/44.8</f>
        <v>2.2321428571428572E-2</v>
      </c>
      <c r="AW91" s="32">
        <f>1/12.4</f>
        <v>8.0645161290322578E-2</v>
      </c>
      <c r="AX91" s="40">
        <v>0.23710828846839571</v>
      </c>
      <c r="AY91" s="32">
        <v>0.4106836025229591</v>
      </c>
      <c r="AZ91" s="30">
        <v>0</v>
      </c>
      <c r="BA91" s="34">
        <v>0.3169872981077807</v>
      </c>
      <c r="BC91" s="25"/>
      <c r="BD91" s="47"/>
      <c r="BE91" s="53">
        <v>1.8</v>
      </c>
      <c r="BF91" s="49">
        <v>4.8432000000000003E-2</v>
      </c>
      <c r="BG91" s="50">
        <v>5.0944000000000003E-2</v>
      </c>
      <c r="BH91" s="50">
        <v>0.107116</v>
      </c>
      <c r="BI91" s="50">
        <v>2.0826719999999996E-2</v>
      </c>
      <c r="BJ91" s="96">
        <v>7.7410080000000006E-2</v>
      </c>
      <c r="BK91" s="40">
        <v>0.23710828846839571</v>
      </c>
      <c r="BL91" s="32">
        <v>0.4106836025229591</v>
      </c>
      <c r="BM91" s="30">
        <v>0</v>
      </c>
      <c r="BN91" s="34">
        <v>0.3169872981077807</v>
      </c>
      <c r="BP91" s="15"/>
      <c r="BQ91" s="28"/>
      <c r="BR91" s="31">
        <v>1.8</v>
      </c>
      <c r="BS91" s="84">
        <f t="shared" si="104"/>
        <v>4.6118338045703137E-2</v>
      </c>
      <c r="BT91" s="78">
        <f t="shared" si="105"/>
        <v>5.1883130301416031E-2</v>
      </c>
      <c r="BU91" s="78">
        <f t="shared" si="106"/>
        <v>0.10499615926257842</v>
      </c>
      <c r="BV91" s="78">
        <f t="shared" si="107"/>
        <v>1.849255325874187E-2</v>
      </c>
      <c r="BW91" s="78">
        <f t="shared" si="108"/>
        <v>4.320829599283061E-2</v>
      </c>
      <c r="BX91" s="40">
        <v>0.23710828846839571</v>
      </c>
      <c r="BY91" s="32">
        <v>0.4106836025229591</v>
      </c>
      <c r="BZ91" s="30">
        <v>0</v>
      </c>
      <c r="CA91" s="34">
        <v>0.3169872981077807</v>
      </c>
      <c r="CB91" s="46">
        <f t="shared" si="109"/>
        <v>0.83996927410062738</v>
      </c>
      <c r="CC91" s="46">
        <f t="shared" si="110"/>
        <v>0.16003072589937262</v>
      </c>
      <c r="CD91" s="71">
        <f t="shared" si="111"/>
        <v>14.222222222222221</v>
      </c>
      <c r="CE91" s="70">
        <v>24</v>
      </c>
      <c r="CF91" s="46">
        <f t="shared" si="112"/>
        <v>0.87847666752016385</v>
      </c>
      <c r="CG91" s="46">
        <f t="shared" si="113"/>
        <v>0.85597234669056466</v>
      </c>
      <c r="CI91" s="15"/>
      <c r="CJ91" s="28"/>
      <c r="CK91" s="31">
        <v>1.8</v>
      </c>
      <c r="CL91" s="45">
        <f t="shared" si="102"/>
        <v>4.4273604523875007E-2</v>
      </c>
      <c r="CM91" s="78">
        <f t="shared" si="114"/>
        <v>5.5581640953164403E-2</v>
      </c>
      <c r="CN91" s="78">
        <v>0.10499615926257842</v>
      </c>
      <c r="CO91" s="78">
        <f t="shared" si="115"/>
        <v>2.8869179319025079E-2</v>
      </c>
      <c r="CP91" s="78">
        <v>4.320829599283061E-2</v>
      </c>
      <c r="CQ91" s="40">
        <v>0.23710828846839571</v>
      </c>
      <c r="CR91" s="32">
        <v>0.4106836025229591</v>
      </c>
      <c r="CS91" s="30">
        <v>0</v>
      </c>
      <c r="CT91" s="34">
        <v>0.3169872981077807</v>
      </c>
      <c r="CV91" s="25"/>
      <c r="CW91" s="47"/>
      <c r="CX91" s="53">
        <v>1.8</v>
      </c>
      <c r="CY91" s="45">
        <f t="shared" si="116"/>
        <v>4.9546803069053715E-2</v>
      </c>
      <c r="CZ91" s="78">
        <f t="shared" si="117"/>
        <v>4.8920707928388756E-2</v>
      </c>
      <c r="DA91" s="50">
        <v>0.10710000000000001</v>
      </c>
      <c r="DB91" s="78">
        <f t="shared" si="118"/>
        <v>1.3488613810741686E-2</v>
      </c>
      <c r="DC91" s="50">
        <v>8.1699999999999995E-2</v>
      </c>
      <c r="DD91" s="40">
        <v>0.23710828846839571</v>
      </c>
      <c r="DE91" s="32">
        <v>0.4106836025229591</v>
      </c>
      <c r="DF91" s="30">
        <v>0</v>
      </c>
      <c r="DG91" s="34">
        <v>0.3169872981077807</v>
      </c>
      <c r="DI91" s="25"/>
      <c r="DJ91" s="47"/>
      <c r="DK91" s="53">
        <v>1.8</v>
      </c>
      <c r="DL91" s="49">
        <v>4.8399999999999999E-2</v>
      </c>
      <c r="DM91" s="50">
        <v>5.0999999999999997E-2</v>
      </c>
      <c r="DN91" s="50">
        <v>0.10710000000000001</v>
      </c>
      <c r="DO91" s="50">
        <v>2.0799999999999999E-2</v>
      </c>
      <c r="DP91" s="50">
        <v>8.1699999999999995E-2</v>
      </c>
      <c r="DQ91" s="40">
        <v>0.23710828846839571</v>
      </c>
      <c r="DR91" s="32">
        <v>0.4106836025229591</v>
      </c>
      <c r="DS91" s="30">
        <v>0</v>
      </c>
      <c r="DT91" s="34">
        <v>0.3169872981077807</v>
      </c>
    </row>
    <row r="92" spans="1:124" ht="12" customHeight="1" x14ac:dyDescent="0.2">
      <c r="A92" s="1"/>
      <c r="B92" s="25"/>
      <c r="C92" s="47"/>
      <c r="D92" s="68">
        <v>1.9</v>
      </c>
      <c r="E92" s="85">
        <f t="shared" si="93"/>
        <v>5.1700000000000003E-2</v>
      </c>
      <c r="F92" s="85">
        <f t="shared" si="94"/>
        <v>5.9310000000000002E-2</v>
      </c>
      <c r="G92" s="85">
        <f t="shared" si="95"/>
        <v>0.112</v>
      </c>
      <c r="H92" s="85">
        <f t="shared" si="96"/>
        <v>2.3529999999999999E-2</v>
      </c>
      <c r="I92" s="85">
        <f t="shared" si="97"/>
        <v>7.9460000000000003E-2</v>
      </c>
      <c r="J92" s="85">
        <f t="shared" si="98"/>
        <v>0.24389339980081903</v>
      </c>
      <c r="K92" s="85">
        <f t="shared" si="99"/>
        <v>0.42243576008572759</v>
      </c>
      <c r="L92" s="85">
        <f t="shared" si="100"/>
        <v>0</v>
      </c>
      <c r="M92" s="85">
        <f t="shared" si="101"/>
        <v>0.3169872981077807</v>
      </c>
      <c r="N92" s="1"/>
      <c r="P92" s="15"/>
      <c r="Q92" s="28"/>
      <c r="R92" s="31">
        <v>1.9</v>
      </c>
      <c r="S92" s="37">
        <v>5.1700000000000003E-2</v>
      </c>
      <c r="T92" s="32">
        <v>5.9310000000000002E-2</v>
      </c>
      <c r="U92" s="32">
        <v>0.112</v>
      </c>
      <c r="V92" s="32">
        <v>2.3529999999999999E-2</v>
      </c>
      <c r="W92" s="32">
        <v>7.9460000000000003E-2</v>
      </c>
      <c r="X92" s="40">
        <v>0.24389339980081903</v>
      </c>
      <c r="Y92" s="32">
        <v>0.42243576008572759</v>
      </c>
      <c r="Z92" s="30">
        <v>0</v>
      </c>
      <c r="AA92" s="34">
        <v>0.3169872981077807</v>
      </c>
      <c r="AC92" s="15"/>
      <c r="AD92" s="28"/>
      <c r="AE92" s="31">
        <v>1.9</v>
      </c>
      <c r="AF92" s="37">
        <v>5.1799999999999999E-2</v>
      </c>
      <c r="AG92" s="32">
        <f>1/19.5</f>
        <v>5.128205128205128E-2</v>
      </c>
      <c r="AH92" s="32">
        <f>1/9</f>
        <v>0.1111111111111111</v>
      </c>
      <c r="AI92" s="32">
        <f>1/89.8</f>
        <v>1.1135857461024499E-2</v>
      </c>
      <c r="AJ92" s="32">
        <f>1/12.3</f>
        <v>8.1300813008130079E-2</v>
      </c>
      <c r="AK92" s="40">
        <v>0.24389339980081903</v>
      </c>
      <c r="AL92" s="32">
        <v>0.42243576008572759</v>
      </c>
      <c r="AM92" s="30">
        <v>0</v>
      </c>
      <c r="AN92" s="34">
        <v>0.3169872981077807</v>
      </c>
      <c r="AP92" s="15"/>
      <c r="AQ92" s="28"/>
      <c r="AR92" s="31">
        <v>1.9</v>
      </c>
      <c r="AS92" s="45">
        <f t="shared" si="103"/>
        <v>4.9727999999999994E-2</v>
      </c>
      <c r="AT92" s="32">
        <f>1/18.7</f>
        <v>5.3475935828877004E-2</v>
      </c>
      <c r="AU92" s="32">
        <f>1/9</f>
        <v>0.1111111111111111</v>
      </c>
      <c r="AV92" s="32">
        <f>1/46.7</f>
        <v>2.1413276231263382E-2</v>
      </c>
      <c r="AW92" s="32">
        <f>1/12.3</f>
        <v>8.1300813008130079E-2</v>
      </c>
      <c r="AX92" s="40">
        <v>0.24389339980081903</v>
      </c>
      <c r="AY92" s="32">
        <v>0.42243576008572759</v>
      </c>
      <c r="AZ92" s="30">
        <v>0</v>
      </c>
      <c r="BA92" s="34">
        <v>0.3169872981077807</v>
      </c>
      <c r="BC92" s="25"/>
      <c r="BD92" s="47"/>
      <c r="BE92" s="53">
        <v>1.9</v>
      </c>
      <c r="BF92" s="49">
        <v>5.0654999999999999E-2</v>
      </c>
      <c r="BG92" s="50">
        <v>5.3020000000000005E-2</v>
      </c>
      <c r="BH92" s="50">
        <v>0.110365</v>
      </c>
      <c r="BI92" s="50">
        <v>1.9620350000000002E-2</v>
      </c>
      <c r="BJ92" s="96">
        <v>7.8138449999999998E-2</v>
      </c>
      <c r="BK92" s="40">
        <v>0.24389339980081903</v>
      </c>
      <c r="BL92" s="32">
        <v>0.42243576008572759</v>
      </c>
      <c r="BM92" s="30">
        <v>0</v>
      </c>
      <c r="BN92" s="34">
        <v>0.3169872981077807</v>
      </c>
      <c r="BP92" s="15"/>
      <c r="BQ92" s="28"/>
      <c r="BR92" s="31">
        <v>1.9</v>
      </c>
      <c r="BS92" s="84">
        <f t="shared" si="104"/>
        <v>4.8084830519212925E-2</v>
      </c>
      <c r="BT92" s="78">
        <f t="shared" si="105"/>
        <v>5.4095434334114546E-2</v>
      </c>
      <c r="BU92" s="78">
        <f t="shared" si="106"/>
        <v>0.1083689238363236</v>
      </c>
      <c r="BV92" s="78">
        <f t="shared" si="107"/>
        <v>1.7342666352368315E-2</v>
      </c>
      <c r="BW92" s="78">
        <f t="shared" si="108"/>
        <v>4.002545663391454E-2</v>
      </c>
      <c r="BX92" s="40">
        <v>0.24389339980081903</v>
      </c>
      <c r="BY92" s="32">
        <v>0.42243576008572759</v>
      </c>
      <c r="BZ92" s="30">
        <v>0</v>
      </c>
      <c r="CA92" s="34">
        <v>0.3169872981077807</v>
      </c>
      <c r="CB92" s="46">
        <f t="shared" si="109"/>
        <v>0.8669513906905888</v>
      </c>
      <c r="CC92" s="46">
        <f t="shared" si="110"/>
        <v>0.1330486093094112</v>
      </c>
      <c r="CD92" s="71">
        <f t="shared" si="111"/>
        <v>14.222222222222221</v>
      </c>
      <c r="CE92" s="70">
        <v>24</v>
      </c>
      <c r="CF92" s="46">
        <f t="shared" si="112"/>
        <v>0.88742840321711536</v>
      </c>
      <c r="CG92" s="46">
        <f t="shared" si="113"/>
        <v>0.86658181122028488</v>
      </c>
      <c r="CI92" s="15"/>
      <c r="CJ92" s="28"/>
      <c r="CK92" s="31">
        <v>1.9</v>
      </c>
      <c r="CL92" s="45">
        <f t="shared" si="102"/>
        <v>4.6161437298444408E-2</v>
      </c>
      <c r="CM92" s="78">
        <f t="shared" si="114"/>
        <v>5.7563967604588206E-2</v>
      </c>
      <c r="CN92" s="78">
        <v>0.1083689238363236</v>
      </c>
      <c r="CO92" s="78">
        <f t="shared" si="115"/>
        <v>2.8161753219191225E-2</v>
      </c>
      <c r="CP92" s="78">
        <v>4.002545663391454E-2</v>
      </c>
      <c r="CQ92" s="40">
        <v>0.24389339980081903</v>
      </c>
      <c r="CR92" s="32">
        <v>0.42243576008572759</v>
      </c>
      <c r="CS92" s="30">
        <v>0</v>
      </c>
      <c r="CT92" s="34">
        <v>0.3169872981077807</v>
      </c>
      <c r="CV92" s="25"/>
      <c r="CW92" s="47"/>
      <c r="CX92" s="53">
        <v>1.9</v>
      </c>
      <c r="CY92" s="45">
        <f t="shared" si="116"/>
        <v>5.1820971867007674E-2</v>
      </c>
      <c r="CZ92" s="78">
        <f t="shared" si="117"/>
        <v>5.1229613810741696E-2</v>
      </c>
      <c r="DA92" s="50">
        <v>0.1104</v>
      </c>
      <c r="DB92" s="78">
        <f t="shared" si="118"/>
        <v>1.1935907928388749E-2</v>
      </c>
      <c r="DC92" s="50">
        <v>8.14E-2</v>
      </c>
      <c r="DD92" s="40">
        <v>0.24389339980081903</v>
      </c>
      <c r="DE92" s="32">
        <v>0.42243576008572759</v>
      </c>
      <c r="DF92" s="30">
        <v>0</v>
      </c>
      <c r="DG92" s="34">
        <v>0.3169872981077807</v>
      </c>
      <c r="DI92" s="25"/>
      <c r="DJ92" s="47"/>
      <c r="DK92" s="53">
        <v>1.9</v>
      </c>
      <c r="DL92" s="49">
        <v>5.0700000000000002E-2</v>
      </c>
      <c r="DM92" s="50">
        <v>5.2999999999999999E-2</v>
      </c>
      <c r="DN92" s="50">
        <v>0.1104</v>
      </c>
      <c r="DO92" s="50">
        <v>1.9599999999999999E-2</v>
      </c>
      <c r="DP92" s="50">
        <v>8.14E-2</v>
      </c>
      <c r="DQ92" s="40">
        <v>0.24389339980081903</v>
      </c>
      <c r="DR92" s="32">
        <v>0.42243576008572759</v>
      </c>
      <c r="DS92" s="30">
        <v>0</v>
      </c>
      <c r="DT92" s="34">
        <v>0.3169872981077807</v>
      </c>
    </row>
    <row r="93" spans="1:124" ht="12" customHeight="1" x14ac:dyDescent="0.2">
      <c r="A93" s="1"/>
      <c r="B93" s="25"/>
      <c r="C93" s="47"/>
      <c r="D93" s="68">
        <v>2</v>
      </c>
      <c r="E93" s="85">
        <f t="shared" si="93"/>
        <v>5.3499999999999999E-2</v>
      </c>
      <c r="F93" s="85">
        <f t="shared" si="94"/>
        <v>6.1310000000000003E-2</v>
      </c>
      <c r="G93" s="85">
        <f t="shared" si="95"/>
        <v>0.1147</v>
      </c>
      <c r="H93" s="85">
        <f t="shared" si="96"/>
        <v>2.2929999999999999E-2</v>
      </c>
      <c r="I93" s="85">
        <f t="shared" si="97"/>
        <v>7.9500000000000001E-2</v>
      </c>
      <c r="J93" s="85">
        <f t="shared" si="98"/>
        <v>0.25</v>
      </c>
      <c r="K93" s="85">
        <f t="shared" si="99"/>
        <v>0.4330127018922193</v>
      </c>
      <c r="L93" s="85">
        <f t="shared" si="100"/>
        <v>0</v>
      </c>
      <c r="M93" s="85">
        <f t="shared" si="101"/>
        <v>0.3169872981077807</v>
      </c>
      <c r="N93" s="1"/>
      <c r="P93" s="15"/>
      <c r="Q93" s="28"/>
      <c r="R93" s="31">
        <v>2</v>
      </c>
      <c r="S93" s="37">
        <v>5.3499999999999999E-2</v>
      </c>
      <c r="T93" s="32">
        <v>6.1310000000000003E-2</v>
      </c>
      <c r="U93" s="32">
        <v>0.1147</v>
      </c>
      <c r="V93" s="32">
        <v>2.2929999999999999E-2</v>
      </c>
      <c r="W93" s="32">
        <v>7.9500000000000001E-2</v>
      </c>
      <c r="X93" s="40">
        <v>0.25</v>
      </c>
      <c r="Y93" s="32">
        <v>0.4330127018922193</v>
      </c>
      <c r="Z93" s="30">
        <v>0</v>
      </c>
      <c r="AA93" s="34">
        <v>0.3169872981077807</v>
      </c>
      <c r="AC93" s="15"/>
      <c r="AD93" s="28"/>
      <c r="AE93" s="31">
        <v>2</v>
      </c>
      <c r="AF93" s="37">
        <v>5.3900000000000003E-2</v>
      </c>
      <c r="AG93" s="32">
        <f>1/18.7</f>
        <v>5.3475935828877004E-2</v>
      </c>
      <c r="AH93" s="32">
        <f>1/8.8</f>
        <v>0.11363636363636363</v>
      </c>
      <c r="AI93" s="32">
        <f>1/101</f>
        <v>9.9009900990099011E-3</v>
      </c>
      <c r="AJ93" s="32">
        <f>1/12.3</f>
        <v>8.1300813008130079E-2</v>
      </c>
      <c r="AK93" s="40">
        <v>0.25</v>
      </c>
      <c r="AL93" s="32">
        <v>0.4330127018922193</v>
      </c>
      <c r="AM93" s="30">
        <v>0</v>
      </c>
      <c r="AN93" s="34">
        <v>0.3169872981077807</v>
      </c>
      <c r="AP93" s="15"/>
      <c r="AQ93" s="28"/>
      <c r="AR93" s="31">
        <v>2</v>
      </c>
      <c r="AS93" s="45">
        <f t="shared" si="103"/>
        <v>5.1743999999999998E-2</v>
      </c>
      <c r="AT93" s="32">
        <f>1/18</f>
        <v>5.5555555555555552E-2</v>
      </c>
      <c r="AU93" s="32">
        <f>1/8.8</f>
        <v>0.11363636363636363</v>
      </c>
      <c r="AV93" s="32">
        <f>1/48.6</f>
        <v>2.0576131687242798E-2</v>
      </c>
      <c r="AW93" s="32">
        <f>1/12.3</f>
        <v>8.1300813008130079E-2</v>
      </c>
      <c r="AX93" s="40">
        <v>0.25</v>
      </c>
      <c r="AY93" s="32">
        <v>0.4330127018922193</v>
      </c>
      <c r="AZ93" s="30">
        <v>0</v>
      </c>
      <c r="BA93" s="34">
        <v>0.3169872981077807</v>
      </c>
      <c r="BC93" s="25"/>
      <c r="BD93" s="47"/>
      <c r="BE93" s="53">
        <v>2</v>
      </c>
      <c r="BF93" s="49">
        <v>5.28E-2</v>
      </c>
      <c r="BG93" s="50">
        <v>5.5E-2</v>
      </c>
      <c r="BH93" s="50">
        <v>0.1135</v>
      </c>
      <c r="BI93" s="50">
        <v>1.7999999999999999E-2</v>
      </c>
      <c r="BJ93" s="96">
        <v>7.8E-2</v>
      </c>
      <c r="BK93" s="40">
        <v>0.25</v>
      </c>
      <c r="BL93" s="32">
        <v>0.4330127018922193</v>
      </c>
      <c r="BM93" s="30">
        <v>0</v>
      </c>
      <c r="BN93" s="34">
        <v>0.3169872981077807</v>
      </c>
      <c r="BP93" s="15"/>
      <c r="BQ93" s="28"/>
      <c r="BR93" s="31">
        <v>2</v>
      </c>
      <c r="BS93" s="84">
        <f t="shared" si="104"/>
        <v>4.9768518518518517E-2</v>
      </c>
      <c r="BT93" s="78">
        <f t="shared" si="105"/>
        <v>5.5989583333333336E-2</v>
      </c>
      <c r="BU93" s="78">
        <f t="shared" si="106"/>
        <v>0.1111111111111111</v>
      </c>
      <c r="BV93" s="78">
        <f t="shared" si="107"/>
        <v>1.6232281664380437E-2</v>
      </c>
      <c r="BW93" s="78">
        <f t="shared" si="108"/>
        <v>3.7037037037037056E-2</v>
      </c>
      <c r="BX93" s="40">
        <v>0.25</v>
      </c>
      <c r="BY93" s="32">
        <v>0.4330127018922193</v>
      </c>
      <c r="BZ93" s="30">
        <v>0</v>
      </c>
      <c r="CA93" s="34">
        <v>0.3169872981077807</v>
      </c>
      <c r="CB93" s="46">
        <f t="shared" si="109"/>
        <v>0.88888888888888884</v>
      </c>
      <c r="CC93" s="46">
        <f t="shared" si="110"/>
        <v>0.11111111111111116</v>
      </c>
      <c r="CD93" s="71">
        <f t="shared" si="111"/>
        <v>14.222222222222221</v>
      </c>
      <c r="CE93" s="70">
        <v>24</v>
      </c>
      <c r="CF93" s="46">
        <f t="shared" si="112"/>
        <v>0.89583333333333337</v>
      </c>
      <c r="CG93" s="46">
        <f t="shared" si="113"/>
        <v>0.87654320987654311</v>
      </c>
      <c r="CI93" s="15"/>
      <c r="CJ93" s="28"/>
      <c r="CK93" s="31">
        <v>2</v>
      </c>
      <c r="CL93" s="45">
        <f t="shared" si="102"/>
        <v>4.7777777777777773E-2</v>
      </c>
      <c r="CM93" s="78">
        <f t="shared" si="114"/>
        <v>5.9236039666209425E-2</v>
      </c>
      <c r="CN93" s="78">
        <v>0.1111111111111111</v>
      </c>
      <c r="CO93" s="78">
        <f t="shared" si="115"/>
        <v>2.7430198331047106E-2</v>
      </c>
      <c r="CP93" s="78">
        <v>3.7037037037037056E-2</v>
      </c>
      <c r="CQ93" s="40">
        <v>0.25</v>
      </c>
      <c r="CR93" s="32">
        <v>0.4330127018922193</v>
      </c>
      <c r="CS93" s="30">
        <v>0</v>
      </c>
      <c r="CT93" s="34">
        <v>0.3169872981077807</v>
      </c>
      <c r="CV93" s="25"/>
      <c r="CW93" s="47"/>
      <c r="CX93" s="53">
        <v>2</v>
      </c>
      <c r="CY93" s="45">
        <f t="shared" si="116"/>
        <v>5.4015345268542202E-2</v>
      </c>
      <c r="CZ93" s="78">
        <f t="shared" si="117"/>
        <v>5.3503836317135553E-2</v>
      </c>
      <c r="DA93" s="50">
        <v>0.11349999999999999</v>
      </c>
      <c r="DB93" s="78">
        <f t="shared" si="118"/>
        <v>9.9744245524296671E-3</v>
      </c>
      <c r="DC93" s="50">
        <v>8.1199999999999994E-2</v>
      </c>
      <c r="DD93" s="40">
        <v>0.25</v>
      </c>
      <c r="DE93" s="32">
        <v>0.4330127018922193</v>
      </c>
      <c r="DF93" s="30">
        <v>0</v>
      </c>
      <c r="DG93" s="34">
        <v>0.3169872981077807</v>
      </c>
      <c r="DI93" s="25"/>
      <c r="DJ93" s="47"/>
      <c r="DK93" s="53">
        <v>2</v>
      </c>
      <c r="DL93" s="49">
        <v>5.28E-2</v>
      </c>
      <c r="DM93" s="50">
        <v>5.5E-2</v>
      </c>
      <c r="DN93" s="50">
        <v>0.11349999999999999</v>
      </c>
      <c r="DO93" s="50">
        <v>1.8000000000000002E-2</v>
      </c>
      <c r="DP93" s="50">
        <v>8.1199999999999994E-2</v>
      </c>
      <c r="DQ93" s="40">
        <v>0.25</v>
      </c>
      <c r="DR93" s="32">
        <v>0.4330127018922193</v>
      </c>
      <c r="DS93" s="30">
        <v>0</v>
      </c>
      <c r="DT93" s="34">
        <v>0.3169872981077807</v>
      </c>
    </row>
    <row r="94" spans="1:124" ht="12" customHeight="1" x14ac:dyDescent="0.2">
      <c r="A94" s="1"/>
      <c r="B94" s="54"/>
      <c r="C94" s="55"/>
      <c r="D94" s="22" t="s">
        <v>128</v>
      </c>
      <c r="E94" s="85">
        <f t="shared" si="93"/>
        <v>6.2405200433369466E-2</v>
      </c>
      <c r="F94" s="85">
        <f t="shared" si="94"/>
        <v>7.03125E-2</v>
      </c>
      <c r="G94" s="85">
        <f t="shared" si="95"/>
        <v>0.125</v>
      </c>
      <c r="H94" s="85">
        <f t="shared" si="96"/>
        <v>2.2929999999999999E-2</v>
      </c>
      <c r="I94" s="85">
        <f t="shared" si="97"/>
        <v>7.9500000000000001E-2</v>
      </c>
      <c r="J94" s="85">
        <f t="shared" si="98"/>
        <v>0.375</v>
      </c>
      <c r="K94" s="85">
        <f t="shared" si="99"/>
        <v>0.625</v>
      </c>
      <c r="L94" s="85">
        <f t="shared" si="100"/>
        <v>0</v>
      </c>
      <c r="M94" s="85">
        <f t="shared" si="101"/>
        <v>0.3169872981077807</v>
      </c>
      <c r="N94" s="1"/>
      <c r="P94" s="17"/>
      <c r="Q94" s="29"/>
      <c r="R94" s="22" t="s">
        <v>128</v>
      </c>
      <c r="S94" s="200">
        <v>6.2405200433369466E-2</v>
      </c>
      <c r="T94" s="32">
        <v>7.03125E-2</v>
      </c>
      <c r="U94" s="32">
        <v>0.125</v>
      </c>
      <c r="V94" s="32">
        <f>V93</f>
        <v>2.2929999999999999E-2</v>
      </c>
      <c r="W94" s="92">
        <f>W93</f>
        <v>7.9500000000000001E-2</v>
      </c>
      <c r="X94" s="41">
        <v>0.375</v>
      </c>
      <c r="Y94" s="32">
        <v>0.625</v>
      </c>
      <c r="Z94" s="30">
        <v>0</v>
      </c>
      <c r="AA94" s="34">
        <v>0.3169872981077807</v>
      </c>
      <c r="AC94" s="17"/>
      <c r="AD94" s="29"/>
      <c r="AE94" s="22" t="s">
        <v>128</v>
      </c>
      <c r="AF94" s="38">
        <v>6.500541711809317E-2</v>
      </c>
      <c r="AG94" s="32">
        <v>7.03125E-2</v>
      </c>
      <c r="AH94" s="32">
        <v>0.125</v>
      </c>
      <c r="AI94" s="32">
        <f>AI93</f>
        <v>9.9009900990099011E-3</v>
      </c>
      <c r="AJ94" s="92">
        <f>AJ93</f>
        <v>8.1300813008130079E-2</v>
      </c>
      <c r="AK94" s="41">
        <v>0.375</v>
      </c>
      <c r="AL94" s="32">
        <v>0.625</v>
      </c>
      <c r="AM94" s="30">
        <v>0</v>
      </c>
      <c r="AN94" s="34">
        <v>0.3169872981077807</v>
      </c>
      <c r="AP94" s="17"/>
      <c r="AQ94" s="29"/>
      <c r="AR94" s="22" t="s">
        <v>128</v>
      </c>
      <c r="AS94" s="200">
        <v>6.2405200433369466E-2</v>
      </c>
      <c r="AT94" s="32">
        <v>7.03125E-2</v>
      </c>
      <c r="AU94" s="32">
        <v>0.125</v>
      </c>
      <c r="AV94" s="32">
        <f>AV93</f>
        <v>2.0576131687242798E-2</v>
      </c>
      <c r="AW94" s="92">
        <f>AW93</f>
        <v>8.1300813008130079E-2</v>
      </c>
      <c r="AX94" s="41">
        <v>0.375</v>
      </c>
      <c r="AY94" s="32">
        <v>0.625</v>
      </c>
      <c r="AZ94" s="30">
        <v>0</v>
      </c>
      <c r="BA94" s="34">
        <v>0.3169872981077807</v>
      </c>
      <c r="BC94" s="54"/>
      <c r="BD94" s="55"/>
      <c r="BE94" s="22" t="s">
        <v>128</v>
      </c>
      <c r="BF94" s="200">
        <v>6.3542795232936072E-2</v>
      </c>
      <c r="BG94" s="32">
        <v>7.03125E-2</v>
      </c>
      <c r="BH94" s="32">
        <v>0.125</v>
      </c>
      <c r="BI94" s="50">
        <f>BI93</f>
        <v>1.7999999999999999E-2</v>
      </c>
      <c r="BJ94" s="99">
        <f>BJ93</f>
        <v>7.8E-2</v>
      </c>
      <c r="BK94" s="41">
        <v>0.375</v>
      </c>
      <c r="BL94" s="32">
        <v>0.625</v>
      </c>
      <c r="BM94" s="30">
        <v>0</v>
      </c>
      <c r="BN94" s="34">
        <v>0.3169872981077807</v>
      </c>
      <c r="BP94" s="17"/>
      <c r="BQ94" s="29"/>
      <c r="BR94" s="22" t="s">
        <v>128</v>
      </c>
      <c r="BS94" s="38">
        <v>6.500541711809317E-2</v>
      </c>
      <c r="BT94" s="32">
        <v>7.03125E-2</v>
      </c>
      <c r="BU94" s="32">
        <v>0.125</v>
      </c>
      <c r="BV94" s="32">
        <f>BV93</f>
        <v>1.6232281664380437E-2</v>
      </c>
      <c r="BW94" s="32">
        <f>BW93</f>
        <v>3.7037037037037056E-2</v>
      </c>
      <c r="BX94" s="41">
        <v>0.375</v>
      </c>
      <c r="BY94" s="32">
        <v>0.625</v>
      </c>
      <c r="BZ94" s="30">
        <v>0</v>
      </c>
      <c r="CA94" s="34">
        <v>0.3169872981077807</v>
      </c>
      <c r="CB94" s="36"/>
      <c r="CC94" s="36"/>
      <c r="CD94" s="36"/>
      <c r="CE94" s="36"/>
      <c r="CF94" s="36"/>
      <c r="CG94" s="36"/>
      <c r="CI94" s="17"/>
      <c r="CJ94" s="29"/>
      <c r="CK94" s="22" t="s">
        <v>128</v>
      </c>
      <c r="CL94" s="200">
        <v>6.2405200433369466E-2</v>
      </c>
      <c r="CM94" s="32">
        <v>7.03125E-2</v>
      </c>
      <c r="CN94" s="32">
        <v>0.125</v>
      </c>
      <c r="CO94" s="50">
        <f>CO93</f>
        <v>2.7430198331047106E-2</v>
      </c>
      <c r="CP94" s="99">
        <f>CP93</f>
        <v>3.7037037037037056E-2</v>
      </c>
      <c r="CQ94" s="41">
        <v>0.375</v>
      </c>
      <c r="CR94" s="32">
        <v>0.625</v>
      </c>
      <c r="CS94" s="30">
        <v>0</v>
      </c>
      <c r="CT94" s="34">
        <v>0.3169872981077807</v>
      </c>
      <c r="CV94" s="54"/>
      <c r="CW94" s="55"/>
      <c r="CX94" s="22" t="s">
        <v>128</v>
      </c>
      <c r="CY94" s="38">
        <v>6.500541711809317E-2</v>
      </c>
      <c r="CZ94" s="32">
        <v>7.03125E-2</v>
      </c>
      <c r="DA94" s="32">
        <v>0.125</v>
      </c>
      <c r="DB94" s="50">
        <f>DB93</f>
        <v>9.9744245524296671E-3</v>
      </c>
      <c r="DC94" s="99">
        <f>DC93</f>
        <v>8.1199999999999994E-2</v>
      </c>
      <c r="DD94" s="41">
        <v>0.375</v>
      </c>
      <c r="DE94" s="32">
        <v>0.625</v>
      </c>
      <c r="DF94" s="30">
        <v>0</v>
      </c>
      <c r="DG94" s="34">
        <v>0.3169872981077807</v>
      </c>
      <c r="DI94" s="54"/>
      <c r="DJ94" s="55"/>
      <c r="DK94" s="22" t="s">
        <v>128</v>
      </c>
      <c r="DL94" s="200">
        <v>6.3542795232936072E-2</v>
      </c>
      <c r="DM94" s="32">
        <v>7.03125E-2</v>
      </c>
      <c r="DN94" s="32">
        <v>0.125</v>
      </c>
      <c r="DO94" s="50">
        <f>DO93</f>
        <v>1.8000000000000002E-2</v>
      </c>
      <c r="DP94" s="99">
        <f>DP93</f>
        <v>8.1199999999999994E-2</v>
      </c>
      <c r="DQ94" s="41">
        <v>0.375</v>
      </c>
      <c r="DR94" s="32">
        <v>0.625</v>
      </c>
      <c r="DS94" s="30">
        <v>0</v>
      </c>
      <c r="DT94" s="34">
        <v>0.3169872981077807</v>
      </c>
    </row>
    <row r="95" spans="1:124" ht="12" customHeight="1" x14ac:dyDescent="0.3">
      <c r="A95" s="1"/>
      <c r="B95" s="25"/>
      <c r="C95" s="47"/>
      <c r="D95" s="20" t="s">
        <v>93</v>
      </c>
      <c r="E95" s="85" t="str">
        <f t="shared" si="93"/>
        <v>fmáx</v>
      </c>
      <c r="F95" s="85" t="str">
        <f t="shared" si="94"/>
        <v>mamáx</v>
      </c>
      <c r="G95" s="85" t="str">
        <f t="shared" si="95"/>
        <v>maemín</v>
      </c>
      <c r="H95" s="85" t="str">
        <f t="shared" si="96"/>
        <v>mbmáx</v>
      </c>
      <c r="I95" s="85" t="str">
        <f t="shared" si="97"/>
        <v>mbemín</v>
      </c>
      <c r="J95" s="85" t="str">
        <f t="shared" si="98"/>
        <v>ra</v>
      </c>
      <c r="K95" s="85" t="str">
        <f t="shared" si="99"/>
        <v>rae</v>
      </c>
      <c r="L95" s="85" t="str">
        <f t="shared" si="100"/>
        <v>rb</v>
      </c>
      <c r="M95" s="85" t="str">
        <f t="shared" si="101"/>
        <v>rbe</v>
      </c>
      <c r="N95" s="1"/>
      <c r="P95" s="483" t="s">
        <v>36</v>
      </c>
      <c r="Q95" s="484"/>
      <c r="R95" s="74" t="s">
        <v>93</v>
      </c>
      <c r="S95" s="20" t="s">
        <v>131</v>
      </c>
      <c r="T95" s="75" t="s">
        <v>132</v>
      </c>
      <c r="U95" s="75" t="s">
        <v>120</v>
      </c>
      <c r="V95" s="75" t="s">
        <v>117</v>
      </c>
      <c r="W95" s="76" t="s">
        <v>121</v>
      </c>
      <c r="X95" s="75" t="s">
        <v>111</v>
      </c>
      <c r="Y95" s="75" t="s">
        <v>112</v>
      </c>
      <c r="Z95" s="75" t="s">
        <v>113</v>
      </c>
      <c r="AA95" s="76" t="s">
        <v>114</v>
      </c>
      <c r="AC95" s="483" t="s">
        <v>36</v>
      </c>
      <c r="AD95" s="484"/>
      <c r="AE95" s="74" t="s">
        <v>93</v>
      </c>
      <c r="AF95" s="20" t="s">
        <v>115</v>
      </c>
      <c r="AG95" s="75" t="s">
        <v>116</v>
      </c>
      <c r="AH95" s="75" t="s">
        <v>120</v>
      </c>
      <c r="AI95" s="75" t="s">
        <v>117</v>
      </c>
      <c r="AJ95" s="76" t="s">
        <v>121</v>
      </c>
      <c r="AK95" s="75" t="s">
        <v>111</v>
      </c>
      <c r="AL95" s="75" t="s">
        <v>112</v>
      </c>
      <c r="AM95" s="75" t="s">
        <v>113</v>
      </c>
      <c r="AN95" s="76" t="s">
        <v>114</v>
      </c>
      <c r="AP95" s="483" t="s">
        <v>36</v>
      </c>
      <c r="AQ95" s="484"/>
      <c r="AR95" s="74" t="s">
        <v>93</v>
      </c>
      <c r="AS95" s="20" t="s">
        <v>115</v>
      </c>
      <c r="AT95" s="75" t="s">
        <v>116</v>
      </c>
      <c r="AU95" s="75" t="s">
        <v>120</v>
      </c>
      <c r="AV95" s="75" t="s">
        <v>117</v>
      </c>
      <c r="AW95" s="76" t="s">
        <v>121</v>
      </c>
      <c r="AX95" s="75" t="s">
        <v>111</v>
      </c>
      <c r="AY95" s="75" t="s">
        <v>112</v>
      </c>
      <c r="AZ95" s="75" t="s">
        <v>113</v>
      </c>
      <c r="BA95" s="76" t="s">
        <v>114</v>
      </c>
      <c r="BC95" s="483" t="s">
        <v>36</v>
      </c>
      <c r="BD95" s="484"/>
      <c r="BE95" s="77" t="s">
        <v>93</v>
      </c>
      <c r="BF95" s="20" t="s">
        <v>115</v>
      </c>
      <c r="BG95" s="75" t="s">
        <v>116</v>
      </c>
      <c r="BH95" s="75" t="s">
        <v>119</v>
      </c>
      <c r="BI95" s="75" t="s">
        <v>141</v>
      </c>
      <c r="BJ95" s="76" t="s">
        <v>118</v>
      </c>
      <c r="BK95" s="75" t="s">
        <v>111</v>
      </c>
      <c r="BL95" s="75" t="s">
        <v>112</v>
      </c>
      <c r="BM95" s="75" t="s">
        <v>113</v>
      </c>
      <c r="BN95" s="76" t="s">
        <v>114</v>
      </c>
      <c r="BP95" s="483" t="s">
        <v>36</v>
      </c>
      <c r="BQ95" s="484"/>
      <c r="BR95" s="74" t="s">
        <v>93</v>
      </c>
      <c r="BS95" s="20" t="s">
        <v>115</v>
      </c>
      <c r="BT95" s="75" t="s">
        <v>116</v>
      </c>
      <c r="BU95" s="75" t="s">
        <v>119</v>
      </c>
      <c r="BV95" s="75" t="s">
        <v>141</v>
      </c>
      <c r="BW95" s="76" t="s">
        <v>118</v>
      </c>
      <c r="BX95" s="75" t="s">
        <v>111</v>
      </c>
      <c r="BY95" s="75" t="s">
        <v>112</v>
      </c>
      <c r="BZ95" s="75" t="s">
        <v>113</v>
      </c>
      <c r="CA95" s="76" t="s">
        <v>114</v>
      </c>
      <c r="CB95" s="74" t="s">
        <v>122</v>
      </c>
      <c r="CC95" s="74" t="s">
        <v>123</v>
      </c>
      <c r="CD95" s="81" t="s">
        <v>124</v>
      </c>
      <c r="CE95" s="81" t="s">
        <v>125</v>
      </c>
      <c r="CF95" s="74" t="s">
        <v>126</v>
      </c>
      <c r="CG95" s="74" t="s">
        <v>127</v>
      </c>
      <c r="CI95" s="483" t="s">
        <v>36</v>
      </c>
      <c r="CJ95" s="484"/>
      <c r="CK95" s="74" t="s">
        <v>93</v>
      </c>
      <c r="CL95" s="20" t="s">
        <v>115</v>
      </c>
      <c r="CM95" s="75" t="s">
        <v>116</v>
      </c>
      <c r="CN95" s="75" t="s">
        <v>119</v>
      </c>
      <c r="CO95" s="75" t="s">
        <v>141</v>
      </c>
      <c r="CP95" s="76" t="s">
        <v>118</v>
      </c>
      <c r="CQ95" s="75" t="s">
        <v>111</v>
      </c>
      <c r="CR95" s="75" t="s">
        <v>112</v>
      </c>
      <c r="CS95" s="75" t="s">
        <v>113</v>
      </c>
      <c r="CT95" s="76" t="s">
        <v>114</v>
      </c>
      <c r="CV95" s="483" t="s">
        <v>36</v>
      </c>
      <c r="CW95" s="484"/>
      <c r="CX95" s="77" t="s">
        <v>93</v>
      </c>
      <c r="CY95" s="20" t="s">
        <v>115</v>
      </c>
      <c r="CZ95" s="75" t="s">
        <v>116</v>
      </c>
      <c r="DA95" s="75" t="s">
        <v>119</v>
      </c>
      <c r="DB95" s="75" t="s">
        <v>141</v>
      </c>
      <c r="DC95" s="76" t="s">
        <v>118</v>
      </c>
      <c r="DD95" s="75" t="s">
        <v>111</v>
      </c>
      <c r="DE95" s="75" t="s">
        <v>112</v>
      </c>
      <c r="DF95" s="75" t="s">
        <v>113</v>
      </c>
      <c r="DG95" s="76" t="s">
        <v>114</v>
      </c>
      <c r="DI95" s="483" t="s">
        <v>36</v>
      </c>
      <c r="DJ95" s="484"/>
      <c r="DK95" s="77" t="s">
        <v>93</v>
      </c>
      <c r="DL95" s="20" t="s">
        <v>115</v>
      </c>
      <c r="DM95" s="75" t="s">
        <v>116</v>
      </c>
      <c r="DN95" s="75" t="s">
        <v>120</v>
      </c>
      <c r="DO95" s="75" t="s">
        <v>141</v>
      </c>
      <c r="DP95" s="76" t="s">
        <v>121</v>
      </c>
      <c r="DQ95" s="75" t="s">
        <v>111</v>
      </c>
      <c r="DR95" s="75" t="s">
        <v>112</v>
      </c>
      <c r="DS95" s="75" t="s">
        <v>113</v>
      </c>
      <c r="DT95" s="76" t="s">
        <v>114</v>
      </c>
    </row>
    <row r="96" spans="1:124" ht="12" customHeight="1" x14ac:dyDescent="0.2">
      <c r="A96" s="1"/>
      <c r="B96" s="25"/>
      <c r="C96" s="47"/>
      <c r="D96" s="68">
        <v>1</v>
      </c>
      <c r="E96" s="85">
        <f t="shared" si="93"/>
        <v>2.2200000000000001E-2</v>
      </c>
      <c r="F96" s="85">
        <f t="shared" si="94"/>
        <v>3.1890000000000002E-2</v>
      </c>
      <c r="G96" s="85">
        <f t="shared" si="95"/>
        <v>6.9690000000000002E-2</v>
      </c>
      <c r="H96" s="85">
        <f t="shared" si="96"/>
        <v>2.1659999999999999E-2</v>
      </c>
      <c r="I96" s="85">
        <f t="shared" si="97"/>
        <v>0</v>
      </c>
      <c r="J96" s="85">
        <f t="shared" si="98"/>
        <v>0</v>
      </c>
      <c r="K96" s="85">
        <f t="shared" si="99"/>
        <v>0.35566243270259357</v>
      </c>
      <c r="L96" s="85">
        <f t="shared" si="100"/>
        <v>0.14433756729740643</v>
      </c>
      <c r="M96" s="85">
        <f t="shared" si="101"/>
        <v>0</v>
      </c>
      <c r="N96" s="1"/>
      <c r="P96" s="15"/>
      <c r="Q96" s="28"/>
      <c r="R96" s="31">
        <v>1</v>
      </c>
      <c r="S96" s="37">
        <v>2.2200000000000001E-2</v>
      </c>
      <c r="T96" s="32">
        <v>3.1890000000000002E-2</v>
      </c>
      <c r="U96" s="32">
        <v>6.9690000000000002E-2</v>
      </c>
      <c r="V96" s="32">
        <v>2.1659999999999999E-2</v>
      </c>
      <c r="W96" s="30">
        <v>0</v>
      </c>
      <c r="X96" s="42">
        <v>0</v>
      </c>
      <c r="Y96" s="32">
        <v>0.35566243270259357</v>
      </c>
      <c r="Z96" s="32">
        <v>0.14433756729740643</v>
      </c>
      <c r="AA96" s="33">
        <v>0</v>
      </c>
      <c r="AC96" s="15"/>
      <c r="AD96" s="28"/>
      <c r="AE96" s="31">
        <v>1</v>
      </c>
      <c r="AF96" s="37">
        <v>2.3E-2</v>
      </c>
      <c r="AG96" s="32">
        <f>1/35.1</f>
        <v>2.8490028490028491E-2</v>
      </c>
      <c r="AH96" s="32">
        <f>1/14.3</f>
        <v>6.9930069930069921E-2</v>
      </c>
      <c r="AI96" s="32">
        <f>1/61.7</f>
        <v>1.6207455429497569E-2</v>
      </c>
      <c r="AJ96" s="30">
        <v>0</v>
      </c>
      <c r="AK96" s="42">
        <v>0</v>
      </c>
      <c r="AL96" s="32">
        <v>0.35566243270259357</v>
      </c>
      <c r="AM96" s="32">
        <v>0.14433756729740643</v>
      </c>
      <c r="AN96" s="33">
        <v>0</v>
      </c>
      <c r="AP96" s="15"/>
      <c r="AQ96" s="28"/>
      <c r="AR96" s="31">
        <v>1</v>
      </c>
      <c r="AS96" s="45">
        <f>AF96*(1-0.2^2)</f>
        <v>2.2079999999999999E-2</v>
      </c>
      <c r="AT96" s="32">
        <f>1/31.6</f>
        <v>3.164556962025316E-2</v>
      </c>
      <c r="AU96" s="32">
        <f>1/14.3</f>
        <v>6.9930069930069921E-2</v>
      </c>
      <c r="AV96" s="32">
        <f>1/46.1</f>
        <v>2.1691973969631236E-2</v>
      </c>
      <c r="AW96" s="30">
        <v>0</v>
      </c>
      <c r="AX96" s="42">
        <v>0</v>
      </c>
      <c r="AY96" s="32">
        <v>0.35566243270259357</v>
      </c>
      <c r="AZ96" s="32">
        <v>0.14433756729740643</v>
      </c>
      <c r="BA96" s="33">
        <v>0</v>
      </c>
      <c r="BC96" s="25"/>
      <c r="BD96" s="47"/>
      <c r="BE96" s="53">
        <v>1</v>
      </c>
      <c r="BF96" s="49">
        <v>2.2499999999999999E-2</v>
      </c>
      <c r="BG96" s="50">
        <v>3.09E-2</v>
      </c>
      <c r="BH96" s="50">
        <v>6.9900000000000004E-2</v>
      </c>
      <c r="BI96" s="50">
        <v>2.01E-2</v>
      </c>
      <c r="BJ96" s="51">
        <v>0</v>
      </c>
      <c r="BK96" s="42">
        <v>0</v>
      </c>
      <c r="BL96" s="32">
        <v>0.35566243270259357</v>
      </c>
      <c r="BM96" s="32">
        <v>0.14433756729740643</v>
      </c>
      <c r="BN96" s="33">
        <v>0</v>
      </c>
      <c r="BP96" s="15"/>
      <c r="BQ96" s="28"/>
      <c r="BR96" s="31">
        <v>1</v>
      </c>
      <c r="BS96" s="45">
        <f>5*CG96*CC96*BR96^4/32</f>
        <v>2.2424768518518514E-2</v>
      </c>
      <c r="BT96" s="78">
        <f t="shared" ref="BT96:BT106" si="119">CF96*CB96/CD96</f>
        <v>2.6684670781893002E-2</v>
      </c>
      <c r="BU96" s="78">
        <f>CB96/12</f>
        <v>6.9444444444444448E-2</v>
      </c>
      <c r="BV96" s="83">
        <f t="shared" ref="BV96:BV106" si="120">CG96*CC96*BR96^2/CE96</f>
        <v>1.7939814814814811E-2</v>
      </c>
      <c r="BW96" s="79">
        <v>0</v>
      </c>
      <c r="BX96" s="42">
        <v>0</v>
      </c>
      <c r="BY96" s="32">
        <v>0.35566243270259357</v>
      </c>
      <c r="BZ96" s="32">
        <v>0.14433756729740643</v>
      </c>
      <c r="CA96" s="33">
        <v>0</v>
      </c>
      <c r="CB96" s="37">
        <f t="shared" ref="CB96:CB106" si="121">5*BR96^4/(1+5*BR96^4)</f>
        <v>0.83333333333333337</v>
      </c>
      <c r="CC96" s="37">
        <f>1-CB96</f>
        <v>0.16666666666666663</v>
      </c>
      <c r="CD96" s="35">
        <v>24</v>
      </c>
      <c r="CE96" s="35">
        <v>8</v>
      </c>
      <c r="CF96" s="37">
        <f t="shared" ref="CF96:CF106" si="122">1-(20*CB96)/(3*CD96*BR96^2)</f>
        <v>0.76851851851851849</v>
      </c>
      <c r="CG96" s="37">
        <f t="shared" ref="CG96:CG106" si="123">1-(20*CC96*BR96^2)/(3*CE96)</f>
        <v>0.86111111111111116</v>
      </c>
      <c r="CI96" s="15"/>
      <c r="CJ96" s="28"/>
      <c r="CK96" s="31">
        <v>1</v>
      </c>
      <c r="CL96" s="45">
        <f t="shared" ref="CL96:CL106" si="124">(1-$CJ$14^2)*BS96</f>
        <v>2.1527777777777774E-2</v>
      </c>
      <c r="CM96" s="78">
        <f>BT96+$CJ$14*BV96</f>
        <v>3.0272633744855965E-2</v>
      </c>
      <c r="CN96" s="78">
        <v>6.9444444444444448E-2</v>
      </c>
      <c r="CO96" s="78">
        <f>$CJ$14*BT96+BV96</f>
        <v>2.327674897119341E-2</v>
      </c>
      <c r="CP96" s="79">
        <v>0</v>
      </c>
      <c r="CQ96" s="42">
        <v>0</v>
      </c>
      <c r="CR96" s="32">
        <v>0.35566243270259357</v>
      </c>
      <c r="CS96" s="32">
        <v>0.14433756729740643</v>
      </c>
      <c r="CT96" s="33">
        <v>0</v>
      </c>
      <c r="CV96" s="25"/>
      <c r="CW96" s="47"/>
      <c r="CX96" s="53">
        <v>1</v>
      </c>
      <c r="CY96" s="45">
        <f>(1-$CW$14^2)/(1-$CW$13^2)*BF96</f>
        <v>2.3017902813299233E-2</v>
      </c>
      <c r="CZ96" s="78">
        <f>(1/(1-$CW$13^2))*((1-$CW$13*$CW$14)*BG96+($CW$14-$CW$13)*BI96)</f>
        <v>2.8526854219948852E-2</v>
      </c>
      <c r="DA96" s="50">
        <v>6.9900000000000004E-2</v>
      </c>
      <c r="DB96" s="78">
        <f>(1/(1-$CW$13^2))*((1-$CW$13*$CW$14)*BI96+($CW$14-$CW$13)*BG96)</f>
        <v>1.5820971867007674E-2</v>
      </c>
      <c r="DC96" s="51">
        <v>0</v>
      </c>
      <c r="DD96" s="42">
        <v>0</v>
      </c>
      <c r="DE96" s="32">
        <v>0.35566243270259357</v>
      </c>
      <c r="DF96" s="32">
        <v>0.14433756729740643</v>
      </c>
      <c r="DG96" s="33">
        <v>0</v>
      </c>
      <c r="DI96" s="25"/>
      <c r="DJ96" s="47"/>
      <c r="DK96" s="53">
        <v>1</v>
      </c>
      <c r="DL96" s="49">
        <v>2.2499999999999999E-2</v>
      </c>
      <c r="DM96" s="50">
        <v>3.0899999999999997E-2</v>
      </c>
      <c r="DN96" s="50">
        <v>6.9900000000000004E-2</v>
      </c>
      <c r="DO96" s="50">
        <v>2.0099999999999996E-2</v>
      </c>
      <c r="DP96" s="51">
        <v>0</v>
      </c>
      <c r="DQ96" s="42">
        <v>0</v>
      </c>
      <c r="DR96" s="32">
        <v>0.35566243270259357</v>
      </c>
      <c r="DS96" s="32">
        <v>0.14433756729740643</v>
      </c>
      <c r="DT96" s="33">
        <v>0</v>
      </c>
    </row>
    <row r="97" spans="1:124" ht="12" customHeight="1" x14ac:dyDescent="0.2">
      <c r="A97" s="1"/>
      <c r="B97" s="25"/>
      <c r="C97" s="47"/>
      <c r="D97" s="68">
        <v>1.1000000000000001</v>
      </c>
      <c r="E97" s="85">
        <f t="shared" si="93"/>
        <v>2.41E-2</v>
      </c>
      <c r="F97" s="85">
        <f t="shared" si="94"/>
        <v>3.4509999999999999E-2</v>
      </c>
      <c r="G97" s="85">
        <f t="shared" si="95"/>
        <v>7.3789999999999994E-2</v>
      </c>
      <c r="H97" s="85">
        <f t="shared" si="96"/>
        <v>2.0140000000000002E-2</v>
      </c>
      <c r="I97" s="85">
        <f t="shared" si="97"/>
        <v>0</v>
      </c>
      <c r="J97" s="85">
        <f t="shared" si="98"/>
        <v>0</v>
      </c>
      <c r="K97" s="85">
        <f t="shared" si="99"/>
        <v>0.36878402972963054</v>
      </c>
      <c r="L97" s="85">
        <f t="shared" si="100"/>
        <v>0.14433756729740643</v>
      </c>
      <c r="M97" s="85">
        <f t="shared" si="101"/>
        <v>0</v>
      </c>
      <c r="N97" s="1"/>
      <c r="P97" s="15"/>
      <c r="Q97" s="28"/>
      <c r="R97" s="31">
        <v>1.1000000000000001</v>
      </c>
      <c r="S97" s="37">
        <v>2.41E-2</v>
      </c>
      <c r="T97" s="32">
        <v>3.4509999999999999E-2</v>
      </c>
      <c r="U97" s="32">
        <v>7.3789999999999994E-2</v>
      </c>
      <c r="V97" s="32">
        <v>2.0140000000000002E-2</v>
      </c>
      <c r="W97" s="30">
        <v>0</v>
      </c>
      <c r="X97" s="42">
        <v>0</v>
      </c>
      <c r="Y97" s="32">
        <v>0.36878402972963054</v>
      </c>
      <c r="Z97" s="32">
        <v>0.14433756729740643</v>
      </c>
      <c r="AA97" s="33">
        <v>0</v>
      </c>
      <c r="AC97" s="15"/>
      <c r="AD97" s="28"/>
      <c r="AE97" s="31">
        <v>1.1000000000000001</v>
      </c>
      <c r="AF97" s="37">
        <v>2.5100000000000001E-2</v>
      </c>
      <c r="AG97" s="32">
        <f>1/31.7</f>
        <v>3.1545741324921134E-2</v>
      </c>
      <c r="AH97" s="32">
        <f>1/13.5</f>
        <v>7.407407407407407E-2</v>
      </c>
      <c r="AI97" s="32">
        <f>1/67.2</f>
        <v>1.488095238095238E-2</v>
      </c>
      <c r="AJ97" s="30">
        <v>0</v>
      </c>
      <c r="AK97" s="42">
        <v>0</v>
      </c>
      <c r="AL97" s="32">
        <v>0.36878402972963054</v>
      </c>
      <c r="AM97" s="32">
        <v>0.14433756729740643</v>
      </c>
      <c r="AN97" s="33">
        <v>0</v>
      </c>
      <c r="AP97" s="15"/>
      <c r="AQ97" s="28"/>
      <c r="AR97" s="31">
        <v>1.1000000000000001</v>
      </c>
      <c r="AS97" s="45">
        <f t="shared" ref="AS97:AS106" si="125">AF97*(1-0.2^2)</f>
        <v>2.4095999999999999E-2</v>
      </c>
      <c r="AT97" s="32">
        <f>1/29</f>
        <v>3.4482758620689655E-2</v>
      </c>
      <c r="AU97" s="32">
        <f>1/13.5</f>
        <v>7.407407407407407E-2</v>
      </c>
      <c r="AV97" s="32">
        <f>1/47.2</f>
        <v>2.1186440677966101E-2</v>
      </c>
      <c r="AW97" s="30">
        <v>0</v>
      </c>
      <c r="AX97" s="42">
        <v>0</v>
      </c>
      <c r="AY97" s="32">
        <v>0.36878402972963054</v>
      </c>
      <c r="AZ97" s="32">
        <v>0.14433756729740643</v>
      </c>
      <c r="BA97" s="33">
        <v>0</v>
      </c>
      <c r="BC97" s="25"/>
      <c r="BD97" s="47"/>
      <c r="BE97" s="53">
        <v>1.1000000000000001</v>
      </c>
      <c r="BF97" s="49">
        <v>2.4450470000000005E-2</v>
      </c>
      <c r="BG97" s="50">
        <v>3.3500000000000002E-2</v>
      </c>
      <c r="BH97" s="50">
        <v>7.4099999999999999E-2</v>
      </c>
      <c r="BI97" s="50">
        <v>1.8271000000000003E-2</v>
      </c>
      <c r="BJ97" s="51">
        <v>0</v>
      </c>
      <c r="BK97" s="42">
        <v>0</v>
      </c>
      <c r="BL97" s="32">
        <v>0.36878402972963054</v>
      </c>
      <c r="BM97" s="32">
        <v>0.14433756729740643</v>
      </c>
      <c r="BN97" s="33">
        <v>0</v>
      </c>
      <c r="BP97" s="15"/>
      <c r="BQ97" s="28"/>
      <c r="BR97" s="31">
        <v>1.1000000000000001</v>
      </c>
      <c r="BS97" s="45">
        <f t="shared" ref="BS97:BS106" si="126">5*CG97*CC97*BR97^4/32</f>
        <v>2.4162284771321121E-2</v>
      </c>
      <c r="BT97" s="78">
        <f t="shared" si="119"/>
        <v>2.9254662964906558E-2</v>
      </c>
      <c r="BU97" s="78">
        <f t="shared" ref="BU97:BU106" si="127">CB97/12</f>
        <v>7.3317909580754362E-2</v>
      </c>
      <c r="BV97" s="83">
        <f t="shared" si="120"/>
        <v>1.5975064311617267E-2</v>
      </c>
      <c r="BW97" s="79">
        <v>0</v>
      </c>
      <c r="BX97" s="42">
        <v>0</v>
      </c>
      <c r="BY97" s="32">
        <v>0.36878402972963054</v>
      </c>
      <c r="BZ97" s="32">
        <v>0.14433756729740643</v>
      </c>
      <c r="CA97" s="33">
        <v>0</v>
      </c>
      <c r="CB97" s="37">
        <f t="shared" si="121"/>
        <v>0.87981491496905229</v>
      </c>
      <c r="CC97" s="37">
        <f t="shared" ref="CC97:CC106" si="128">1-CB97</f>
        <v>0.12018508503094771</v>
      </c>
      <c r="CD97" s="35">
        <v>24</v>
      </c>
      <c r="CE97" s="35">
        <v>8</v>
      </c>
      <c r="CF97" s="37">
        <f t="shared" si="122"/>
        <v>0.7980222876563241</v>
      </c>
      <c r="CG97" s="37">
        <f t="shared" si="123"/>
        <v>0.87881337259379433</v>
      </c>
      <c r="CI97" s="15"/>
      <c r="CJ97" s="28"/>
      <c r="CK97" s="31">
        <v>1.1000000000000001</v>
      </c>
      <c r="CL97" s="45">
        <f t="shared" si="124"/>
        <v>2.3195793380468274E-2</v>
      </c>
      <c r="CM97" s="78">
        <f t="shared" ref="CM97:CM106" si="129">BT97+$CJ$14*BV97</f>
        <v>3.2449675827230011E-2</v>
      </c>
      <c r="CN97" s="78">
        <v>7.3317909580754362E-2</v>
      </c>
      <c r="CO97" s="78">
        <f t="shared" ref="CO97:CO106" si="130">$CJ$14*BT97+BV97</f>
        <v>2.182599690459858E-2</v>
      </c>
      <c r="CP97" s="79">
        <v>0</v>
      </c>
      <c r="CQ97" s="42">
        <v>0</v>
      </c>
      <c r="CR97" s="32">
        <v>0.36878402972963054</v>
      </c>
      <c r="CS97" s="32">
        <v>0.14433756729740643</v>
      </c>
      <c r="CT97" s="33">
        <v>0</v>
      </c>
      <c r="CV97" s="25"/>
      <c r="CW97" s="47"/>
      <c r="CX97" s="53">
        <v>1.1000000000000001</v>
      </c>
      <c r="CY97" s="45">
        <f t="shared" ref="CY97:CY106" si="131">(1-$CW$14^2)/(1-$CW$13^2)*BF97</f>
        <v>2.5013268542199495E-2</v>
      </c>
      <c r="CZ97" s="78">
        <f t="shared" ref="CZ97:CZ106" si="132">(1/(1-$CW$13^2))*((1-$CW$13*$CW$14)*BG97+($CW$14-$CW$13)*BI97)</f>
        <v>3.1467365728900257E-2</v>
      </c>
      <c r="DA97" s="50">
        <v>7.4099999999999999E-2</v>
      </c>
      <c r="DB97" s="78">
        <f t="shared" ref="DB97:DB106" si="133">(1/(1-$CW$13^2))*((1-$CW$13*$CW$14)*BI97+($CW$14-$CW$13)*BG97)</f>
        <v>1.3550895140664964E-2</v>
      </c>
      <c r="DC97" s="51">
        <v>0</v>
      </c>
      <c r="DD97" s="42">
        <v>0</v>
      </c>
      <c r="DE97" s="32">
        <v>0.36878402972963054</v>
      </c>
      <c r="DF97" s="32">
        <v>0.14433756729740643</v>
      </c>
      <c r="DG97" s="33">
        <v>0</v>
      </c>
      <c r="DI97" s="25"/>
      <c r="DJ97" s="47"/>
      <c r="DK97" s="53">
        <v>1.1000000000000001</v>
      </c>
      <c r="DL97" s="49">
        <v>2.4500000000000001E-2</v>
      </c>
      <c r="DM97" s="50">
        <v>3.3500000000000002E-2</v>
      </c>
      <c r="DN97" s="50">
        <v>7.4099999999999999E-2</v>
      </c>
      <c r="DO97" s="50">
        <v>1.83E-2</v>
      </c>
      <c r="DP97" s="51">
        <v>0</v>
      </c>
      <c r="DQ97" s="42">
        <v>0</v>
      </c>
      <c r="DR97" s="32">
        <v>0.36878402972963054</v>
      </c>
      <c r="DS97" s="32">
        <v>0.14433756729740643</v>
      </c>
      <c r="DT97" s="33">
        <v>0</v>
      </c>
    </row>
    <row r="98" spans="1:124" ht="12" customHeight="1" x14ac:dyDescent="0.2">
      <c r="A98" s="1"/>
      <c r="B98" s="25"/>
      <c r="C98" s="47"/>
      <c r="D98" s="68">
        <v>1.2</v>
      </c>
      <c r="E98" s="85">
        <f t="shared" si="93"/>
        <v>2.5700000000000001E-2</v>
      </c>
      <c r="F98" s="85">
        <f t="shared" si="94"/>
        <v>3.6580000000000001E-2</v>
      </c>
      <c r="G98" s="85">
        <f t="shared" si="95"/>
        <v>7.6899999999999996E-2</v>
      </c>
      <c r="H98" s="85">
        <f t="shared" si="96"/>
        <v>1.9120000000000002E-2</v>
      </c>
      <c r="I98" s="85">
        <f t="shared" si="97"/>
        <v>0</v>
      </c>
      <c r="J98" s="85">
        <f t="shared" si="98"/>
        <v>0</v>
      </c>
      <c r="K98" s="85">
        <f t="shared" si="99"/>
        <v>0.37971869391882795</v>
      </c>
      <c r="L98" s="85">
        <f t="shared" si="100"/>
        <v>0.14433756729740643</v>
      </c>
      <c r="M98" s="85">
        <f t="shared" si="101"/>
        <v>0</v>
      </c>
      <c r="N98" s="1"/>
      <c r="P98" s="15"/>
      <c r="Q98" s="28"/>
      <c r="R98" s="31">
        <v>1.2</v>
      </c>
      <c r="S98" s="37">
        <v>2.5700000000000001E-2</v>
      </c>
      <c r="T98" s="32">
        <v>3.6580000000000001E-2</v>
      </c>
      <c r="U98" s="32">
        <v>7.6899999999999996E-2</v>
      </c>
      <c r="V98" s="32">
        <v>1.9120000000000002E-2</v>
      </c>
      <c r="W98" s="30">
        <v>0</v>
      </c>
      <c r="X98" s="42">
        <v>0</v>
      </c>
      <c r="Y98" s="32">
        <v>0.37971869391882795</v>
      </c>
      <c r="Z98" s="32">
        <v>0.14433756729740643</v>
      </c>
      <c r="AA98" s="33">
        <v>0</v>
      </c>
      <c r="AC98" s="15"/>
      <c r="AD98" s="28"/>
      <c r="AE98" s="31">
        <v>1.2</v>
      </c>
      <c r="AF98" s="37">
        <v>2.6700000000000002E-2</v>
      </c>
      <c r="AG98" s="32">
        <f>1/29.4</f>
        <v>3.4013605442176874E-2</v>
      </c>
      <c r="AH98" s="32">
        <f>1/13</f>
        <v>7.6923076923076927E-2</v>
      </c>
      <c r="AI98" s="32">
        <f>1/71.5</f>
        <v>1.3986013986013986E-2</v>
      </c>
      <c r="AJ98" s="30">
        <v>0</v>
      </c>
      <c r="AK98" s="42">
        <v>0</v>
      </c>
      <c r="AL98" s="32">
        <v>0.37971869391882795</v>
      </c>
      <c r="AM98" s="32">
        <v>0.14433756729740643</v>
      </c>
      <c r="AN98" s="33">
        <v>0</v>
      </c>
      <c r="AP98" s="15"/>
      <c r="AQ98" s="28"/>
      <c r="AR98" s="31">
        <v>1.2</v>
      </c>
      <c r="AS98" s="45">
        <f t="shared" si="125"/>
        <v>2.5632000000000002E-2</v>
      </c>
      <c r="AT98" s="32">
        <f>1/27.2</f>
        <v>3.6764705882352942E-2</v>
      </c>
      <c r="AU98" s="32">
        <f>1/13</f>
        <v>7.6923076923076927E-2</v>
      </c>
      <c r="AV98" s="32">
        <f>1/48.1</f>
        <v>2.0790020790020788E-2</v>
      </c>
      <c r="AW98" s="30">
        <v>0</v>
      </c>
      <c r="AX98" s="42">
        <v>0</v>
      </c>
      <c r="AY98" s="32">
        <v>0.37971869391882795</v>
      </c>
      <c r="AZ98" s="32">
        <v>0.14433756729740643</v>
      </c>
      <c r="BA98" s="33">
        <v>0</v>
      </c>
      <c r="BC98" s="25"/>
      <c r="BD98" s="47"/>
      <c r="BE98" s="53">
        <v>1.2</v>
      </c>
      <c r="BF98" s="49">
        <v>2.6127359999999999E-2</v>
      </c>
      <c r="BG98" s="50">
        <v>3.5700000000000003E-2</v>
      </c>
      <c r="BH98" s="50">
        <v>7.6999999999999999E-2</v>
      </c>
      <c r="BI98" s="50">
        <v>1.6271999999999998E-2</v>
      </c>
      <c r="BJ98" s="51">
        <v>0</v>
      </c>
      <c r="BK98" s="42">
        <v>0</v>
      </c>
      <c r="BL98" s="32">
        <v>0.37971869391882795</v>
      </c>
      <c r="BM98" s="32">
        <v>0.14433756729740643</v>
      </c>
      <c r="BN98" s="33">
        <v>0</v>
      </c>
      <c r="BP98" s="15"/>
      <c r="BQ98" s="28"/>
      <c r="BR98" s="31">
        <v>1.2</v>
      </c>
      <c r="BS98" s="45">
        <f t="shared" si="126"/>
        <v>2.5492499409431553E-2</v>
      </c>
      <c r="BT98" s="78">
        <f t="shared" si="119"/>
        <v>3.1315727047935338E-2</v>
      </c>
      <c r="BU98" s="78">
        <f t="shared" si="127"/>
        <v>7.6002814919071085E-2</v>
      </c>
      <c r="BV98" s="83">
        <f t="shared" si="120"/>
        <v>1.4162499671906418E-2</v>
      </c>
      <c r="BW98" s="79">
        <v>0</v>
      </c>
      <c r="BX98" s="42">
        <v>0</v>
      </c>
      <c r="BY98" s="32">
        <v>0.37971869391882795</v>
      </c>
      <c r="BZ98" s="32">
        <v>0.14433756729740643</v>
      </c>
      <c r="CA98" s="33">
        <v>0</v>
      </c>
      <c r="CB98" s="37">
        <f t="shared" si="121"/>
        <v>0.91203377902885296</v>
      </c>
      <c r="CC98" s="37">
        <f t="shared" si="128"/>
        <v>8.7966220971147036E-2</v>
      </c>
      <c r="CD98" s="35">
        <v>24</v>
      </c>
      <c r="CE98" s="35">
        <v>8</v>
      </c>
      <c r="CF98" s="37">
        <f t="shared" si="122"/>
        <v>0.82406755805770582</v>
      </c>
      <c r="CG98" s="37">
        <f t="shared" si="123"/>
        <v>0.8944405348346236</v>
      </c>
      <c r="CI98" s="15"/>
      <c r="CJ98" s="28"/>
      <c r="CK98" s="31">
        <v>1.2</v>
      </c>
      <c r="CL98" s="45">
        <f t="shared" si="124"/>
        <v>2.447279943305429E-2</v>
      </c>
      <c r="CM98" s="78">
        <f t="shared" si="129"/>
        <v>3.4148226982316621E-2</v>
      </c>
      <c r="CN98" s="78">
        <v>7.6002814919071085E-2</v>
      </c>
      <c r="CO98" s="78">
        <f t="shared" si="130"/>
        <v>2.0425645081493485E-2</v>
      </c>
      <c r="CP98" s="79">
        <v>0</v>
      </c>
      <c r="CQ98" s="42">
        <v>0</v>
      </c>
      <c r="CR98" s="32">
        <v>0.37971869391882795</v>
      </c>
      <c r="CS98" s="32">
        <v>0.14433756729740643</v>
      </c>
      <c r="CT98" s="33">
        <v>0</v>
      </c>
      <c r="CV98" s="25"/>
      <c r="CW98" s="47"/>
      <c r="CX98" s="53">
        <v>1.2</v>
      </c>
      <c r="CY98" s="45">
        <f t="shared" si="131"/>
        <v>2.6728757033248084E-2</v>
      </c>
      <c r="CZ98" s="78">
        <f t="shared" si="132"/>
        <v>3.4024757033248088E-2</v>
      </c>
      <c r="DA98" s="50">
        <v>7.6999999999999999E-2</v>
      </c>
      <c r="DB98" s="78">
        <f t="shared" si="133"/>
        <v>1.1168286445012787E-2</v>
      </c>
      <c r="DC98" s="51">
        <v>0</v>
      </c>
      <c r="DD98" s="42">
        <v>0</v>
      </c>
      <c r="DE98" s="32">
        <v>0.37971869391882795</v>
      </c>
      <c r="DF98" s="32">
        <v>0.14433756729740643</v>
      </c>
      <c r="DG98" s="33">
        <v>0</v>
      </c>
      <c r="DI98" s="25"/>
      <c r="DJ98" s="47"/>
      <c r="DK98" s="53">
        <v>1.2</v>
      </c>
      <c r="DL98" s="49">
        <v>2.6099999999999998E-2</v>
      </c>
      <c r="DM98" s="50">
        <v>3.5699999999999996E-2</v>
      </c>
      <c r="DN98" s="50">
        <v>7.6999999999999999E-2</v>
      </c>
      <c r="DO98" s="50">
        <v>1.6299999999999999E-2</v>
      </c>
      <c r="DP98" s="51">
        <v>0</v>
      </c>
      <c r="DQ98" s="42">
        <v>0</v>
      </c>
      <c r="DR98" s="32">
        <v>0.37971869391882795</v>
      </c>
      <c r="DS98" s="32">
        <v>0.14433756729740643</v>
      </c>
      <c r="DT98" s="33">
        <v>0</v>
      </c>
    </row>
    <row r="99" spans="1:124" ht="12" customHeight="1" x14ac:dyDescent="0.2">
      <c r="A99" s="1"/>
      <c r="B99" s="25"/>
      <c r="C99" s="47"/>
      <c r="D99" s="68">
        <v>1.3</v>
      </c>
      <c r="E99" s="85">
        <f t="shared" si="93"/>
        <v>2.69E-2</v>
      </c>
      <c r="F99" s="85">
        <f t="shared" si="94"/>
        <v>3.8179999999999999E-2</v>
      </c>
      <c r="G99" s="85">
        <f t="shared" si="95"/>
        <v>7.9219999999999999E-2</v>
      </c>
      <c r="H99" s="85">
        <f t="shared" si="96"/>
        <v>1.8509999999999999E-2</v>
      </c>
      <c r="I99" s="85">
        <f t="shared" si="97"/>
        <v>0</v>
      </c>
      <c r="J99" s="85">
        <f t="shared" si="98"/>
        <v>0</v>
      </c>
      <c r="K99" s="85">
        <f t="shared" si="99"/>
        <v>0.38897110207891816</v>
      </c>
      <c r="L99" s="85">
        <f t="shared" si="100"/>
        <v>0.14433756729740643</v>
      </c>
      <c r="M99" s="85">
        <f t="shared" si="101"/>
        <v>0</v>
      </c>
      <c r="N99" s="1"/>
      <c r="P99" s="15"/>
      <c r="Q99" s="28"/>
      <c r="R99" s="31">
        <v>1.3</v>
      </c>
      <c r="S99" s="37">
        <v>2.69E-2</v>
      </c>
      <c r="T99" s="32">
        <v>3.8179999999999999E-2</v>
      </c>
      <c r="U99" s="32">
        <v>7.9219999999999999E-2</v>
      </c>
      <c r="V99" s="32">
        <v>1.8509999999999999E-2</v>
      </c>
      <c r="W99" s="30">
        <v>0</v>
      </c>
      <c r="X99" s="42">
        <v>0</v>
      </c>
      <c r="Y99" s="32">
        <v>0.38897110207891816</v>
      </c>
      <c r="Z99" s="32">
        <v>0.14433756729740643</v>
      </c>
      <c r="AA99" s="33">
        <v>0</v>
      </c>
      <c r="AC99" s="15"/>
      <c r="AD99" s="28"/>
      <c r="AE99" s="31">
        <v>1.3</v>
      </c>
      <c r="AF99" s="37">
        <v>2.8000000000000001E-2</v>
      </c>
      <c r="AG99" s="32">
        <f>1/27.8</f>
        <v>3.5971223021582732E-2</v>
      </c>
      <c r="AH99" s="32">
        <f>1/12.6</f>
        <v>7.9365079365079361E-2</v>
      </c>
      <c r="AI99" s="32">
        <f>1/73.5</f>
        <v>1.3605442176870748E-2</v>
      </c>
      <c r="AJ99" s="30">
        <v>0</v>
      </c>
      <c r="AK99" s="42">
        <v>0</v>
      </c>
      <c r="AL99" s="32">
        <v>0.38897110207891816</v>
      </c>
      <c r="AM99" s="32">
        <v>0.14433756729740643</v>
      </c>
      <c r="AN99" s="33">
        <v>0</v>
      </c>
      <c r="AP99" s="15"/>
      <c r="AQ99" s="28"/>
      <c r="AR99" s="31">
        <v>1.3</v>
      </c>
      <c r="AS99" s="45">
        <f t="shared" si="125"/>
        <v>2.6880000000000001E-2</v>
      </c>
      <c r="AT99" s="32">
        <f>1/25.8</f>
        <v>3.875968992248062E-2</v>
      </c>
      <c r="AU99" s="32">
        <f>1/12.6</f>
        <v>7.9365079365079361E-2</v>
      </c>
      <c r="AV99" s="32">
        <f>1/48.1</f>
        <v>2.0790020790020788E-2</v>
      </c>
      <c r="AW99" s="30">
        <v>0</v>
      </c>
      <c r="AX99" s="42">
        <v>0</v>
      </c>
      <c r="AY99" s="32">
        <v>0.38897110207891816</v>
      </c>
      <c r="AZ99" s="32">
        <v>0.14433756729740643</v>
      </c>
      <c r="BA99" s="33">
        <v>0</v>
      </c>
      <c r="BC99" s="25"/>
      <c r="BD99" s="47"/>
      <c r="BE99" s="53">
        <v>1.3</v>
      </c>
      <c r="BF99" s="49">
        <v>2.7418560000000002E-2</v>
      </c>
      <c r="BG99" s="50">
        <v>3.7400000000000003E-2</v>
      </c>
      <c r="BH99" s="50">
        <v>7.9299999999999995E-2</v>
      </c>
      <c r="BI99" s="50">
        <v>1.4872000000000003E-2</v>
      </c>
      <c r="BJ99" s="51">
        <v>0</v>
      </c>
      <c r="BK99" s="42">
        <v>0</v>
      </c>
      <c r="BL99" s="32">
        <v>0.38897110207891816</v>
      </c>
      <c r="BM99" s="32">
        <v>0.14433756729740643</v>
      </c>
      <c r="BN99" s="33">
        <v>0</v>
      </c>
      <c r="BP99" s="15"/>
      <c r="BQ99" s="28"/>
      <c r="BR99" s="31">
        <v>1.3</v>
      </c>
      <c r="BS99" s="45">
        <f t="shared" si="126"/>
        <v>2.6513227771200763E-2</v>
      </c>
      <c r="BT99" s="78">
        <f t="shared" si="119"/>
        <v>3.2958364067178281E-2</v>
      </c>
      <c r="BU99" s="78">
        <f t="shared" si="127"/>
        <v>7.7879759606470117E-2</v>
      </c>
      <c r="BV99" s="83">
        <f t="shared" si="120"/>
        <v>1.2550640365065448E-2</v>
      </c>
      <c r="BW99" s="79">
        <v>0</v>
      </c>
      <c r="BX99" s="42">
        <v>0</v>
      </c>
      <c r="BY99" s="32">
        <v>0.38897110207891816</v>
      </c>
      <c r="BZ99" s="32">
        <v>0.14433756729740643</v>
      </c>
      <c r="CA99" s="33">
        <v>0</v>
      </c>
      <c r="CB99" s="37">
        <f t="shared" si="121"/>
        <v>0.9345571152776414</v>
      </c>
      <c r="CC99" s="37">
        <f t="shared" si="128"/>
        <v>6.5442884722358596E-2</v>
      </c>
      <c r="CD99" s="35">
        <v>24</v>
      </c>
      <c r="CE99" s="35">
        <v>8</v>
      </c>
      <c r="CF99" s="37">
        <f t="shared" si="122"/>
        <v>0.84639100669335288</v>
      </c>
      <c r="CG99" s="37">
        <f t="shared" si="123"/>
        <v>0.90783460401601168</v>
      </c>
      <c r="CI99" s="15"/>
      <c r="CJ99" s="28"/>
      <c r="CK99" s="31">
        <v>1.3</v>
      </c>
      <c r="CL99" s="45">
        <f t="shared" si="124"/>
        <v>2.545269866035273E-2</v>
      </c>
      <c r="CM99" s="78">
        <f t="shared" si="129"/>
        <v>3.546849214019137E-2</v>
      </c>
      <c r="CN99" s="78">
        <v>7.7879759606470117E-2</v>
      </c>
      <c r="CO99" s="78">
        <f t="shared" si="130"/>
        <v>1.9142313178501104E-2</v>
      </c>
      <c r="CP99" s="79">
        <v>0</v>
      </c>
      <c r="CQ99" s="42">
        <v>0</v>
      </c>
      <c r="CR99" s="32">
        <v>0.38897110207891816</v>
      </c>
      <c r="CS99" s="32">
        <v>0.14433756729740643</v>
      </c>
      <c r="CT99" s="33">
        <v>0</v>
      </c>
      <c r="CV99" s="25"/>
      <c r="CW99" s="47"/>
      <c r="CX99" s="53">
        <v>1.3</v>
      </c>
      <c r="CY99" s="45">
        <f t="shared" si="131"/>
        <v>2.8049677749360617E-2</v>
      </c>
      <c r="CZ99" s="78">
        <f t="shared" si="132"/>
        <v>3.5978721227621489E-2</v>
      </c>
      <c r="DA99" s="50">
        <v>7.9299999999999995E-2</v>
      </c>
      <c r="DB99" s="78">
        <f t="shared" si="133"/>
        <v>9.4751918158567806E-3</v>
      </c>
      <c r="DC99" s="51">
        <v>0</v>
      </c>
      <c r="DD99" s="42">
        <v>0</v>
      </c>
      <c r="DE99" s="32">
        <v>0.38897110207891816</v>
      </c>
      <c r="DF99" s="32">
        <v>0.14433756729740643</v>
      </c>
      <c r="DG99" s="33">
        <v>0</v>
      </c>
      <c r="DI99" s="25"/>
      <c r="DJ99" s="47"/>
      <c r="DK99" s="53">
        <v>1.3</v>
      </c>
      <c r="DL99" s="49">
        <v>2.7400000000000001E-2</v>
      </c>
      <c r="DM99" s="50">
        <v>3.7400000000000003E-2</v>
      </c>
      <c r="DN99" s="50">
        <v>7.9299999999999995E-2</v>
      </c>
      <c r="DO99" s="50">
        <v>1.49E-2</v>
      </c>
      <c r="DP99" s="51">
        <v>0</v>
      </c>
      <c r="DQ99" s="42">
        <v>0</v>
      </c>
      <c r="DR99" s="32">
        <v>0.38897110207891816</v>
      </c>
      <c r="DS99" s="32">
        <v>0.14433756729740643</v>
      </c>
      <c r="DT99" s="33">
        <v>0</v>
      </c>
    </row>
    <row r="100" spans="1:124" ht="12" customHeight="1" x14ac:dyDescent="0.2">
      <c r="A100" s="1"/>
      <c r="B100" s="25"/>
      <c r="C100" s="47"/>
      <c r="D100" s="68">
        <v>1.4</v>
      </c>
      <c r="E100" s="85">
        <f t="shared" si="93"/>
        <v>2.7900000000000001E-2</v>
      </c>
      <c r="F100" s="85">
        <f t="shared" si="94"/>
        <v>3.9399999999999998E-2</v>
      </c>
      <c r="G100" s="85">
        <f t="shared" si="95"/>
        <v>8.0920000000000006E-2</v>
      </c>
      <c r="H100" s="85">
        <f t="shared" si="96"/>
        <v>1.8089999999999998E-2</v>
      </c>
      <c r="I100" s="85">
        <f t="shared" si="97"/>
        <v>0</v>
      </c>
      <c r="J100" s="85">
        <f t="shared" si="98"/>
        <v>0</v>
      </c>
      <c r="K100" s="85">
        <f t="shared" si="99"/>
        <v>0.39690173764470971</v>
      </c>
      <c r="L100" s="85">
        <f t="shared" si="100"/>
        <v>0.14433756729740643</v>
      </c>
      <c r="M100" s="85">
        <f t="shared" si="101"/>
        <v>0</v>
      </c>
      <c r="N100" s="1"/>
      <c r="P100" s="15"/>
      <c r="Q100" s="28"/>
      <c r="R100" s="31">
        <v>1.4</v>
      </c>
      <c r="S100" s="37">
        <v>2.7900000000000001E-2</v>
      </c>
      <c r="T100" s="32">
        <v>3.9399999999999998E-2</v>
      </c>
      <c r="U100" s="32">
        <v>8.0920000000000006E-2</v>
      </c>
      <c r="V100" s="32">
        <v>1.8089999999999998E-2</v>
      </c>
      <c r="W100" s="30">
        <v>0</v>
      </c>
      <c r="X100" s="42">
        <v>0</v>
      </c>
      <c r="Y100" s="32">
        <v>0.39690173764470971</v>
      </c>
      <c r="Z100" s="32">
        <v>0.14433756729740643</v>
      </c>
      <c r="AA100" s="33">
        <v>0</v>
      </c>
      <c r="AC100" s="15"/>
      <c r="AD100" s="28"/>
      <c r="AE100" s="31">
        <v>1.4</v>
      </c>
      <c r="AF100" s="37">
        <v>2.8899999999999999E-2</v>
      </c>
      <c r="AG100" s="32">
        <f>1/26.6</f>
        <v>3.7593984962406013E-2</v>
      </c>
      <c r="AH100" s="32">
        <f>1/12.3</f>
        <v>8.1300813008130079E-2</v>
      </c>
      <c r="AI100" s="32">
        <f>1/74.6</f>
        <v>1.3404825737265416E-2</v>
      </c>
      <c r="AJ100" s="30">
        <v>0</v>
      </c>
      <c r="AK100" s="42">
        <v>0</v>
      </c>
      <c r="AL100" s="32">
        <v>0.39690173764470971</v>
      </c>
      <c r="AM100" s="32">
        <v>0.14433756729740643</v>
      </c>
      <c r="AN100" s="33">
        <v>0</v>
      </c>
      <c r="AP100" s="15"/>
      <c r="AQ100" s="28"/>
      <c r="AR100" s="31">
        <v>1.4</v>
      </c>
      <c r="AS100" s="45">
        <f t="shared" si="125"/>
        <v>2.7743999999999998E-2</v>
      </c>
      <c r="AT100" s="32">
        <f>1/24.8</f>
        <v>4.0322580645161289E-2</v>
      </c>
      <c r="AU100" s="32">
        <f>1/12.3</f>
        <v>8.1300813008130079E-2</v>
      </c>
      <c r="AV100" s="32">
        <f>1/47.8</f>
        <v>2.0920502092050212E-2</v>
      </c>
      <c r="AW100" s="30">
        <v>0</v>
      </c>
      <c r="AX100" s="42">
        <v>0</v>
      </c>
      <c r="AY100" s="32">
        <v>0.39690173764470971</v>
      </c>
      <c r="AZ100" s="32">
        <v>0.14433756729740643</v>
      </c>
      <c r="BA100" s="33">
        <v>0</v>
      </c>
      <c r="BC100" s="25"/>
      <c r="BD100" s="47"/>
      <c r="BE100" s="53">
        <v>1.4</v>
      </c>
      <c r="BF100" s="49">
        <v>2.8043679999999988E-2</v>
      </c>
      <c r="BG100" s="50">
        <v>3.8600000000000002E-2</v>
      </c>
      <c r="BH100" s="50">
        <v>8.1100000000000005E-2</v>
      </c>
      <c r="BI100" s="50">
        <v>1.3327999999999998E-2</v>
      </c>
      <c r="BJ100" s="51">
        <v>0</v>
      </c>
      <c r="BK100" s="42">
        <v>0</v>
      </c>
      <c r="BL100" s="32">
        <v>0.39690173764470971</v>
      </c>
      <c r="BM100" s="32">
        <v>0.14433756729740643</v>
      </c>
      <c r="BN100" s="33">
        <v>0</v>
      </c>
      <c r="BP100" s="15"/>
      <c r="BQ100" s="28"/>
      <c r="BR100" s="31">
        <v>1.4</v>
      </c>
      <c r="BS100" s="45">
        <f t="shared" si="126"/>
        <v>2.7302758718929867E-2</v>
      </c>
      <c r="BT100" s="78">
        <f t="shared" si="119"/>
        <v>3.4269612495836092E-2</v>
      </c>
      <c r="BU100" s="78">
        <f t="shared" si="127"/>
        <v>7.9209553972024282E-2</v>
      </c>
      <c r="BV100" s="83">
        <f t="shared" si="120"/>
        <v>1.1143983150583622E-2</v>
      </c>
      <c r="BW100" s="79">
        <v>0</v>
      </c>
      <c r="BX100" s="42">
        <v>0</v>
      </c>
      <c r="BY100" s="32">
        <v>0.39690173764470971</v>
      </c>
      <c r="BZ100" s="32">
        <v>0.14433756729740643</v>
      </c>
      <c r="CA100" s="33">
        <v>0</v>
      </c>
      <c r="CB100" s="37">
        <f t="shared" si="121"/>
        <v>0.95051464766429139</v>
      </c>
      <c r="CC100" s="37">
        <f t="shared" si="128"/>
        <v>4.948535233570861E-2</v>
      </c>
      <c r="CD100" s="35">
        <v>24</v>
      </c>
      <c r="CE100" s="35">
        <v>8</v>
      </c>
      <c r="CF100" s="37">
        <f t="shared" si="122"/>
        <v>0.86528987419723757</v>
      </c>
      <c r="CG100" s="37">
        <f t="shared" si="123"/>
        <v>0.91917392451834257</v>
      </c>
      <c r="CI100" s="15"/>
      <c r="CJ100" s="28"/>
      <c r="CK100" s="31">
        <v>1.4</v>
      </c>
      <c r="CL100" s="45">
        <f t="shared" si="124"/>
        <v>2.621064837017267E-2</v>
      </c>
      <c r="CM100" s="78">
        <f t="shared" si="129"/>
        <v>3.6498409125952813E-2</v>
      </c>
      <c r="CN100" s="78">
        <v>7.9209553972024282E-2</v>
      </c>
      <c r="CO100" s="78">
        <f t="shared" si="130"/>
        <v>1.7997905649750841E-2</v>
      </c>
      <c r="CP100" s="79">
        <v>0</v>
      </c>
      <c r="CQ100" s="42">
        <v>0</v>
      </c>
      <c r="CR100" s="32">
        <v>0.39690173764470971</v>
      </c>
      <c r="CS100" s="32">
        <v>0.14433756729740643</v>
      </c>
      <c r="CT100" s="33">
        <v>0</v>
      </c>
      <c r="CV100" s="25"/>
      <c r="CW100" s="47"/>
      <c r="CX100" s="53">
        <v>1.4</v>
      </c>
      <c r="CY100" s="45">
        <f t="shared" si="131"/>
        <v>2.8689186700767252E-2</v>
      </c>
      <c r="CZ100" s="78">
        <f t="shared" si="132"/>
        <v>3.7443273657289007E-2</v>
      </c>
      <c r="DA100" s="50">
        <v>8.1099999999999992E-2</v>
      </c>
      <c r="DB100" s="78">
        <f t="shared" si="133"/>
        <v>7.7115089514066476E-3</v>
      </c>
      <c r="DC100" s="51">
        <v>0</v>
      </c>
      <c r="DD100" s="42">
        <v>0</v>
      </c>
      <c r="DE100" s="32">
        <v>0.39690173764470971</v>
      </c>
      <c r="DF100" s="32">
        <v>0.14433756729740643</v>
      </c>
      <c r="DG100" s="33">
        <v>0</v>
      </c>
      <c r="DI100" s="25"/>
      <c r="DJ100" s="47"/>
      <c r="DK100" s="53">
        <v>1.4</v>
      </c>
      <c r="DL100" s="49">
        <v>2.7999999999999997E-2</v>
      </c>
      <c r="DM100" s="50">
        <v>3.8599999999999995E-2</v>
      </c>
      <c r="DN100" s="50">
        <v>8.1099999999999992E-2</v>
      </c>
      <c r="DO100" s="50">
        <v>1.3300000000000001E-2</v>
      </c>
      <c r="DP100" s="51">
        <v>0</v>
      </c>
      <c r="DQ100" s="42">
        <v>0</v>
      </c>
      <c r="DR100" s="32">
        <v>0.39690173764470971</v>
      </c>
      <c r="DS100" s="32">
        <v>0.14433756729740643</v>
      </c>
      <c r="DT100" s="33">
        <v>0</v>
      </c>
    </row>
    <row r="101" spans="1:124" ht="12" customHeight="1" x14ac:dyDescent="0.2">
      <c r="A101" s="1"/>
      <c r="B101" s="25"/>
      <c r="C101" s="47"/>
      <c r="D101" s="68">
        <v>1.5</v>
      </c>
      <c r="E101" s="85">
        <f t="shared" si="93"/>
        <v>2.86E-2</v>
      </c>
      <c r="F101" s="85">
        <f t="shared" si="94"/>
        <v>4.0309999999999999E-2</v>
      </c>
      <c r="G101" s="85">
        <f t="shared" si="95"/>
        <v>8.2129999999999995E-2</v>
      </c>
      <c r="H101" s="85">
        <f t="shared" si="96"/>
        <v>1.7919999999999998E-2</v>
      </c>
      <c r="I101" s="85">
        <f t="shared" si="97"/>
        <v>0</v>
      </c>
      <c r="J101" s="85">
        <f t="shared" si="98"/>
        <v>0</v>
      </c>
      <c r="K101" s="85">
        <f t="shared" si="99"/>
        <v>0.4037749551350624</v>
      </c>
      <c r="L101" s="85">
        <f t="shared" si="100"/>
        <v>0.14433756729740643</v>
      </c>
      <c r="M101" s="85">
        <f t="shared" si="101"/>
        <v>0</v>
      </c>
      <c r="N101" s="1"/>
      <c r="P101" s="15"/>
      <c r="Q101" s="28"/>
      <c r="R101" s="31">
        <v>1.5</v>
      </c>
      <c r="S101" s="37">
        <v>2.86E-2</v>
      </c>
      <c r="T101" s="32">
        <v>4.0309999999999999E-2</v>
      </c>
      <c r="U101" s="32">
        <v>8.2129999999999995E-2</v>
      </c>
      <c r="V101" s="32">
        <v>1.7919999999999998E-2</v>
      </c>
      <c r="W101" s="30">
        <v>0</v>
      </c>
      <c r="X101" s="42">
        <v>0</v>
      </c>
      <c r="Y101" s="32">
        <v>0.4037749551350624</v>
      </c>
      <c r="Z101" s="32">
        <v>0.14433756729740643</v>
      </c>
      <c r="AA101" s="33">
        <v>0</v>
      </c>
      <c r="AC101" s="15"/>
      <c r="AD101" s="28"/>
      <c r="AE101" s="31">
        <v>1.5</v>
      </c>
      <c r="AF101" s="37">
        <v>2.9700000000000001E-2</v>
      </c>
      <c r="AG101" s="32">
        <f>1/25.8</f>
        <v>3.875968992248062E-2</v>
      </c>
      <c r="AH101" s="32">
        <f>1/12.2</f>
        <v>8.1967213114754106E-2</v>
      </c>
      <c r="AI101" s="32">
        <f>1/75.8</f>
        <v>1.3192612137203167E-2</v>
      </c>
      <c r="AJ101" s="30">
        <v>0</v>
      </c>
      <c r="AK101" s="42">
        <v>0</v>
      </c>
      <c r="AL101" s="32">
        <v>0.4037749551350624</v>
      </c>
      <c r="AM101" s="32">
        <v>0.14433756729740643</v>
      </c>
      <c r="AN101" s="33">
        <v>0</v>
      </c>
      <c r="AP101" s="15"/>
      <c r="AQ101" s="28"/>
      <c r="AR101" s="31">
        <v>1.5</v>
      </c>
      <c r="AS101" s="45">
        <f t="shared" si="125"/>
        <v>2.8511999999999999E-2</v>
      </c>
      <c r="AT101" s="32">
        <f>1/24.2</f>
        <v>4.1322314049586778E-2</v>
      </c>
      <c r="AU101" s="32">
        <f>1/12.2</f>
        <v>8.1967213114754106E-2</v>
      </c>
      <c r="AV101" s="32">
        <f>1/47.6</f>
        <v>2.1008403361344536E-2</v>
      </c>
      <c r="AW101" s="30">
        <v>0</v>
      </c>
      <c r="AX101" s="42">
        <v>0</v>
      </c>
      <c r="AY101" s="32">
        <v>0.4037749551350624</v>
      </c>
      <c r="AZ101" s="32">
        <v>0.14433756729740643</v>
      </c>
      <c r="BA101" s="33">
        <v>0</v>
      </c>
      <c r="BC101" s="25"/>
      <c r="BD101" s="47"/>
      <c r="BE101" s="53">
        <v>1.5</v>
      </c>
      <c r="BF101" s="49">
        <v>2.885625E-2</v>
      </c>
      <c r="BG101" s="50">
        <v>3.9600000000000003E-2</v>
      </c>
      <c r="BH101" s="50">
        <v>8.1500000000000003E-2</v>
      </c>
      <c r="BI101" s="50">
        <v>1.1925E-2</v>
      </c>
      <c r="BJ101" s="51">
        <v>0</v>
      </c>
      <c r="BK101" s="42">
        <v>0</v>
      </c>
      <c r="BL101" s="32">
        <v>0.4037749551350624</v>
      </c>
      <c r="BM101" s="32">
        <v>0.14433756729740643</v>
      </c>
      <c r="BN101" s="33">
        <v>0</v>
      </c>
      <c r="BP101" s="15"/>
      <c r="BQ101" s="28"/>
      <c r="BR101" s="31">
        <v>1.5</v>
      </c>
      <c r="BS101" s="45">
        <f t="shared" si="126"/>
        <v>2.7920141220146591E-2</v>
      </c>
      <c r="BT101" s="78">
        <f t="shared" si="119"/>
        <v>3.532266800570974E-2</v>
      </c>
      <c r="BU101" s="78">
        <f t="shared" si="127"/>
        <v>8.0166270783847984E-2</v>
      </c>
      <c r="BV101" s="83">
        <f t="shared" si="120"/>
        <v>9.9271613227187878E-3</v>
      </c>
      <c r="BW101" s="79">
        <v>0</v>
      </c>
      <c r="BX101" s="42">
        <v>0</v>
      </c>
      <c r="BY101" s="32">
        <v>0.4037749551350624</v>
      </c>
      <c r="BZ101" s="32">
        <v>0.14433756729740643</v>
      </c>
      <c r="CA101" s="33">
        <v>0</v>
      </c>
      <c r="CB101" s="37">
        <f t="shared" si="121"/>
        <v>0.96199524940617576</v>
      </c>
      <c r="CC101" s="37">
        <f t="shared" si="128"/>
        <v>3.8004750593824244E-2</v>
      </c>
      <c r="CD101" s="35">
        <v>24</v>
      </c>
      <c r="CE101" s="35">
        <v>8</v>
      </c>
      <c r="CF101" s="37">
        <f t="shared" si="122"/>
        <v>0.88123515439429934</v>
      </c>
      <c r="CG101" s="37">
        <f t="shared" si="123"/>
        <v>0.92874109263657956</v>
      </c>
      <c r="CI101" s="15"/>
      <c r="CJ101" s="28"/>
      <c r="CK101" s="31">
        <v>1.5</v>
      </c>
      <c r="CL101" s="45">
        <f t="shared" si="124"/>
        <v>2.6803335571340726E-2</v>
      </c>
      <c r="CM101" s="78">
        <f t="shared" si="129"/>
        <v>3.7308100270253497E-2</v>
      </c>
      <c r="CN101" s="78">
        <v>8.0166270783847984E-2</v>
      </c>
      <c r="CO101" s="78">
        <f t="shared" si="130"/>
        <v>1.6991694923860736E-2</v>
      </c>
      <c r="CP101" s="79">
        <v>0</v>
      </c>
      <c r="CQ101" s="42">
        <v>0</v>
      </c>
      <c r="CR101" s="32">
        <v>0.4037749551350624</v>
      </c>
      <c r="CS101" s="32">
        <v>0.14433756729740643</v>
      </c>
      <c r="CT101" s="33">
        <v>0</v>
      </c>
      <c r="CV101" s="25"/>
      <c r="CW101" s="47"/>
      <c r="CX101" s="53">
        <v>1.5</v>
      </c>
      <c r="CY101" s="45">
        <f t="shared" si="131"/>
        <v>2.9520460358056267E-2</v>
      </c>
      <c r="CZ101" s="78">
        <f t="shared" si="132"/>
        <v>3.8681585677749368E-2</v>
      </c>
      <c r="DA101" s="50">
        <v>8.1500000000000003E-2</v>
      </c>
      <c r="DB101" s="78">
        <f t="shared" si="133"/>
        <v>6.122762148337596E-3</v>
      </c>
      <c r="DC101" s="51">
        <v>0</v>
      </c>
      <c r="DD101" s="42">
        <v>0</v>
      </c>
      <c r="DE101" s="32">
        <v>0.4037749551350624</v>
      </c>
      <c r="DF101" s="32">
        <v>0.14433756729740643</v>
      </c>
      <c r="DG101" s="33">
        <v>0</v>
      </c>
      <c r="DI101" s="25"/>
      <c r="DJ101" s="47"/>
      <c r="DK101" s="53">
        <v>1.5</v>
      </c>
      <c r="DL101" s="49">
        <v>2.8900000000000002E-2</v>
      </c>
      <c r="DM101" s="50">
        <v>3.9599999999999996E-2</v>
      </c>
      <c r="DN101" s="50">
        <v>8.1500000000000003E-2</v>
      </c>
      <c r="DO101" s="50">
        <v>1.1899999999999999E-2</v>
      </c>
      <c r="DP101" s="51">
        <v>0</v>
      </c>
      <c r="DQ101" s="42">
        <v>0</v>
      </c>
      <c r="DR101" s="32">
        <v>0.4037749551350624</v>
      </c>
      <c r="DS101" s="32">
        <v>0.14433756729740643</v>
      </c>
      <c r="DT101" s="33">
        <v>0</v>
      </c>
    </row>
    <row r="102" spans="1:124" ht="12" customHeight="1" x14ac:dyDescent="0.2">
      <c r="A102" s="1"/>
      <c r="B102" s="25"/>
      <c r="C102" s="47"/>
      <c r="D102" s="68">
        <v>1.6</v>
      </c>
      <c r="E102" s="85">
        <f t="shared" si="93"/>
        <v>2.9100000000000001E-2</v>
      </c>
      <c r="F102" s="85">
        <f t="shared" si="94"/>
        <v>4.0989999999999999E-2</v>
      </c>
      <c r="G102" s="85">
        <f t="shared" si="95"/>
        <v>8.2970000000000002E-2</v>
      </c>
      <c r="H102" s="85">
        <f t="shared" si="96"/>
        <v>1.7729999999999999E-2</v>
      </c>
      <c r="I102" s="85">
        <f t="shared" si="97"/>
        <v>0</v>
      </c>
      <c r="J102" s="85">
        <f t="shared" si="98"/>
        <v>0</v>
      </c>
      <c r="K102" s="85">
        <f t="shared" si="99"/>
        <v>0.40978902043912102</v>
      </c>
      <c r="L102" s="85">
        <f t="shared" si="100"/>
        <v>0.14433756729740643</v>
      </c>
      <c r="M102" s="85">
        <f t="shared" si="101"/>
        <v>0</v>
      </c>
      <c r="N102" s="1"/>
      <c r="P102" s="15"/>
      <c r="Q102" s="28"/>
      <c r="R102" s="31">
        <v>1.6</v>
      </c>
      <c r="S102" s="37">
        <v>2.9100000000000001E-2</v>
      </c>
      <c r="T102" s="32">
        <v>4.0989999999999999E-2</v>
      </c>
      <c r="U102" s="32">
        <v>8.2970000000000002E-2</v>
      </c>
      <c r="V102" s="32">
        <v>1.7729999999999999E-2</v>
      </c>
      <c r="W102" s="30">
        <v>0</v>
      </c>
      <c r="X102" s="42">
        <v>0</v>
      </c>
      <c r="Y102" s="32">
        <v>0.40978902043912102</v>
      </c>
      <c r="Z102" s="32">
        <v>0.14433756729740643</v>
      </c>
      <c r="AA102" s="33">
        <v>0</v>
      </c>
      <c r="AC102" s="15"/>
      <c r="AD102" s="28"/>
      <c r="AE102" s="31">
        <v>1.6</v>
      </c>
      <c r="AF102" s="37">
        <v>3.0200000000000001E-2</v>
      </c>
      <c r="AG102" s="32">
        <f>1/25.2</f>
        <v>3.968253968253968E-2</v>
      </c>
      <c r="AH102" s="32">
        <f>1/12</f>
        <v>8.3333333333333329E-2</v>
      </c>
      <c r="AI102" s="32">
        <f>1/77</f>
        <v>1.2987012987012988E-2</v>
      </c>
      <c r="AJ102" s="30">
        <v>0</v>
      </c>
      <c r="AK102" s="42">
        <v>0</v>
      </c>
      <c r="AL102" s="32">
        <v>0.40978902043912102</v>
      </c>
      <c r="AM102" s="32">
        <v>0.14433756729740643</v>
      </c>
      <c r="AN102" s="33">
        <v>0</v>
      </c>
      <c r="AP102" s="15"/>
      <c r="AQ102" s="28"/>
      <c r="AR102" s="31">
        <v>1.6</v>
      </c>
      <c r="AS102" s="45">
        <f t="shared" si="125"/>
        <v>2.8992E-2</v>
      </c>
      <c r="AT102" s="32">
        <f>1/24</f>
        <v>4.1666666666666664E-2</v>
      </c>
      <c r="AU102" s="32">
        <f>1/12</f>
        <v>8.3333333333333329E-2</v>
      </c>
      <c r="AV102" s="32">
        <f>1/47.6</f>
        <v>2.1008403361344536E-2</v>
      </c>
      <c r="AW102" s="30">
        <v>0</v>
      </c>
      <c r="AX102" s="42">
        <v>0</v>
      </c>
      <c r="AY102" s="32">
        <v>0.40978902043912102</v>
      </c>
      <c r="AZ102" s="32">
        <v>0.14433756729740643</v>
      </c>
      <c r="BA102" s="33">
        <v>0</v>
      </c>
      <c r="BC102" s="25"/>
      <c r="BD102" s="47"/>
      <c r="BE102" s="53">
        <v>1.6</v>
      </c>
      <c r="BF102" s="49">
        <v>2.9491200000000016E-2</v>
      </c>
      <c r="BG102" s="50">
        <v>4.0399999999999998E-2</v>
      </c>
      <c r="BH102" s="50">
        <v>8.2500000000000004E-2</v>
      </c>
      <c r="BI102" s="50">
        <v>1.0752000000000003E-2</v>
      </c>
      <c r="BJ102" s="51">
        <v>0</v>
      </c>
      <c r="BK102" s="42">
        <v>0</v>
      </c>
      <c r="BL102" s="32">
        <v>0.40978902043912102</v>
      </c>
      <c r="BM102" s="32">
        <v>0.14433756729740643</v>
      </c>
      <c r="BN102" s="33">
        <v>0</v>
      </c>
      <c r="BP102" s="15"/>
      <c r="BQ102" s="28"/>
      <c r="BR102" s="31">
        <v>1.6</v>
      </c>
      <c r="BS102" s="45">
        <f t="shared" si="126"/>
        <v>2.8408777216267802E-2</v>
      </c>
      <c r="BT102" s="78">
        <f t="shared" si="119"/>
        <v>3.6175444802372551E-2</v>
      </c>
      <c r="BU102" s="78">
        <f t="shared" si="127"/>
        <v>8.0865513701334601E-2</v>
      </c>
      <c r="BV102" s="83">
        <f t="shared" si="120"/>
        <v>8.8777428800836857E-3</v>
      </c>
      <c r="BW102" s="79">
        <v>0</v>
      </c>
      <c r="BX102" s="42">
        <v>0</v>
      </c>
      <c r="BY102" s="32">
        <v>0.40978902043912102</v>
      </c>
      <c r="BZ102" s="32">
        <v>0.14433756729740643</v>
      </c>
      <c r="CA102" s="33">
        <v>0</v>
      </c>
      <c r="CB102" s="37">
        <f t="shared" si="121"/>
        <v>0.97038616441601522</v>
      </c>
      <c r="CC102" s="37">
        <f t="shared" si="128"/>
        <v>2.9613835583984782E-2</v>
      </c>
      <c r="CD102" s="35">
        <v>24</v>
      </c>
      <c r="CE102" s="35">
        <v>8</v>
      </c>
      <c r="CF102" s="37">
        <f t="shared" si="122"/>
        <v>0.8947063623680539</v>
      </c>
      <c r="CG102" s="37">
        <f t="shared" si="123"/>
        <v>0.93682381742083243</v>
      </c>
      <c r="CI102" s="15"/>
      <c r="CJ102" s="28"/>
      <c r="CK102" s="31">
        <v>1.6</v>
      </c>
      <c r="CL102" s="45">
        <f t="shared" si="124"/>
        <v>2.7272426127617089E-2</v>
      </c>
      <c r="CM102" s="78">
        <f t="shared" si="129"/>
        <v>3.7950993378389287E-2</v>
      </c>
      <c r="CN102" s="78">
        <v>8.0865513701334601E-2</v>
      </c>
      <c r="CO102" s="78">
        <f t="shared" si="130"/>
        <v>1.6112831840558197E-2</v>
      </c>
      <c r="CP102" s="79">
        <v>0</v>
      </c>
      <c r="CQ102" s="42">
        <v>0</v>
      </c>
      <c r="CR102" s="32">
        <v>0.40978902043912102</v>
      </c>
      <c r="CS102" s="32">
        <v>0.14433756729740643</v>
      </c>
      <c r="CT102" s="33">
        <v>0</v>
      </c>
      <c r="CV102" s="25"/>
      <c r="CW102" s="47"/>
      <c r="CX102" s="53">
        <v>1.6</v>
      </c>
      <c r="CY102" s="45">
        <f t="shared" si="131"/>
        <v>3.0170025575447589E-2</v>
      </c>
      <c r="CZ102" s="78">
        <f t="shared" si="132"/>
        <v>3.968E-2</v>
      </c>
      <c r="DA102" s="50">
        <v>8.2500000000000004E-2</v>
      </c>
      <c r="DB102" s="78">
        <f t="shared" si="133"/>
        <v>4.8000000000000039E-3</v>
      </c>
      <c r="DC102" s="51">
        <v>0</v>
      </c>
      <c r="DD102" s="42">
        <v>0</v>
      </c>
      <c r="DE102" s="32">
        <v>0.40978902043912102</v>
      </c>
      <c r="DF102" s="32">
        <v>0.14433756729740643</v>
      </c>
      <c r="DG102" s="33">
        <v>0</v>
      </c>
      <c r="DI102" s="25"/>
      <c r="DJ102" s="47"/>
      <c r="DK102" s="53">
        <v>1.6</v>
      </c>
      <c r="DL102" s="49">
        <v>2.92E-2</v>
      </c>
      <c r="DM102" s="50">
        <v>4.0399999999999998E-2</v>
      </c>
      <c r="DN102" s="50">
        <v>8.2500000000000004E-2</v>
      </c>
      <c r="DO102" s="50">
        <v>1.0800000000000001E-2</v>
      </c>
      <c r="DP102" s="51">
        <v>0</v>
      </c>
      <c r="DQ102" s="42">
        <v>0</v>
      </c>
      <c r="DR102" s="32">
        <v>0.40978902043912102</v>
      </c>
      <c r="DS102" s="32">
        <v>0.14433756729740643</v>
      </c>
      <c r="DT102" s="33">
        <v>0</v>
      </c>
    </row>
    <row r="103" spans="1:124" ht="12" customHeight="1" x14ac:dyDescent="0.2">
      <c r="A103" s="1"/>
      <c r="B103" s="25"/>
      <c r="C103" s="47"/>
      <c r="D103" s="68">
        <v>1.7</v>
      </c>
      <c r="E103" s="85">
        <f t="shared" si="93"/>
        <v>2.9499999999999998E-2</v>
      </c>
      <c r="F103" s="85">
        <f t="shared" si="94"/>
        <v>4.1480000000000003E-2</v>
      </c>
      <c r="G103" s="85">
        <f t="shared" si="95"/>
        <v>8.3540000000000003E-2</v>
      </c>
      <c r="H103" s="85">
        <f t="shared" si="96"/>
        <v>1.7610000000000001E-2</v>
      </c>
      <c r="I103" s="85">
        <f t="shared" si="97"/>
        <v>0</v>
      </c>
      <c r="J103" s="85">
        <f t="shared" si="98"/>
        <v>0</v>
      </c>
      <c r="K103" s="85">
        <f t="shared" si="99"/>
        <v>0.41509554864858444</v>
      </c>
      <c r="L103" s="85">
        <f t="shared" si="100"/>
        <v>0.14433756729740643</v>
      </c>
      <c r="M103" s="85">
        <f t="shared" si="101"/>
        <v>0</v>
      </c>
      <c r="N103" s="1"/>
      <c r="P103" s="15"/>
      <c r="Q103" s="28"/>
      <c r="R103" s="31">
        <v>1.7</v>
      </c>
      <c r="S103" s="37">
        <v>2.9499999999999998E-2</v>
      </c>
      <c r="T103" s="32">
        <v>4.1480000000000003E-2</v>
      </c>
      <c r="U103" s="32">
        <v>8.3540000000000003E-2</v>
      </c>
      <c r="V103" s="32">
        <v>1.7610000000000001E-2</v>
      </c>
      <c r="W103" s="30">
        <v>0</v>
      </c>
      <c r="X103" s="42">
        <v>0</v>
      </c>
      <c r="Y103" s="32">
        <v>0.41509554864858444</v>
      </c>
      <c r="Z103" s="32">
        <v>0.14433756729740643</v>
      </c>
      <c r="AA103" s="33">
        <v>0</v>
      </c>
      <c r="AC103" s="15"/>
      <c r="AD103" s="28"/>
      <c r="AE103" s="31">
        <v>1.7</v>
      </c>
      <c r="AF103" s="37">
        <v>3.0700000000000002E-2</v>
      </c>
      <c r="AG103" s="32">
        <f>1/24.7</f>
        <v>4.048582995951417E-2</v>
      </c>
      <c r="AH103" s="32">
        <f>1/12</f>
        <v>8.3333333333333329E-2</v>
      </c>
      <c r="AI103" s="32">
        <f>1/77</f>
        <v>1.2987012987012988E-2</v>
      </c>
      <c r="AJ103" s="30">
        <v>0</v>
      </c>
      <c r="AK103" s="42">
        <v>0</v>
      </c>
      <c r="AL103" s="32">
        <v>0.41509554864858444</v>
      </c>
      <c r="AM103" s="32">
        <v>0.14433756729740643</v>
      </c>
      <c r="AN103" s="33">
        <v>0</v>
      </c>
      <c r="AP103" s="15"/>
      <c r="AQ103" s="28"/>
      <c r="AR103" s="31">
        <v>1.7</v>
      </c>
      <c r="AS103" s="45">
        <f t="shared" si="125"/>
        <v>2.9472000000000002E-2</v>
      </c>
      <c r="AT103" s="32">
        <f>1/24</f>
        <v>4.1666666666666664E-2</v>
      </c>
      <c r="AU103" s="32">
        <f>1/12</f>
        <v>8.3333333333333329E-2</v>
      </c>
      <c r="AV103" s="32">
        <f>1/47.4</f>
        <v>2.1097046413502109E-2</v>
      </c>
      <c r="AW103" s="30">
        <v>0</v>
      </c>
      <c r="AX103" s="42">
        <v>0</v>
      </c>
      <c r="AY103" s="32">
        <v>0.41509554864858444</v>
      </c>
      <c r="AZ103" s="32">
        <v>0.14433756729740643</v>
      </c>
      <c r="BA103" s="33">
        <v>0</v>
      </c>
      <c r="BC103" s="25"/>
      <c r="BD103" s="47"/>
      <c r="BE103" s="53">
        <v>1.7</v>
      </c>
      <c r="BF103" s="49">
        <v>3.0067559999999993E-2</v>
      </c>
      <c r="BG103" s="50">
        <v>4.1000000000000002E-2</v>
      </c>
      <c r="BH103" s="50">
        <v>8.3000000000000004E-2</v>
      </c>
      <c r="BI103" s="50">
        <v>9.8259999999999997E-3</v>
      </c>
      <c r="BJ103" s="51">
        <v>0</v>
      </c>
      <c r="BK103" s="42">
        <v>0</v>
      </c>
      <c r="BL103" s="32">
        <v>0.41509554864858444</v>
      </c>
      <c r="BM103" s="32">
        <v>0.14433756729740643</v>
      </c>
      <c r="BN103" s="33">
        <v>0</v>
      </c>
      <c r="BP103" s="15"/>
      <c r="BQ103" s="28"/>
      <c r="BR103" s="31">
        <v>1.7</v>
      </c>
      <c r="BS103" s="45">
        <f t="shared" si="126"/>
        <v>2.8800300595744933E-2</v>
      </c>
      <c r="BT103" s="78">
        <f t="shared" si="119"/>
        <v>3.6872503238287328E-2</v>
      </c>
      <c r="BU103" s="78">
        <f t="shared" si="127"/>
        <v>8.1384494256771245E-2</v>
      </c>
      <c r="BV103" s="83">
        <f t="shared" si="120"/>
        <v>7.972401548995138E-3</v>
      </c>
      <c r="BW103" s="79">
        <v>0</v>
      </c>
      <c r="BX103" s="42">
        <v>0</v>
      </c>
      <c r="BY103" s="32">
        <v>0.41509554864858444</v>
      </c>
      <c r="BZ103" s="32">
        <v>0.14433756729740643</v>
      </c>
      <c r="CA103" s="33">
        <v>0</v>
      </c>
      <c r="CB103" s="37">
        <f t="shared" si="121"/>
        <v>0.97661393108125494</v>
      </c>
      <c r="CC103" s="37">
        <f t="shared" si="128"/>
        <v>2.3386068918745062E-2</v>
      </c>
      <c r="CD103" s="35">
        <v>24</v>
      </c>
      <c r="CE103" s="35">
        <v>8</v>
      </c>
      <c r="CF103" s="37">
        <f t="shared" si="122"/>
        <v>0.90613091781225918</v>
      </c>
      <c r="CG103" s="37">
        <f t="shared" si="123"/>
        <v>0.94367855068735562</v>
      </c>
      <c r="CI103" s="15"/>
      <c r="CJ103" s="28"/>
      <c r="CK103" s="31">
        <v>1.7</v>
      </c>
      <c r="CL103" s="45">
        <f t="shared" si="124"/>
        <v>2.7648288571915137E-2</v>
      </c>
      <c r="CM103" s="78">
        <f t="shared" si="129"/>
        <v>3.8466983548086357E-2</v>
      </c>
      <c r="CN103" s="78">
        <v>8.1384494256771245E-2</v>
      </c>
      <c r="CO103" s="78">
        <f t="shared" si="130"/>
        <v>1.5346902196652603E-2</v>
      </c>
      <c r="CP103" s="79">
        <v>0</v>
      </c>
      <c r="CQ103" s="42">
        <v>0</v>
      </c>
      <c r="CR103" s="32">
        <v>0.41509554864858444</v>
      </c>
      <c r="CS103" s="32">
        <v>0.14433756729740643</v>
      </c>
      <c r="CT103" s="33">
        <v>0</v>
      </c>
      <c r="CV103" s="25"/>
      <c r="CW103" s="47"/>
      <c r="CX103" s="53">
        <v>1.7</v>
      </c>
      <c r="CY103" s="45">
        <f t="shared" si="131"/>
        <v>3.0759652173913039E-2</v>
      </c>
      <c r="CZ103" s="78">
        <f t="shared" si="132"/>
        <v>4.0435907928388748E-2</v>
      </c>
      <c r="DA103" s="50">
        <v>8.3000000000000004E-2</v>
      </c>
      <c r="DB103" s="78">
        <f t="shared" si="133"/>
        <v>3.7606138107416877E-3</v>
      </c>
      <c r="DC103" s="51">
        <v>0</v>
      </c>
      <c r="DD103" s="42">
        <v>0</v>
      </c>
      <c r="DE103" s="32">
        <v>0.41509554864858444</v>
      </c>
      <c r="DF103" s="32">
        <v>0.14433756729740643</v>
      </c>
      <c r="DG103" s="33">
        <v>0</v>
      </c>
      <c r="DI103" s="25"/>
      <c r="DJ103" s="47"/>
      <c r="DK103" s="53">
        <v>1.7</v>
      </c>
      <c r="DL103" s="49">
        <v>2.9300000000000003E-2</v>
      </c>
      <c r="DM103" s="50">
        <v>4.0999999999999995E-2</v>
      </c>
      <c r="DN103" s="50">
        <v>8.3000000000000004E-2</v>
      </c>
      <c r="DO103" s="50">
        <v>9.7999999999999997E-3</v>
      </c>
      <c r="DP103" s="51">
        <v>0</v>
      </c>
      <c r="DQ103" s="42">
        <v>0</v>
      </c>
      <c r="DR103" s="32">
        <v>0.41509554864858444</v>
      </c>
      <c r="DS103" s="32">
        <v>0.14433756729740643</v>
      </c>
      <c r="DT103" s="33">
        <v>0</v>
      </c>
    </row>
    <row r="104" spans="1:124" ht="12" customHeight="1" x14ac:dyDescent="0.2">
      <c r="A104" s="1"/>
      <c r="B104" s="25"/>
      <c r="C104" s="47"/>
      <c r="D104" s="68">
        <v>1.8</v>
      </c>
      <c r="E104" s="85">
        <f t="shared" si="93"/>
        <v>2.98E-2</v>
      </c>
      <c r="F104" s="85">
        <f t="shared" si="94"/>
        <v>4.1820000000000003E-2</v>
      </c>
      <c r="G104" s="85">
        <f t="shared" si="95"/>
        <v>8.3890000000000006E-2</v>
      </c>
      <c r="H104" s="85">
        <f t="shared" si="96"/>
        <v>1.7690000000000001E-2</v>
      </c>
      <c r="I104" s="85">
        <f t="shared" si="97"/>
        <v>0</v>
      </c>
      <c r="J104" s="85">
        <f t="shared" si="98"/>
        <v>0</v>
      </c>
      <c r="K104" s="85">
        <f t="shared" si="99"/>
        <v>0.41981246261255201</v>
      </c>
      <c r="L104" s="85">
        <f t="shared" si="100"/>
        <v>0.14433756729740643</v>
      </c>
      <c r="M104" s="85">
        <f t="shared" si="101"/>
        <v>0</v>
      </c>
      <c r="N104" s="1"/>
      <c r="P104" s="15"/>
      <c r="Q104" s="28"/>
      <c r="R104" s="31">
        <v>1.8</v>
      </c>
      <c r="S104" s="37">
        <v>2.98E-2</v>
      </c>
      <c r="T104" s="32">
        <v>4.1820000000000003E-2</v>
      </c>
      <c r="U104" s="32">
        <v>8.3890000000000006E-2</v>
      </c>
      <c r="V104" s="32">
        <v>1.7690000000000001E-2</v>
      </c>
      <c r="W104" s="30">
        <v>0</v>
      </c>
      <c r="X104" s="42">
        <v>0</v>
      </c>
      <c r="Y104" s="32">
        <v>0.41981246261255201</v>
      </c>
      <c r="Z104" s="32">
        <v>0.14433756729740643</v>
      </c>
      <c r="AA104" s="33">
        <v>0</v>
      </c>
      <c r="AC104" s="15"/>
      <c r="AD104" s="28"/>
      <c r="AE104" s="31">
        <v>1.8</v>
      </c>
      <c r="AF104" s="37">
        <v>3.09E-2</v>
      </c>
      <c r="AG104" s="32">
        <f>1/24.4</f>
        <v>4.0983606557377053E-2</v>
      </c>
      <c r="AH104" s="32">
        <f>1/12</f>
        <v>8.3333333333333329E-2</v>
      </c>
      <c r="AI104" s="32">
        <f>1/77</f>
        <v>1.2987012987012988E-2</v>
      </c>
      <c r="AJ104" s="30">
        <v>0</v>
      </c>
      <c r="AK104" s="42">
        <v>0</v>
      </c>
      <c r="AL104" s="32">
        <v>0.41981246261255201</v>
      </c>
      <c r="AM104" s="32">
        <v>0.14433756729740643</v>
      </c>
      <c r="AN104" s="33">
        <v>0</v>
      </c>
      <c r="AP104" s="15"/>
      <c r="AQ104" s="28"/>
      <c r="AR104" s="31">
        <v>1.8</v>
      </c>
      <c r="AS104" s="45">
        <f t="shared" si="125"/>
        <v>2.9663999999999999E-2</v>
      </c>
      <c r="AT104" s="32">
        <f>1/24</f>
        <v>4.1666666666666664E-2</v>
      </c>
      <c r="AU104" s="32">
        <f>1/12</f>
        <v>8.3333333333333329E-2</v>
      </c>
      <c r="AV104" s="32">
        <f>1/47.2</f>
        <v>2.1186440677966101E-2</v>
      </c>
      <c r="AW104" s="30">
        <v>0</v>
      </c>
      <c r="AX104" s="42">
        <v>0</v>
      </c>
      <c r="AY104" s="32">
        <v>0.41981246261255201</v>
      </c>
      <c r="AZ104" s="32">
        <v>0.14433756729740643</v>
      </c>
      <c r="BA104" s="33">
        <v>0</v>
      </c>
      <c r="BC104" s="25"/>
      <c r="BD104" s="47"/>
      <c r="BE104" s="53">
        <v>1.8</v>
      </c>
      <c r="BF104" s="49">
        <v>3.0443040000000008E-2</v>
      </c>
      <c r="BG104" s="50">
        <v>4.1399999999999999E-2</v>
      </c>
      <c r="BH104" s="50">
        <v>8.3199999999999996E-2</v>
      </c>
      <c r="BI104" s="50">
        <v>9.0720000000000002E-3</v>
      </c>
      <c r="BJ104" s="51">
        <v>0</v>
      </c>
      <c r="BK104" s="42">
        <v>0</v>
      </c>
      <c r="BL104" s="32">
        <v>0.41981246261255201</v>
      </c>
      <c r="BM104" s="32">
        <v>0.14433756729740643</v>
      </c>
      <c r="BN104" s="33">
        <v>0</v>
      </c>
      <c r="BP104" s="15"/>
      <c r="BQ104" s="28"/>
      <c r="BR104" s="31">
        <v>1.8</v>
      </c>
      <c r="BS104" s="45">
        <f t="shared" si="126"/>
        <v>2.9117791965034879E-2</v>
      </c>
      <c r="BT104" s="78">
        <f t="shared" si="119"/>
        <v>3.7447753873175511E-2</v>
      </c>
      <c r="BU104" s="78">
        <f t="shared" si="127"/>
        <v>8.1775351480705957E-2</v>
      </c>
      <c r="BV104" s="83">
        <f t="shared" si="120"/>
        <v>7.1895782629715745E-3</v>
      </c>
      <c r="BW104" s="79">
        <v>0</v>
      </c>
      <c r="BX104" s="42">
        <v>0</v>
      </c>
      <c r="BY104" s="32">
        <v>0.41981246261255201</v>
      </c>
      <c r="BZ104" s="32">
        <v>0.14433756729740643</v>
      </c>
      <c r="CA104" s="33">
        <v>0</v>
      </c>
      <c r="CB104" s="37">
        <f t="shared" si="121"/>
        <v>0.98130421776847143</v>
      </c>
      <c r="CC104" s="37">
        <f t="shared" si="128"/>
        <v>1.8695782231528568E-2</v>
      </c>
      <c r="CD104" s="35">
        <v>24</v>
      </c>
      <c r="CE104" s="35">
        <v>8</v>
      </c>
      <c r="CF104" s="37">
        <f t="shared" si="122"/>
        <v>0.91586897995812144</v>
      </c>
      <c r="CG104" s="37">
        <f t="shared" si="123"/>
        <v>0.94952138797487284</v>
      </c>
      <c r="CI104" s="15"/>
      <c r="CJ104" s="28"/>
      <c r="CK104" s="31">
        <v>1.8</v>
      </c>
      <c r="CL104" s="45">
        <f t="shared" si="124"/>
        <v>2.7953080286433483E-2</v>
      </c>
      <c r="CM104" s="78">
        <f t="shared" si="129"/>
        <v>3.8885669525769828E-2</v>
      </c>
      <c r="CN104" s="78">
        <v>8.1775351480705957E-2</v>
      </c>
      <c r="CO104" s="78">
        <f t="shared" si="130"/>
        <v>1.4679129037606677E-2</v>
      </c>
      <c r="CP104" s="79">
        <v>0</v>
      </c>
      <c r="CQ104" s="42">
        <v>0</v>
      </c>
      <c r="CR104" s="32">
        <v>0.41981246261255201</v>
      </c>
      <c r="CS104" s="32">
        <v>0.14433756729740643</v>
      </c>
      <c r="CT104" s="33">
        <v>0</v>
      </c>
      <c r="CV104" s="25"/>
      <c r="CW104" s="47"/>
      <c r="CX104" s="53">
        <v>1.8</v>
      </c>
      <c r="CY104" s="45">
        <f t="shared" si="131"/>
        <v>3.1143774936061391E-2</v>
      </c>
      <c r="CZ104" s="78">
        <f t="shared" si="132"/>
        <v>4.0960818414322253E-2</v>
      </c>
      <c r="DA104" s="50">
        <v>8.3199999999999996E-2</v>
      </c>
      <c r="DB104" s="78">
        <f t="shared" si="133"/>
        <v>2.9278772378516634E-3</v>
      </c>
      <c r="DC104" s="51">
        <v>0</v>
      </c>
      <c r="DD104" s="42">
        <v>0</v>
      </c>
      <c r="DE104" s="32">
        <v>0.41981246261255201</v>
      </c>
      <c r="DF104" s="32">
        <v>0.14433756729740643</v>
      </c>
      <c r="DG104" s="33">
        <v>0</v>
      </c>
      <c r="DI104" s="25"/>
      <c r="DJ104" s="47"/>
      <c r="DK104" s="53">
        <v>1.8</v>
      </c>
      <c r="DL104" s="49">
        <v>2.9399999999999999E-2</v>
      </c>
      <c r="DM104" s="50">
        <v>4.1399999999999999E-2</v>
      </c>
      <c r="DN104" s="50">
        <v>8.3199999999999996E-2</v>
      </c>
      <c r="DO104" s="50">
        <v>9.1000000000000004E-3</v>
      </c>
      <c r="DP104" s="51">
        <v>0</v>
      </c>
      <c r="DQ104" s="42">
        <v>0</v>
      </c>
      <c r="DR104" s="32">
        <v>0.41981246261255201</v>
      </c>
      <c r="DS104" s="32">
        <v>0.14433756729740643</v>
      </c>
      <c r="DT104" s="33">
        <v>0</v>
      </c>
    </row>
    <row r="105" spans="1:124" ht="12" customHeight="1" x14ac:dyDescent="0.2">
      <c r="A105" s="1"/>
      <c r="B105" s="25"/>
      <c r="C105" s="47"/>
      <c r="D105" s="68">
        <v>1.9</v>
      </c>
      <c r="E105" s="85">
        <f t="shared" si="93"/>
        <v>0.03</v>
      </c>
      <c r="F105" s="85">
        <f t="shared" si="94"/>
        <v>4.2040000000000001E-2</v>
      </c>
      <c r="G105" s="85">
        <f t="shared" si="95"/>
        <v>8.4080000000000002E-2</v>
      </c>
      <c r="H105" s="85">
        <f t="shared" si="96"/>
        <v>1.7729999999999999E-2</v>
      </c>
      <c r="I105" s="85">
        <f t="shared" si="97"/>
        <v>0</v>
      </c>
      <c r="J105" s="85">
        <f t="shared" si="98"/>
        <v>0</v>
      </c>
      <c r="K105" s="85">
        <f t="shared" si="99"/>
        <v>0.42403285931715451</v>
      </c>
      <c r="L105" s="85">
        <f t="shared" si="100"/>
        <v>0.14433756729740643</v>
      </c>
      <c r="M105" s="85">
        <f t="shared" si="101"/>
        <v>0</v>
      </c>
      <c r="N105" s="1"/>
      <c r="P105" s="15"/>
      <c r="Q105" s="28"/>
      <c r="R105" s="31">
        <v>1.9</v>
      </c>
      <c r="S105" s="37">
        <v>0.03</v>
      </c>
      <c r="T105" s="32">
        <v>4.2040000000000001E-2</v>
      </c>
      <c r="U105" s="32">
        <v>8.4080000000000002E-2</v>
      </c>
      <c r="V105" s="32">
        <v>1.7729999999999999E-2</v>
      </c>
      <c r="W105" s="30">
        <v>0</v>
      </c>
      <c r="X105" s="42">
        <v>0</v>
      </c>
      <c r="Y105" s="32">
        <v>0.42403285931715451</v>
      </c>
      <c r="Z105" s="32">
        <v>0.14433756729740643</v>
      </c>
      <c r="AA105" s="33">
        <v>0</v>
      </c>
      <c r="AC105" s="15"/>
      <c r="AD105" s="28"/>
      <c r="AE105" s="31">
        <v>1.9</v>
      </c>
      <c r="AF105" s="37">
        <v>3.1099999999999999E-2</v>
      </c>
      <c r="AG105" s="32">
        <f>1/24.3</f>
        <v>4.1152263374485597E-2</v>
      </c>
      <c r="AH105" s="32">
        <f>1/12</f>
        <v>8.3333333333333329E-2</v>
      </c>
      <c r="AI105" s="32">
        <f>1/77</f>
        <v>1.2987012987012988E-2</v>
      </c>
      <c r="AJ105" s="30">
        <v>0</v>
      </c>
      <c r="AK105" s="42">
        <v>0</v>
      </c>
      <c r="AL105" s="32">
        <v>0.42403285931715451</v>
      </c>
      <c r="AM105" s="32">
        <v>0.14433756729740643</v>
      </c>
      <c r="AN105" s="33">
        <v>0</v>
      </c>
      <c r="AP105" s="15"/>
      <c r="AQ105" s="28"/>
      <c r="AR105" s="31">
        <v>1.9</v>
      </c>
      <c r="AS105" s="45">
        <f t="shared" si="125"/>
        <v>2.9855999999999997E-2</v>
      </c>
      <c r="AT105" s="32">
        <f>1/24</f>
        <v>4.1666666666666664E-2</v>
      </c>
      <c r="AU105" s="32">
        <f>1/12</f>
        <v>8.3333333333333329E-2</v>
      </c>
      <c r="AV105" s="32">
        <f>1/47.1</f>
        <v>2.1231422505307854E-2</v>
      </c>
      <c r="AW105" s="30">
        <v>0</v>
      </c>
      <c r="AX105" s="42">
        <v>0</v>
      </c>
      <c r="AY105" s="32">
        <v>0.42403285931715451</v>
      </c>
      <c r="AZ105" s="32">
        <v>0.14433756729740643</v>
      </c>
      <c r="BA105" s="33">
        <v>0</v>
      </c>
      <c r="BC105" s="25"/>
      <c r="BD105" s="47"/>
      <c r="BE105" s="53">
        <v>1.9</v>
      </c>
      <c r="BF105" s="49">
        <v>2.9973829999999996E-2</v>
      </c>
      <c r="BG105" s="50">
        <v>4.1599999999999998E-2</v>
      </c>
      <c r="BH105" s="50">
        <v>8.3299999999999999E-2</v>
      </c>
      <c r="BI105" s="50">
        <v>8.3029999999999996E-3</v>
      </c>
      <c r="BJ105" s="51">
        <v>0</v>
      </c>
      <c r="BK105" s="42">
        <v>0</v>
      </c>
      <c r="BL105" s="32">
        <v>0.42403285931715451</v>
      </c>
      <c r="BM105" s="32">
        <v>0.14433756729740643</v>
      </c>
      <c r="BN105" s="33">
        <v>0</v>
      </c>
      <c r="BP105" s="15"/>
      <c r="BQ105" s="28"/>
      <c r="BR105" s="31">
        <v>1.9</v>
      </c>
      <c r="BS105" s="45">
        <f t="shared" si="126"/>
        <v>2.9378196251638445E-2</v>
      </c>
      <c r="BT105" s="78">
        <f t="shared" si="119"/>
        <v>3.7926957192703052E-2</v>
      </c>
      <c r="BU105" s="78">
        <f t="shared" si="127"/>
        <v>8.2073770099480303E-2</v>
      </c>
      <c r="BV105" s="83">
        <f t="shared" si="120"/>
        <v>6.5104036014711235E-3</v>
      </c>
      <c r="BW105" s="79">
        <v>0</v>
      </c>
      <c r="BX105" s="42">
        <v>0</v>
      </c>
      <c r="BY105" s="32">
        <v>0.42403285931715451</v>
      </c>
      <c r="BZ105" s="32">
        <v>0.14433756729740643</v>
      </c>
      <c r="CA105" s="33">
        <v>0</v>
      </c>
      <c r="CB105" s="37">
        <f t="shared" si="121"/>
        <v>0.98488524119376364</v>
      </c>
      <c r="CC105" s="37">
        <f t="shared" si="128"/>
        <v>1.5114758806236361E-2</v>
      </c>
      <c r="CD105" s="35">
        <v>24</v>
      </c>
      <c r="CE105" s="35">
        <v>8</v>
      </c>
      <c r="CF105" s="37">
        <f t="shared" si="122"/>
        <v>0.92421627876317602</v>
      </c>
      <c r="CG105" s="37">
        <f t="shared" si="123"/>
        <v>0.95452976725790561</v>
      </c>
      <c r="CI105" s="15"/>
      <c r="CJ105" s="28"/>
      <c r="CK105" s="31">
        <v>1.9</v>
      </c>
      <c r="CL105" s="45">
        <f t="shared" si="124"/>
        <v>2.8203068401572905E-2</v>
      </c>
      <c r="CM105" s="78">
        <f t="shared" si="129"/>
        <v>3.9229037912997276E-2</v>
      </c>
      <c r="CN105" s="78">
        <v>8.2073770099480303E-2</v>
      </c>
      <c r="CO105" s="78">
        <f t="shared" si="130"/>
        <v>1.4095795040011735E-2</v>
      </c>
      <c r="CP105" s="79">
        <v>0</v>
      </c>
      <c r="CQ105" s="42">
        <v>0</v>
      </c>
      <c r="CR105" s="32">
        <v>0.42403285931715451</v>
      </c>
      <c r="CS105" s="32">
        <v>0.14433756729740643</v>
      </c>
      <c r="CT105" s="33">
        <v>0</v>
      </c>
      <c r="CV105" s="25"/>
      <c r="CW105" s="47"/>
      <c r="CX105" s="53">
        <v>1.9</v>
      </c>
      <c r="CY105" s="45">
        <f t="shared" si="131"/>
        <v>3.0663764705882352E-2</v>
      </c>
      <c r="CZ105" s="78">
        <f t="shared" si="132"/>
        <v>4.1283427109974423E-2</v>
      </c>
      <c r="DA105" s="50">
        <v>8.3299999999999999E-2</v>
      </c>
      <c r="DB105" s="78">
        <f t="shared" si="133"/>
        <v>2.1104859335038363E-3</v>
      </c>
      <c r="DC105" s="51">
        <v>0</v>
      </c>
      <c r="DD105" s="42">
        <v>0</v>
      </c>
      <c r="DE105" s="32">
        <v>0.42403285931715451</v>
      </c>
      <c r="DF105" s="32">
        <v>0.14433756729740643</v>
      </c>
      <c r="DG105" s="33">
        <v>0</v>
      </c>
      <c r="DI105" s="25"/>
      <c r="DJ105" s="47"/>
      <c r="DK105" s="53">
        <v>1.9</v>
      </c>
      <c r="DL105" s="49">
        <v>2.9500000000000002E-2</v>
      </c>
      <c r="DM105" s="50">
        <v>4.1599999999999998E-2</v>
      </c>
      <c r="DN105" s="50">
        <v>8.3299999999999999E-2</v>
      </c>
      <c r="DO105" s="50">
        <v>8.3000000000000001E-3</v>
      </c>
      <c r="DP105" s="51">
        <v>0</v>
      </c>
      <c r="DQ105" s="42">
        <v>0</v>
      </c>
      <c r="DR105" s="32">
        <v>0.42403285931715451</v>
      </c>
      <c r="DS105" s="32">
        <v>0.14433756729740643</v>
      </c>
      <c r="DT105" s="33">
        <v>0</v>
      </c>
    </row>
    <row r="106" spans="1:124" ht="12" customHeight="1" x14ac:dyDescent="0.2">
      <c r="A106" s="1"/>
      <c r="B106" s="25"/>
      <c r="C106" s="47"/>
      <c r="D106" s="68">
        <v>2</v>
      </c>
      <c r="E106" s="85">
        <f t="shared" si="93"/>
        <v>3.0099999999999998E-2</v>
      </c>
      <c r="F106" s="85">
        <f t="shared" si="94"/>
        <v>4.2180000000000002E-2</v>
      </c>
      <c r="G106" s="85">
        <f t="shared" si="95"/>
        <v>8.4169999999999995E-2</v>
      </c>
      <c r="H106" s="85">
        <f t="shared" si="96"/>
        <v>1.7729999999999999E-2</v>
      </c>
      <c r="I106" s="85">
        <f t="shared" si="97"/>
        <v>0</v>
      </c>
      <c r="J106" s="85">
        <f t="shared" si="98"/>
        <v>0</v>
      </c>
      <c r="K106" s="85">
        <f t="shared" si="99"/>
        <v>0.42783121635129678</v>
      </c>
      <c r="L106" s="85">
        <f t="shared" si="100"/>
        <v>0.14433756729740643</v>
      </c>
      <c r="M106" s="85">
        <f t="shared" si="101"/>
        <v>0</v>
      </c>
      <c r="N106" s="1"/>
      <c r="P106" s="15"/>
      <c r="Q106" s="28"/>
      <c r="R106" s="31">
        <v>2</v>
      </c>
      <c r="S106" s="37">
        <v>3.0099999999999998E-2</v>
      </c>
      <c r="T106" s="32">
        <v>4.2180000000000002E-2</v>
      </c>
      <c r="U106" s="32">
        <v>8.4169999999999995E-2</v>
      </c>
      <c r="V106" s="32">
        <v>1.7729999999999999E-2</v>
      </c>
      <c r="W106" s="30">
        <v>0</v>
      </c>
      <c r="X106" s="42">
        <v>0</v>
      </c>
      <c r="Y106" s="32">
        <v>0.42783121635129678</v>
      </c>
      <c r="Z106" s="32">
        <v>0.14433756729740643</v>
      </c>
      <c r="AA106" s="33">
        <v>0</v>
      </c>
      <c r="AC106" s="15"/>
      <c r="AD106" s="28"/>
      <c r="AE106" s="31">
        <v>2</v>
      </c>
      <c r="AF106" s="37">
        <v>3.1300000000000001E-2</v>
      </c>
      <c r="AG106" s="32">
        <f>1/24.1</f>
        <v>4.1493775933609957E-2</v>
      </c>
      <c r="AH106" s="32">
        <f>1/12</f>
        <v>8.3333333333333329E-2</v>
      </c>
      <c r="AI106" s="32">
        <f>1/77</f>
        <v>1.2987012987012988E-2</v>
      </c>
      <c r="AJ106" s="30">
        <v>0</v>
      </c>
      <c r="AK106" s="42">
        <v>0</v>
      </c>
      <c r="AL106" s="32">
        <v>0.42783121635129678</v>
      </c>
      <c r="AM106" s="32">
        <v>0.14433756729740643</v>
      </c>
      <c r="AN106" s="33">
        <v>0</v>
      </c>
      <c r="AP106" s="15"/>
      <c r="AQ106" s="28"/>
      <c r="AR106" s="31">
        <v>2</v>
      </c>
      <c r="AS106" s="45">
        <f t="shared" si="125"/>
        <v>3.0048000000000002E-2</v>
      </c>
      <c r="AT106" s="32">
        <f>1/24</f>
        <v>4.1666666666666664E-2</v>
      </c>
      <c r="AU106" s="32">
        <f>1/12</f>
        <v>8.3333333333333329E-2</v>
      </c>
      <c r="AV106" s="32">
        <f>1/47</f>
        <v>2.1276595744680851E-2</v>
      </c>
      <c r="AW106" s="30">
        <v>0</v>
      </c>
      <c r="AX106" s="42">
        <v>0</v>
      </c>
      <c r="AY106" s="32">
        <v>0.42783121635129678</v>
      </c>
      <c r="AZ106" s="32">
        <v>0.14433756729740643</v>
      </c>
      <c r="BA106" s="33">
        <v>0</v>
      </c>
      <c r="BC106" s="25"/>
      <c r="BD106" s="47"/>
      <c r="BE106" s="53">
        <v>2</v>
      </c>
      <c r="BF106" s="49">
        <v>2.8799999999999999E-2</v>
      </c>
      <c r="BG106" s="50">
        <v>4.1700000000000001E-2</v>
      </c>
      <c r="BH106" s="50">
        <v>8.3299999999999999E-2</v>
      </c>
      <c r="BI106" s="50">
        <v>7.6E-3</v>
      </c>
      <c r="BJ106" s="51">
        <v>0</v>
      </c>
      <c r="BK106" s="42">
        <v>0</v>
      </c>
      <c r="BL106" s="32">
        <v>0.42783121635129678</v>
      </c>
      <c r="BM106" s="32">
        <v>0.14433756729740643</v>
      </c>
      <c r="BN106" s="33">
        <v>0</v>
      </c>
      <c r="BP106" s="15"/>
      <c r="BQ106" s="28"/>
      <c r="BR106" s="31">
        <v>2</v>
      </c>
      <c r="BS106" s="45">
        <f t="shared" si="126"/>
        <v>2.9594065945232055E-2</v>
      </c>
      <c r="BT106" s="78">
        <f t="shared" si="119"/>
        <v>3.8329748739747212E-2</v>
      </c>
      <c r="BU106" s="78">
        <f t="shared" si="127"/>
        <v>8.2304526748971193E-2</v>
      </c>
      <c r="BV106" s="83">
        <f t="shared" si="120"/>
        <v>5.9188131890464107E-3</v>
      </c>
      <c r="BW106" s="79">
        <v>0</v>
      </c>
      <c r="BX106" s="42">
        <v>0</v>
      </c>
      <c r="BY106" s="32">
        <v>0.42783121635129678</v>
      </c>
      <c r="BZ106" s="32">
        <v>0.14433756729740643</v>
      </c>
      <c r="CA106" s="33">
        <v>0</v>
      </c>
      <c r="CB106" s="37">
        <f t="shared" si="121"/>
        <v>0.98765432098765427</v>
      </c>
      <c r="CC106" s="37">
        <f t="shared" si="128"/>
        <v>1.2345679012345734E-2</v>
      </c>
      <c r="CD106" s="35">
        <v>24</v>
      </c>
      <c r="CE106" s="35">
        <v>8</v>
      </c>
      <c r="CF106" s="37">
        <f t="shared" si="122"/>
        <v>0.93141289437585728</v>
      </c>
      <c r="CG106" s="37">
        <f t="shared" si="123"/>
        <v>0.95884773662551426</v>
      </c>
      <c r="CI106" s="15"/>
      <c r="CJ106" s="28"/>
      <c r="CK106" s="31">
        <v>2</v>
      </c>
      <c r="CL106" s="45">
        <f t="shared" si="124"/>
        <v>2.8410303307422773E-2</v>
      </c>
      <c r="CM106" s="78">
        <f t="shared" si="129"/>
        <v>3.9513511377556494E-2</v>
      </c>
      <c r="CN106" s="78">
        <v>8.2304526748971193E-2</v>
      </c>
      <c r="CO106" s="78">
        <f t="shared" si="130"/>
        <v>1.3584762936995853E-2</v>
      </c>
      <c r="CP106" s="79">
        <v>0</v>
      </c>
      <c r="CQ106" s="42">
        <v>0</v>
      </c>
      <c r="CR106" s="32">
        <v>0.42783121635129678</v>
      </c>
      <c r="CS106" s="32">
        <v>0.14433756729740643</v>
      </c>
      <c r="CT106" s="33">
        <v>0</v>
      </c>
      <c r="CV106" s="25"/>
      <c r="CW106" s="47"/>
      <c r="CX106" s="53">
        <v>2</v>
      </c>
      <c r="CY106" s="45">
        <f t="shared" si="131"/>
        <v>2.9462915601023019E-2</v>
      </c>
      <c r="CZ106" s="78">
        <f t="shared" si="132"/>
        <v>4.1493606138107417E-2</v>
      </c>
      <c r="DA106" s="50">
        <v>8.3299999999999999E-2</v>
      </c>
      <c r="DB106" s="78">
        <f t="shared" si="133"/>
        <v>1.3759590792838873E-3</v>
      </c>
      <c r="DC106" s="51">
        <v>0</v>
      </c>
      <c r="DD106" s="42">
        <v>0</v>
      </c>
      <c r="DE106" s="32">
        <v>0.42783121635129678</v>
      </c>
      <c r="DF106" s="32">
        <v>0.14433756729740643</v>
      </c>
      <c r="DG106" s="33">
        <v>0</v>
      </c>
      <c r="DI106" s="25"/>
      <c r="DJ106" s="47"/>
      <c r="DK106" s="53">
        <v>2</v>
      </c>
      <c r="DL106" s="49">
        <v>2.9600000000000001E-2</v>
      </c>
      <c r="DM106" s="50">
        <v>4.1700000000000001E-2</v>
      </c>
      <c r="DN106" s="50">
        <v>8.3299999999999999E-2</v>
      </c>
      <c r="DO106" s="50">
        <v>7.6E-3</v>
      </c>
      <c r="DP106" s="51">
        <v>0</v>
      </c>
      <c r="DQ106" s="42">
        <v>0</v>
      </c>
      <c r="DR106" s="32">
        <v>0.42783121635129678</v>
      </c>
      <c r="DS106" s="32">
        <v>0.14433756729740643</v>
      </c>
      <c r="DT106" s="33">
        <v>0</v>
      </c>
    </row>
    <row r="107" spans="1:124" ht="12" customHeight="1" x14ac:dyDescent="0.2">
      <c r="A107" s="1"/>
      <c r="B107" s="54"/>
      <c r="C107" s="55"/>
      <c r="D107" s="22" t="s">
        <v>128</v>
      </c>
      <c r="E107" s="85">
        <f t="shared" si="93"/>
        <v>0.03</v>
      </c>
      <c r="F107" s="85">
        <f t="shared" si="94"/>
        <v>4.1666666666666664E-2</v>
      </c>
      <c r="G107" s="85">
        <f t="shared" si="95"/>
        <v>8.3333333333333329E-2</v>
      </c>
      <c r="H107" s="85">
        <f t="shared" si="96"/>
        <v>1.7729999999999999E-2</v>
      </c>
      <c r="I107" s="85">
        <f t="shared" si="97"/>
        <v>0</v>
      </c>
      <c r="J107" s="85">
        <f t="shared" si="98"/>
        <v>0</v>
      </c>
      <c r="K107" s="85">
        <f t="shared" si="99"/>
        <v>0.5</v>
      </c>
      <c r="L107" s="85">
        <f t="shared" si="100"/>
        <v>0.14433756729740643</v>
      </c>
      <c r="M107" s="85">
        <f t="shared" si="101"/>
        <v>0</v>
      </c>
      <c r="N107" s="1"/>
      <c r="P107" s="17"/>
      <c r="Q107" s="29"/>
      <c r="R107" s="22" t="s">
        <v>128</v>
      </c>
      <c r="S107" s="200">
        <v>0.03</v>
      </c>
      <c r="T107" s="32">
        <v>4.1666666666666664E-2</v>
      </c>
      <c r="U107" s="32">
        <v>8.3333333333333329E-2</v>
      </c>
      <c r="V107" s="32">
        <f>V106</f>
        <v>1.7729999999999999E-2</v>
      </c>
      <c r="W107" s="191">
        <f>W106</f>
        <v>0</v>
      </c>
      <c r="X107" s="43">
        <v>0</v>
      </c>
      <c r="Y107" s="32">
        <v>0.5</v>
      </c>
      <c r="Z107" s="32">
        <v>0.14433756729740643</v>
      </c>
      <c r="AA107" s="33">
        <v>0</v>
      </c>
      <c r="AC107" s="17"/>
      <c r="AD107" s="29"/>
      <c r="AE107" s="22" t="s">
        <v>128</v>
      </c>
      <c r="AF107" s="38">
        <v>3.125E-2</v>
      </c>
      <c r="AG107" s="32">
        <v>4.1666666666666664E-2</v>
      </c>
      <c r="AH107" s="32">
        <v>8.3333333333333329E-2</v>
      </c>
      <c r="AI107" s="32">
        <f>AI106</f>
        <v>1.2987012987012988E-2</v>
      </c>
      <c r="AJ107" s="191">
        <f>AJ106</f>
        <v>0</v>
      </c>
      <c r="AK107" s="43">
        <v>0</v>
      </c>
      <c r="AL107" s="32">
        <v>0.5</v>
      </c>
      <c r="AM107" s="32">
        <v>0.14433756729740643</v>
      </c>
      <c r="AN107" s="33">
        <v>0</v>
      </c>
      <c r="AP107" s="17"/>
      <c r="AQ107" s="29"/>
      <c r="AR107" s="22" t="s">
        <v>128</v>
      </c>
      <c r="AS107" s="200">
        <v>0.03</v>
      </c>
      <c r="AT107" s="32">
        <v>4.1666666666666664E-2</v>
      </c>
      <c r="AU107" s="32">
        <v>8.3333333333333329E-2</v>
      </c>
      <c r="AV107" s="32">
        <f>AV106</f>
        <v>2.1276595744680851E-2</v>
      </c>
      <c r="AW107" s="92">
        <f>AW106</f>
        <v>0</v>
      </c>
      <c r="AX107" s="43">
        <v>0</v>
      </c>
      <c r="AY107" s="32">
        <v>0.5</v>
      </c>
      <c r="AZ107" s="32">
        <v>0.14433756729740643</v>
      </c>
      <c r="BA107" s="33">
        <v>0</v>
      </c>
      <c r="BC107" s="54"/>
      <c r="BD107" s="55"/>
      <c r="BE107" s="22" t="s">
        <v>128</v>
      </c>
      <c r="BF107" s="200">
        <v>3.0546875000000001E-2</v>
      </c>
      <c r="BG107" s="32">
        <v>4.1666666666666664E-2</v>
      </c>
      <c r="BH107" s="32">
        <v>8.3333333333333329E-2</v>
      </c>
      <c r="BI107" s="50">
        <f>BI106</f>
        <v>7.6E-3</v>
      </c>
      <c r="BJ107" s="99">
        <f>BJ106</f>
        <v>0</v>
      </c>
      <c r="BK107" s="43">
        <v>0</v>
      </c>
      <c r="BL107" s="32">
        <v>0.5</v>
      </c>
      <c r="BM107" s="32">
        <v>0.14433756729740643</v>
      </c>
      <c r="BN107" s="33">
        <v>0</v>
      </c>
      <c r="BP107" s="17"/>
      <c r="BQ107" s="29"/>
      <c r="BR107" s="22" t="s">
        <v>128</v>
      </c>
      <c r="BS107" s="38">
        <v>3.125E-2</v>
      </c>
      <c r="BT107" s="32">
        <v>4.1666666666666664E-2</v>
      </c>
      <c r="BU107" s="32">
        <v>8.3333333333333329E-2</v>
      </c>
      <c r="BV107" s="32">
        <f>BV106</f>
        <v>5.9188131890464107E-3</v>
      </c>
      <c r="BW107" s="30">
        <v>0</v>
      </c>
      <c r="BX107" s="43">
        <v>0</v>
      </c>
      <c r="BY107" s="32">
        <v>0.5</v>
      </c>
      <c r="BZ107" s="32">
        <v>0.14433756729740643</v>
      </c>
      <c r="CA107" s="33">
        <v>0</v>
      </c>
      <c r="CB107" s="36"/>
      <c r="CC107" s="36"/>
      <c r="CD107" s="36"/>
      <c r="CE107" s="36"/>
      <c r="CF107" s="36"/>
      <c r="CG107" s="36"/>
      <c r="CI107" s="17"/>
      <c r="CJ107" s="29"/>
      <c r="CK107" s="22" t="s">
        <v>128</v>
      </c>
      <c r="CL107" s="200">
        <v>0.03</v>
      </c>
      <c r="CM107" s="32">
        <v>4.1666666666666664E-2</v>
      </c>
      <c r="CN107" s="32">
        <v>8.3333333333333329E-2</v>
      </c>
      <c r="CO107" s="50">
        <f>CO106</f>
        <v>1.3584762936995853E-2</v>
      </c>
      <c r="CP107" s="99">
        <f>CP106</f>
        <v>0</v>
      </c>
      <c r="CQ107" s="43">
        <v>0</v>
      </c>
      <c r="CR107" s="32">
        <v>0.5</v>
      </c>
      <c r="CS107" s="32">
        <v>0.14433756729740643</v>
      </c>
      <c r="CT107" s="33">
        <v>0</v>
      </c>
      <c r="CV107" s="54"/>
      <c r="CW107" s="55"/>
      <c r="CX107" s="22" t="s">
        <v>128</v>
      </c>
      <c r="CY107" s="38">
        <v>3.125E-2</v>
      </c>
      <c r="CZ107" s="32">
        <v>4.1666666666666664E-2</v>
      </c>
      <c r="DA107" s="32">
        <v>8.3333333333333329E-2</v>
      </c>
      <c r="DB107" s="50">
        <f>DB106</f>
        <v>1.3759590792838873E-3</v>
      </c>
      <c r="DC107" s="99">
        <f>DC106</f>
        <v>0</v>
      </c>
      <c r="DD107" s="43">
        <v>0</v>
      </c>
      <c r="DE107" s="32">
        <v>0.5</v>
      </c>
      <c r="DF107" s="32">
        <v>0.14433756729740643</v>
      </c>
      <c r="DG107" s="33">
        <v>0</v>
      </c>
      <c r="DI107" s="54"/>
      <c r="DJ107" s="55"/>
      <c r="DK107" s="22" t="s">
        <v>128</v>
      </c>
      <c r="DL107" s="200">
        <v>3.0546875000000001E-2</v>
      </c>
      <c r="DM107" s="32">
        <v>4.1666666666666664E-2</v>
      </c>
      <c r="DN107" s="32">
        <v>8.3333333333333329E-2</v>
      </c>
      <c r="DO107" s="50">
        <f>DO106</f>
        <v>7.6E-3</v>
      </c>
      <c r="DP107" s="99">
        <f>DP106</f>
        <v>0</v>
      </c>
      <c r="DQ107" s="43">
        <v>0</v>
      </c>
      <c r="DR107" s="32">
        <v>0.5</v>
      </c>
      <c r="DS107" s="32">
        <v>0.14433756729740643</v>
      </c>
      <c r="DT107" s="33">
        <v>0</v>
      </c>
    </row>
    <row r="108" spans="1:124" ht="12" customHeight="1" x14ac:dyDescent="0.3">
      <c r="A108" s="1"/>
      <c r="B108" s="25"/>
      <c r="C108" s="47"/>
      <c r="D108" s="20" t="s">
        <v>93</v>
      </c>
      <c r="E108" s="85" t="str">
        <f t="shared" si="93"/>
        <v>fmáx</v>
      </c>
      <c r="F108" s="85" t="str">
        <f t="shared" si="94"/>
        <v>mamáx</v>
      </c>
      <c r="G108" s="85" t="str">
        <f t="shared" si="95"/>
        <v>maemín</v>
      </c>
      <c r="H108" s="85" t="str">
        <f t="shared" si="96"/>
        <v>mbmáx</v>
      </c>
      <c r="I108" s="85" t="str">
        <f t="shared" si="97"/>
        <v>mbemín</v>
      </c>
      <c r="J108" s="85" t="str">
        <f t="shared" si="98"/>
        <v>ra</v>
      </c>
      <c r="K108" s="85" t="str">
        <f t="shared" si="99"/>
        <v>rae</v>
      </c>
      <c r="L108" s="85" t="str">
        <f t="shared" si="100"/>
        <v>rb</v>
      </c>
      <c r="M108" s="85" t="str">
        <f t="shared" si="101"/>
        <v>rbe</v>
      </c>
      <c r="N108" s="1"/>
      <c r="P108" s="483" t="s">
        <v>37</v>
      </c>
      <c r="Q108" s="484"/>
      <c r="R108" s="74" t="s">
        <v>93</v>
      </c>
      <c r="S108" s="20" t="s">
        <v>131</v>
      </c>
      <c r="T108" s="75" t="s">
        <v>132</v>
      </c>
      <c r="U108" s="75" t="s">
        <v>120</v>
      </c>
      <c r="V108" s="75" t="s">
        <v>117</v>
      </c>
      <c r="W108" s="76" t="s">
        <v>121</v>
      </c>
      <c r="X108" s="75" t="s">
        <v>111</v>
      </c>
      <c r="Y108" s="75" t="s">
        <v>112</v>
      </c>
      <c r="Z108" s="75" t="s">
        <v>113</v>
      </c>
      <c r="AA108" s="76" t="s">
        <v>114</v>
      </c>
      <c r="AC108" s="483" t="s">
        <v>37</v>
      </c>
      <c r="AD108" s="484"/>
      <c r="AE108" s="74" t="s">
        <v>93</v>
      </c>
      <c r="AF108" s="20" t="s">
        <v>115</v>
      </c>
      <c r="AG108" s="75" t="s">
        <v>116</v>
      </c>
      <c r="AH108" s="75" t="s">
        <v>120</v>
      </c>
      <c r="AI108" s="75" t="s">
        <v>117</v>
      </c>
      <c r="AJ108" s="76" t="s">
        <v>121</v>
      </c>
      <c r="AK108" s="75" t="s">
        <v>111</v>
      </c>
      <c r="AL108" s="75" t="s">
        <v>112</v>
      </c>
      <c r="AM108" s="75" t="s">
        <v>113</v>
      </c>
      <c r="AN108" s="76" t="s">
        <v>114</v>
      </c>
      <c r="AP108" s="483" t="s">
        <v>37</v>
      </c>
      <c r="AQ108" s="484"/>
      <c r="AR108" s="74" t="s">
        <v>93</v>
      </c>
      <c r="AS108" s="20" t="s">
        <v>115</v>
      </c>
      <c r="AT108" s="75" t="s">
        <v>116</v>
      </c>
      <c r="AU108" s="75" t="s">
        <v>120</v>
      </c>
      <c r="AV108" s="75" t="s">
        <v>117</v>
      </c>
      <c r="AW108" s="76" t="s">
        <v>121</v>
      </c>
      <c r="AX108" s="75" t="s">
        <v>111</v>
      </c>
      <c r="AY108" s="75" t="s">
        <v>112</v>
      </c>
      <c r="AZ108" s="75" t="s">
        <v>113</v>
      </c>
      <c r="BA108" s="76" t="s">
        <v>114</v>
      </c>
      <c r="BC108" s="483" t="s">
        <v>37</v>
      </c>
      <c r="BD108" s="484"/>
      <c r="BE108" s="77" t="s">
        <v>93</v>
      </c>
      <c r="BF108" s="20" t="s">
        <v>115</v>
      </c>
      <c r="BG108" s="75" t="s">
        <v>116</v>
      </c>
      <c r="BH108" s="75" t="s">
        <v>119</v>
      </c>
      <c r="BI108" s="75" t="s">
        <v>141</v>
      </c>
      <c r="BJ108" s="76" t="s">
        <v>118</v>
      </c>
      <c r="BK108" s="75" t="s">
        <v>111</v>
      </c>
      <c r="BL108" s="75" t="s">
        <v>112</v>
      </c>
      <c r="BM108" s="75" t="s">
        <v>113</v>
      </c>
      <c r="BN108" s="76" t="s">
        <v>114</v>
      </c>
      <c r="BP108" s="483" t="s">
        <v>37</v>
      </c>
      <c r="BQ108" s="484"/>
      <c r="BR108" s="74" t="s">
        <v>93</v>
      </c>
      <c r="BS108" s="20" t="s">
        <v>115</v>
      </c>
      <c r="BT108" s="75" t="s">
        <v>116</v>
      </c>
      <c r="BU108" s="75" t="s">
        <v>119</v>
      </c>
      <c r="BV108" s="75" t="s">
        <v>141</v>
      </c>
      <c r="BW108" s="76" t="s">
        <v>118</v>
      </c>
      <c r="BX108" s="75" t="s">
        <v>111</v>
      </c>
      <c r="BY108" s="75" t="s">
        <v>112</v>
      </c>
      <c r="BZ108" s="75" t="s">
        <v>113</v>
      </c>
      <c r="CA108" s="76" t="s">
        <v>114</v>
      </c>
      <c r="CB108" s="74" t="s">
        <v>122</v>
      </c>
      <c r="CC108" s="74" t="s">
        <v>123</v>
      </c>
      <c r="CD108" s="81" t="s">
        <v>124</v>
      </c>
      <c r="CE108" s="81" t="s">
        <v>125</v>
      </c>
      <c r="CF108" s="74" t="s">
        <v>126</v>
      </c>
      <c r="CG108" s="74" t="s">
        <v>127</v>
      </c>
      <c r="CI108" s="483" t="s">
        <v>37</v>
      </c>
      <c r="CJ108" s="484"/>
      <c r="CK108" s="74" t="s">
        <v>93</v>
      </c>
      <c r="CL108" s="20" t="s">
        <v>115</v>
      </c>
      <c r="CM108" s="75" t="s">
        <v>116</v>
      </c>
      <c r="CN108" s="75" t="s">
        <v>119</v>
      </c>
      <c r="CO108" s="75" t="s">
        <v>141</v>
      </c>
      <c r="CP108" s="76" t="s">
        <v>118</v>
      </c>
      <c r="CQ108" s="75" t="s">
        <v>111</v>
      </c>
      <c r="CR108" s="75" t="s">
        <v>112</v>
      </c>
      <c r="CS108" s="75" t="s">
        <v>113</v>
      </c>
      <c r="CT108" s="76" t="s">
        <v>114</v>
      </c>
      <c r="CV108" s="483" t="s">
        <v>37</v>
      </c>
      <c r="CW108" s="484"/>
      <c r="CX108" s="77" t="s">
        <v>93</v>
      </c>
      <c r="CY108" s="20" t="s">
        <v>115</v>
      </c>
      <c r="CZ108" s="75" t="s">
        <v>116</v>
      </c>
      <c r="DA108" s="75" t="s">
        <v>119</v>
      </c>
      <c r="DB108" s="75" t="s">
        <v>141</v>
      </c>
      <c r="DC108" s="76" t="s">
        <v>118</v>
      </c>
      <c r="DD108" s="75" t="s">
        <v>111</v>
      </c>
      <c r="DE108" s="75" t="s">
        <v>112</v>
      </c>
      <c r="DF108" s="75" t="s">
        <v>113</v>
      </c>
      <c r="DG108" s="76" t="s">
        <v>114</v>
      </c>
      <c r="DI108" s="483" t="s">
        <v>37</v>
      </c>
      <c r="DJ108" s="484"/>
      <c r="DK108" s="77" t="s">
        <v>93</v>
      </c>
      <c r="DL108" s="20" t="s">
        <v>115</v>
      </c>
      <c r="DM108" s="75" t="s">
        <v>116</v>
      </c>
      <c r="DN108" s="75" t="s">
        <v>120</v>
      </c>
      <c r="DO108" s="75" t="s">
        <v>141</v>
      </c>
      <c r="DP108" s="76" t="s">
        <v>121</v>
      </c>
      <c r="DQ108" s="75" t="s">
        <v>111</v>
      </c>
      <c r="DR108" s="75" t="s">
        <v>112</v>
      </c>
      <c r="DS108" s="75" t="s">
        <v>113</v>
      </c>
      <c r="DT108" s="76" t="s">
        <v>114</v>
      </c>
    </row>
    <row r="109" spans="1:124" ht="12" customHeight="1" x14ac:dyDescent="0.2">
      <c r="A109" s="1"/>
      <c r="B109" s="25"/>
      <c r="C109" s="47"/>
      <c r="D109" s="68">
        <v>1</v>
      </c>
      <c r="E109" s="85">
        <f t="shared" si="93"/>
        <v>1.8599999999999998E-2</v>
      </c>
      <c r="F109" s="85">
        <f t="shared" si="94"/>
        <v>2.6870000000000002E-2</v>
      </c>
      <c r="G109" s="85">
        <f t="shared" si="95"/>
        <v>6.1060000000000003E-2</v>
      </c>
      <c r="H109" s="85">
        <f t="shared" si="96"/>
        <v>2.2530000000000001E-2</v>
      </c>
      <c r="I109" s="85">
        <f t="shared" si="97"/>
        <v>5.4870000000000002E-2</v>
      </c>
      <c r="J109" s="85">
        <f t="shared" si="98"/>
        <v>0</v>
      </c>
      <c r="K109" s="85">
        <f t="shared" si="99"/>
        <v>0.30283121635129684</v>
      </c>
      <c r="L109" s="85">
        <f t="shared" si="100"/>
        <v>0.14433756729740643</v>
      </c>
      <c r="M109" s="85">
        <f t="shared" si="101"/>
        <v>0.25</v>
      </c>
      <c r="N109" s="1"/>
      <c r="P109" s="15"/>
      <c r="Q109" s="28"/>
      <c r="R109" s="31">
        <v>1</v>
      </c>
      <c r="S109" s="37">
        <v>1.8599999999999998E-2</v>
      </c>
      <c r="T109" s="32">
        <v>2.6870000000000002E-2</v>
      </c>
      <c r="U109" s="32">
        <v>6.1060000000000003E-2</v>
      </c>
      <c r="V109" s="32">
        <v>2.2530000000000001E-2</v>
      </c>
      <c r="W109" s="32">
        <v>5.4870000000000002E-2</v>
      </c>
      <c r="X109" s="42">
        <v>0</v>
      </c>
      <c r="Y109" s="32">
        <v>0.30283121635129684</v>
      </c>
      <c r="Z109" s="32">
        <v>0.14433756729740643</v>
      </c>
      <c r="AA109" s="34">
        <v>0.25</v>
      </c>
      <c r="AC109" s="15"/>
      <c r="AD109" s="28"/>
      <c r="AE109" s="31">
        <v>1</v>
      </c>
      <c r="AF109" s="37">
        <v>1.8800000000000001E-2</v>
      </c>
      <c r="AG109" s="32">
        <f>1/44.1</f>
        <v>2.2675736961451247E-2</v>
      </c>
      <c r="AH109" s="32">
        <f>1/16.2</f>
        <v>6.1728395061728399E-2</v>
      </c>
      <c r="AI109" s="32">
        <f>1/55.9</f>
        <v>1.7889087656529516E-2</v>
      </c>
      <c r="AJ109" s="32">
        <f>1/18.3</f>
        <v>5.4644808743169397E-2</v>
      </c>
      <c r="AK109" s="42">
        <v>0</v>
      </c>
      <c r="AL109" s="32">
        <v>0.30283121635129684</v>
      </c>
      <c r="AM109" s="32">
        <v>0.14433756729740643</v>
      </c>
      <c r="AN109" s="34">
        <v>0.25</v>
      </c>
      <c r="AP109" s="15"/>
      <c r="AQ109" s="28"/>
      <c r="AR109" s="31">
        <v>1</v>
      </c>
      <c r="AS109" s="45">
        <f>AF109*(1-0.2^2)</f>
        <v>1.8048000000000002E-2</v>
      </c>
      <c r="AT109" s="32">
        <f>1/38.1</f>
        <v>2.6246719160104987E-2</v>
      </c>
      <c r="AU109" s="32">
        <f>1/16.2</f>
        <v>6.1728395061728399E-2</v>
      </c>
      <c r="AV109" s="32">
        <f>1/44.6</f>
        <v>2.2421524663677129E-2</v>
      </c>
      <c r="AW109" s="32">
        <f>1/18.3</f>
        <v>5.4644808743169397E-2</v>
      </c>
      <c r="AX109" s="42">
        <v>0</v>
      </c>
      <c r="AY109" s="32">
        <v>0.30283121635129684</v>
      </c>
      <c r="AZ109" s="32">
        <v>0.14433756729740643</v>
      </c>
      <c r="BA109" s="34">
        <v>0.25</v>
      </c>
      <c r="BC109" s="25"/>
      <c r="BD109" s="47"/>
      <c r="BE109" s="53">
        <v>1</v>
      </c>
      <c r="BF109" s="49">
        <v>1.84E-2</v>
      </c>
      <c r="BG109" s="50">
        <v>2.52E-2</v>
      </c>
      <c r="BH109" s="96">
        <v>5.96E-2</v>
      </c>
      <c r="BI109" s="50">
        <v>2.0199999999999999E-2</v>
      </c>
      <c r="BJ109" s="50">
        <v>5.4600000000000003E-2</v>
      </c>
      <c r="BK109" s="42">
        <v>0</v>
      </c>
      <c r="BL109" s="32">
        <v>0.30283121635129684</v>
      </c>
      <c r="BM109" s="32">
        <v>0.14433756729740643</v>
      </c>
      <c r="BN109" s="34">
        <v>0.25</v>
      </c>
      <c r="BP109" s="15"/>
      <c r="BQ109" s="28"/>
      <c r="BR109" s="31">
        <v>1</v>
      </c>
      <c r="BS109" s="45">
        <f>2*CG109*CC109*BR109^4/32</f>
        <v>1.7578125000000003E-2</v>
      </c>
      <c r="BT109" s="78">
        <f t="shared" ref="BT109:BT119" si="134">CF109*CB109/CD109</f>
        <v>2.2633744855967076E-2</v>
      </c>
      <c r="BU109" s="78">
        <f t="shared" ref="BU109:BU119" si="135">CB109/12</f>
        <v>5.5555555555555552E-2</v>
      </c>
      <c r="BV109" s="78">
        <f t="shared" ref="BV109:BV119" si="136">CG109*CC109*BR109^2/CE109</f>
        <v>1.9775390625000003E-2</v>
      </c>
      <c r="BW109" s="78">
        <f t="shared" ref="BW109:BW119" si="137">CC109*BR109^2/8</f>
        <v>4.1666666666666671E-2</v>
      </c>
      <c r="BX109" s="42">
        <v>0</v>
      </c>
      <c r="BY109" s="32">
        <v>0.30283121635129684</v>
      </c>
      <c r="BZ109" s="32">
        <v>0.14433756729740643</v>
      </c>
      <c r="CA109" s="34">
        <v>0.25</v>
      </c>
      <c r="CB109" s="37">
        <f t="shared" ref="CB109:CB119" si="138">2*BR109^4/(1+2*BR109^4)</f>
        <v>0.66666666666666663</v>
      </c>
      <c r="CC109" s="37">
        <f>1-CB109</f>
        <v>0.33333333333333337</v>
      </c>
      <c r="CD109" s="35">
        <v>24</v>
      </c>
      <c r="CE109" s="72">
        <f>128/9</f>
        <v>14.222222222222221</v>
      </c>
      <c r="CF109" s="37">
        <f t="shared" ref="CF109:CF119" si="139">1-(20*CB109)/(3*CD109*BR109^2)</f>
        <v>0.81481481481481488</v>
      </c>
      <c r="CG109" s="37">
        <f t="shared" ref="CG109:CG119" si="140">1-(20*CC109*BR109^2)/(3*CE109)</f>
        <v>0.84375</v>
      </c>
      <c r="CI109" s="15"/>
      <c r="CJ109" s="28"/>
      <c r="CK109" s="31">
        <v>1</v>
      </c>
      <c r="CL109" s="45">
        <f t="shared" ref="CL109:CL119" si="141">(1-$CJ$14^2)*BS109</f>
        <v>1.6875000000000001E-2</v>
      </c>
      <c r="CM109" s="78">
        <f>BT109+$CJ$14*BV109</f>
        <v>2.6588822980967076E-2</v>
      </c>
      <c r="CN109" s="78">
        <v>5.5555555555555552E-2</v>
      </c>
      <c r="CO109" s="78">
        <f>$CJ$14*BT109+BV109</f>
        <v>2.4302139596193418E-2</v>
      </c>
      <c r="CP109" s="78">
        <v>4.1666666666666671E-2</v>
      </c>
      <c r="CQ109" s="42">
        <v>0</v>
      </c>
      <c r="CR109" s="32">
        <v>0.30283121635129684</v>
      </c>
      <c r="CS109" s="32">
        <v>0.14433756729740643</v>
      </c>
      <c r="CT109" s="34">
        <v>0.25</v>
      </c>
      <c r="CV109" s="25"/>
      <c r="CW109" s="47"/>
      <c r="CX109" s="53">
        <v>1</v>
      </c>
      <c r="CY109" s="45">
        <f>(1-$CW$14^2)/(1-$CW$13^2)*BF109</f>
        <v>1.8823529411764708E-2</v>
      </c>
      <c r="CZ109" s="78">
        <f>(1/(1-$CW$13^2))*((1-$CW$13*$CW$14)*BG109+($CW$14-$CW$13)*BI109)</f>
        <v>2.2680306905370849E-2</v>
      </c>
      <c r="DA109" s="50">
        <v>6.1699999999999998E-2</v>
      </c>
      <c r="DB109" s="78">
        <f>(1/(1-$CW$13^2))*((1-$CW$13*$CW$14)*BI109+($CW$14-$CW$13)*BG109)</f>
        <v>1.6797953964194375E-2</v>
      </c>
      <c r="DC109" s="50">
        <v>5.4600000000000003E-2</v>
      </c>
      <c r="DD109" s="42">
        <v>0</v>
      </c>
      <c r="DE109" s="32">
        <v>0.30283121635129684</v>
      </c>
      <c r="DF109" s="32">
        <v>0.14433756729740643</v>
      </c>
      <c r="DG109" s="34">
        <v>0.25</v>
      </c>
      <c r="DI109" s="25"/>
      <c r="DJ109" s="47"/>
      <c r="DK109" s="53">
        <v>1</v>
      </c>
      <c r="DL109" s="49">
        <v>1.84E-2</v>
      </c>
      <c r="DM109" s="50">
        <v>2.52E-2</v>
      </c>
      <c r="DN109" s="50">
        <v>6.1699999999999998E-2</v>
      </c>
      <c r="DO109" s="50">
        <v>2.0199999999999999E-2</v>
      </c>
      <c r="DP109" s="50">
        <v>5.4600000000000003E-2</v>
      </c>
      <c r="DQ109" s="42">
        <v>0</v>
      </c>
      <c r="DR109" s="32">
        <v>0.30283121635129684</v>
      </c>
      <c r="DS109" s="32">
        <v>0.14433756729740643</v>
      </c>
      <c r="DT109" s="34">
        <v>0.25</v>
      </c>
    </row>
    <row r="110" spans="1:124" ht="12" customHeight="1" x14ac:dyDescent="0.2">
      <c r="A110" s="1"/>
      <c r="B110" s="25"/>
      <c r="C110" s="47"/>
      <c r="D110" s="68">
        <v>1.1000000000000001</v>
      </c>
      <c r="E110" s="85">
        <f t="shared" si="93"/>
        <v>2.1100000000000001E-2</v>
      </c>
      <c r="F110" s="85">
        <f t="shared" si="94"/>
        <v>3.0280000000000001E-2</v>
      </c>
      <c r="G110" s="85">
        <f t="shared" si="95"/>
        <v>6.6739999999999994E-2</v>
      </c>
      <c r="H110" s="85">
        <f t="shared" si="96"/>
        <v>2.1530000000000001E-2</v>
      </c>
      <c r="I110" s="85">
        <f t="shared" si="97"/>
        <v>5.5980000000000002E-2</v>
      </c>
      <c r="J110" s="85">
        <f t="shared" si="98"/>
        <v>0</v>
      </c>
      <c r="K110" s="85">
        <f t="shared" si="99"/>
        <v>0.32075565122845162</v>
      </c>
      <c r="L110" s="85">
        <f t="shared" si="100"/>
        <v>0.14433756729740643</v>
      </c>
      <c r="M110" s="85">
        <f t="shared" si="101"/>
        <v>0.25</v>
      </c>
      <c r="N110" s="1"/>
      <c r="P110" s="15"/>
      <c r="Q110" s="28"/>
      <c r="R110" s="31">
        <v>1.1000000000000001</v>
      </c>
      <c r="S110" s="37">
        <v>2.1100000000000001E-2</v>
      </c>
      <c r="T110" s="32">
        <v>3.0280000000000001E-2</v>
      </c>
      <c r="U110" s="32">
        <v>6.6739999999999994E-2</v>
      </c>
      <c r="V110" s="32">
        <v>2.1530000000000001E-2</v>
      </c>
      <c r="W110" s="32">
        <v>5.5980000000000002E-2</v>
      </c>
      <c r="X110" s="42">
        <v>0</v>
      </c>
      <c r="Y110" s="32">
        <v>0.32075565122845162</v>
      </c>
      <c r="Z110" s="32">
        <v>0.14433756729740643</v>
      </c>
      <c r="AA110" s="34">
        <v>0.25</v>
      </c>
      <c r="AC110" s="15"/>
      <c r="AD110" s="28"/>
      <c r="AE110" s="31">
        <v>1.1000000000000001</v>
      </c>
      <c r="AF110" s="37">
        <v>2.1399999999999999E-2</v>
      </c>
      <c r="AG110" s="32">
        <f>1/37.9</f>
        <v>2.6385224274406333E-2</v>
      </c>
      <c r="AH110" s="32">
        <f>1/14.8</f>
        <v>6.7567567567567557E-2</v>
      </c>
      <c r="AI110" s="32">
        <f>1/60.3</f>
        <v>1.658374792703151E-2</v>
      </c>
      <c r="AJ110" s="32">
        <f>1/17.7</f>
        <v>5.6497175141242938E-2</v>
      </c>
      <c r="AK110" s="42">
        <v>0</v>
      </c>
      <c r="AL110" s="32">
        <v>0.32075565122845162</v>
      </c>
      <c r="AM110" s="32">
        <v>0.14433756729740643</v>
      </c>
      <c r="AN110" s="34">
        <v>0.25</v>
      </c>
      <c r="AP110" s="15"/>
      <c r="AQ110" s="28"/>
      <c r="AR110" s="31">
        <v>1.1000000000000001</v>
      </c>
      <c r="AS110" s="45">
        <f t="shared" ref="AS110:AS119" si="142">AF110*(1-0.2^2)</f>
        <v>2.0544E-2</v>
      </c>
      <c r="AT110" s="32">
        <f>1/33.7</f>
        <v>2.9673590504451036E-2</v>
      </c>
      <c r="AU110" s="32">
        <f>1/14.8</f>
        <v>6.7567567567567557E-2</v>
      </c>
      <c r="AV110" s="32">
        <f>1/45.7</f>
        <v>2.1881838074398249E-2</v>
      </c>
      <c r="AW110" s="32">
        <f>1/17.7</f>
        <v>5.6497175141242938E-2</v>
      </c>
      <c r="AX110" s="42">
        <v>0</v>
      </c>
      <c r="AY110" s="32">
        <v>0.32075565122845162</v>
      </c>
      <c r="AZ110" s="32">
        <v>0.14433756729740643</v>
      </c>
      <c r="BA110" s="34">
        <v>0.25</v>
      </c>
      <c r="BC110" s="25"/>
      <c r="BD110" s="47"/>
      <c r="BE110" s="53">
        <v>1.1000000000000001</v>
      </c>
      <c r="BF110" s="49">
        <v>2.0790220000000005E-2</v>
      </c>
      <c r="BG110" s="50">
        <v>2.87E-2</v>
      </c>
      <c r="BH110" s="96">
        <v>6.54E-2</v>
      </c>
      <c r="BI110" s="50">
        <v>1.9118000000000003E-2</v>
      </c>
      <c r="BJ110" s="50">
        <v>5.6507000000000002E-2</v>
      </c>
      <c r="BK110" s="42">
        <v>0</v>
      </c>
      <c r="BL110" s="32">
        <v>0.32075565122845162</v>
      </c>
      <c r="BM110" s="32">
        <v>0.14433756729740643</v>
      </c>
      <c r="BN110" s="34">
        <v>0.25</v>
      </c>
      <c r="BP110" s="15"/>
      <c r="BQ110" s="28"/>
      <c r="BR110" s="31">
        <v>1.1000000000000001</v>
      </c>
      <c r="BS110" s="45">
        <f t="shared" ref="BS110:BS119" si="143">2*CG110*CC110*BR110^4/32</f>
        <v>1.9931211745286233E-2</v>
      </c>
      <c r="BT110" s="78">
        <f t="shared" si="134"/>
        <v>2.5744457472001034E-2</v>
      </c>
      <c r="BU110" s="78">
        <f t="shared" si="135"/>
        <v>6.21192064219405E-2</v>
      </c>
      <c r="BV110" s="78">
        <f t="shared" si="136"/>
        <v>1.853108530036943E-2</v>
      </c>
      <c r="BW110" s="78">
        <f t="shared" si="137"/>
        <v>3.8503640344177997E-2</v>
      </c>
      <c r="BX110" s="42">
        <v>0</v>
      </c>
      <c r="BY110" s="32">
        <v>0.32075565122845162</v>
      </c>
      <c r="BZ110" s="32">
        <v>0.14433756729740643</v>
      </c>
      <c r="CA110" s="34">
        <v>0.25</v>
      </c>
      <c r="CB110" s="37">
        <f t="shared" si="138"/>
        <v>0.74543047706328602</v>
      </c>
      <c r="CC110" s="37">
        <f t="shared" ref="CC110:CC119" si="144">1-CB110</f>
        <v>0.25456952293671398</v>
      </c>
      <c r="CD110" s="35">
        <v>24</v>
      </c>
      <c r="CE110" s="72">
        <f t="shared" ref="CE110:CE119" si="145">128/9</f>
        <v>14.222222222222221</v>
      </c>
      <c r="CF110" s="37">
        <f t="shared" si="139"/>
        <v>0.82887270958143122</v>
      </c>
      <c r="CG110" s="37">
        <f t="shared" si="140"/>
        <v>0.85561134870933253</v>
      </c>
      <c r="CI110" s="15"/>
      <c r="CJ110" s="28"/>
      <c r="CK110" s="31">
        <v>1.1000000000000001</v>
      </c>
      <c r="CL110" s="45">
        <f t="shared" si="141"/>
        <v>1.9133963275474782E-2</v>
      </c>
      <c r="CM110" s="78">
        <f t="shared" ref="CM110:CM119" si="146">BT110+$CJ$14*BV110</f>
        <v>2.9450674532074922E-2</v>
      </c>
      <c r="CN110" s="78">
        <v>6.21192064219405E-2</v>
      </c>
      <c r="CO110" s="78">
        <f t="shared" ref="CO110:CO119" si="147">$CJ$14*BT110+BV110</f>
        <v>2.3679976794769637E-2</v>
      </c>
      <c r="CP110" s="78">
        <v>3.8503640344177997E-2</v>
      </c>
      <c r="CQ110" s="42">
        <v>0</v>
      </c>
      <c r="CR110" s="32">
        <v>0.32075565122845162</v>
      </c>
      <c r="CS110" s="32">
        <v>0.14433756729740643</v>
      </c>
      <c r="CT110" s="34">
        <v>0.25</v>
      </c>
      <c r="CV110" s="25"/>
      <c r="CW110" s="47"/>
      <c r="CX110" s="53">
        <v>1.1000000000000001</v>
      </c>
      <c r="CY110" s="45">
        <f t="shared" ref="CY110:CY119" si="148">(1-$CW$14^2)/(1-$CW$13^2)*BF110</f>
        <v>2.1268767263427118E-2</v>
      </c>
      <c r="CZ110" s="78">
        <f t="shared" ref="CZ110:CZ119" si="149">(1/(1-$CW$13^2))*((1-$CW$13*$CW$14)*BG110+($CW$14-$CW$13)*BI110)</f>
        <v>2.6426905370843991E-2</v>
      </c>
      <c r="DA110" s="50">
        <v>6.7599999999999993E-2</v>
      </c>
      <c r="DB110" s="78">
        <f t="shared" ref="DB110:DB119" si="150">(1/(1-$CW$13^2))*((1-$CW$13*$CW$14)*BI110+($CW$14-$CW$13)*BG110)</f>
        <v>1.5153964194373405E-2</v>
      </c>
      <c r="DC110" s="50">
        <v>5.6500000000000002E-2</v>
      </c>
      <c r="DD110" s="42">
        <v>0</v>
      </c>
      <c r="DE110" s="32">
        <v>0.32075565122845162</v>
      </c>
      <c r="DF110" s="32">
        <v>0.14433756729740643</v>
      </c>
      <c r="DG110" s="34">
        <v>0.25</v>
      </c>
      <c r="DI110" s="25"/>
      <c r="DJ110" s="47"/>
      <c r="DK110" s="53">
        <v>1.1000000000000001</v>
      </c>
      <c r="DL110" s="49">
        <v>2.0799999999999999E-2</v>
      </c>
      <c r="DM110" s="50">
        <v>2.87E-2</v>
      </c>
      <c r="DN110" s="50">
        <v>6.7599999999999993E-2</v>
      </c>
      <c r="DO110" s="50">
        <v>1.9099999999999999E-2</v>
      </c>
      <c r="DP110" s="50">
        <v>5.6500000000000002E-2</v>
      </c>
      <c r="DQ110" s="42">
        <v>0</v>
      </c>
      <c r="DR110" s="32">
        <v>0.32075565122845162</v>
      </c>
      <c r="DS110" s="32">
        <v>0.14433756729740643</v>
      </c>
      <c r="DT110" s="34">
        <v>0.25</v>
      </c>
    </row>
    <row r="111" spans="1:124" ht="12" customHeight="1" x14ac:dyDescent="0.2">
      <c r="A111" s="1"/>
      <c r="B111" s="25"/>
      <c r="C111" s="47"/>
      <c r="D111" s="68">
        <v>1.2</v>
      </c>
      <c r="E111" s="85">
        <f t="shared" si="93"/>
        <v>2.3199999999999998E-2</v>
      </c>
      <c r="F111" s="85">
        <f t="shared" si="94"/>
        <v>3.3099999999999997E-2</v>
      </c>
      <c r="G111" s="85">
        <f t="shared" si="95"/>
        <v>7.1279999999999996E-2</v>
      </c>
      <c r="H111" s="85">
        <f t="shared" si="96"/>
        <v>2.0389999999999998E-2</v>
      </c>
      <c r="I111" s="85">
        <f t="shared" si="97"/>
        <v>5.6489999999999999E-2</v>
      </c>
      <c r="J111" s="85">
        <f t="shared" si="98"/>
        <v>0</v>
      </c>
      <c r="K111" s="85">
        <f t="shared" si="99"/>
        <v>0.33569268029274735</v>
      </c>
      <c r="L111" s="85">
        <f t="shared" si="100"/>
        <v>0.14433756729740643</v>
      </c>
      <c r="M111" s="85">
        <f t="shared" si="101"/>
        <v>0.25</v>
      </c>
      <c r="N111" s="1"/>
      <c r="P111" s="15"/>
      <c r="Q111" s="28"/>
      <c r="R111" s="31">
        <v>1.2</v>
      </c>
      <c r="S111" s="37">
        <v>2.3199999999999998E-2</v>
      </c>
      <c r="T111" s="32">
        <v>3.3099999999999997E-2</v>
      </c>
      <c r="U111" s="32">
        <v>7.1279999999999996E-2</v>
      </c>
      <c r="V111" s="32">
        <v>2.0389999999999998E-2</v>
      </c>
      <c r="W111" s="32">
        <v>5.6489999999999999E-2</v>
      </c>
      <c r="X111" s="42">
        <v>0</v>
      </c>
      <c r="Y111" s="32">
        <v>0.33569268029274735</v>
      </c>
      <c r="Z111" s="32">
        <v>0.14433756729740643</v>
      </c>
      <c r="AA111" s="34">
        <v>0.25</v>
      </c>
      <c r="AC111" s="15"/>
      <c r="AD111" s="28"/>
      <c r="AE111" s="31">
        <v>1.2</v>
      </c>
      <c r="AF111" s="37">
        <v>2.3599999999999999E-2</v>
      </c>
      <c r="AG111" s="32">
        <f>1/33.8</f>
        <v>2.9585798816568049E-2</v>
      </c>
      <c r="AH111" s="32">
        <f>1/13.9</f>
        <v>7.1942446043165464E-2</v>
      </c>
      <c r="AI111" s="32">
        <f>1/66.2</f>
        <v>1.5105740181268881E-2</v>
      </c>
      <c r="AJ111" s="32">
        <f t="shared" ref="AJ111:AJ119" si="151">1/17.5</f>
        <v>5.7142857142857141E-2</v>
      </c>
      <c r="AK111" s="42">
        <v>0</v>
      </c>
      <c r="AL111" s="32">
        <v>0.33569268029274735</v>
      </c>
      <c r="AM111" s="32">
        <v>0.14433756729740643</v>
      </c>
      <c r="AN111" s="34">
        <v>0.25</v>
      </c>
      <c r="AP111" s="15"/>
      <c r="AQ111" s="28"/>
      <c r="AR111" s="31">
        <v>1.2</v>
      </c>
      <c r="AS111" s="45">
        <f t="shared" si="142"/>
        <v>2.2655999999999999E-2</v>
      </c>
      <c r="AT111" s="32">
        <f>1/30.7</f>
        <v>3.2573289902280131E-2</v>
      </c>
      <c r="AU111" s="32">
        <f>1/13.9</f>
        <v>7.1942446043165464E-2</v>
      </c>
      <c r="AV111" s="32">
        <f>1/47.6</f>
        <v>2.1008403361344536E-2</v>
      </c>
      <c r="AW111" s="32">
        <f t="shared" ref="AW111:AW119" si="152">1/17.5</f>
        <v>5.7142857142857141E-2</v>
      </c>
      <c r="AX111" s="42">
        <v>0</v>
      </c>
      <c r="AY111" s="32">
        <v>0.33569268029274735</v>
      </c>
      <c r="AZ111" s="32">
        <v>0.14433756729740643</v>
      </c>
      <c r="BA111" s="34">
        <v>0.25</v>
      </c>
      <c r="BC111" s="25"/>
      <c r="BD111" s="47"/>
      <c r="BE111" s="53">
        <v>1.2</v>
      </c>
      <c r="BF111" s="49">
        <v>2.2809599999999996E-2</v>
      </c>
      <c r="BG111" s="50">
        <v>3.1600000000000003E-2</v>
      </c>
      <c r="BH111" s="96">
        <v>7.0000000000000007E-2</v>
      </c>
      <c r="BI111" s="50">
        <v>1.7712000000000002E-2</v>
      </c>
      <c r="BJ111" s="50">
        <v>5.7455999999999993E-2</v>
      </c>
      <c r="BK111" s="42">
        <v>0</v>
      </c>
      <c r="BL111" s="32">
        <v>0.33569268029274735</v>
      </c>
      <c r="BM111" s="32">
        <v>0.14433756729740643</v>
      </c>
      <c r="BN111" s="34">
        <v>0.25</v>
      </c>
      <c r="BP111" s="15"/>
      <c r="BQ111" s="28"/>
      <c r="BR111" s="31">
        <v>1.2</v>
      </c>
      <c r="BS111" s="45">
        <f t="shared" si="143"/>
        <v>2.1876816886974307E-2</v>
      </c>
      <c r="BT111" s="78">
        <f t="shared" si="134"/>
        <v>2.8353800030128256E-2</v>
      </c>
      <c r="BU111" s="78">
        <f t="shared" si="135"/>
        <v>6.7143301212309603E-2</v>
      </c>
      <c r="BV111" s="78">
        <f t="shared" si="136"/>
        <v>1.7091263192948677E-2</v>
      </c>
      <c r="BW111" s="78">
        <f t="shared" si="137"/>
        <v>3.4970469381411254E-2</v>
      </c>
      <c r="BX111" s="42">
        <v>0</v>
      </c>
      <c r="BY111" s="32">
        <v>0.33569268029274735</v>
      </c>
      <c r="BZ111" s="32">
        <v>0.14433756729740643</v>
      </c>
      <c r="CA111" s="34">
        <v>0.25</v>
      </c>
      <c r="CB111" s="37">
        <f t="shared" si="138"/>
        <v>0.80571961454771523</v>
      </c>
      <c r="CC111" s="37">
        <f t="shared" si="144"/>
        <v>0.19428038545228477</v>
      </c>
      <c r="CD111" s="35">
        <v>24</v>
      </c>
      <c r="CE111" s="72">
        <f t="shared" si="145"/>
        <v>14.222222222222221</v>
      </c>
      <c r="CF111" s="37">
        <f t="shared" si="139"/>
        <v>0.84457569163817214</v>
      </c>
      <c r="CG111" s="37">
        <f t="shared" si="140"/>
        <v>0.86886073981970779</v>
      </c>
      <c r="CI111" s="15"/>
      <c r="CJ111" s="28"/>
      <c r="CK111" s="31">
        <v>1.2</v>
      </c>
      <c r="CL111" s="45">
        <f t="shared" si="141"/>
        <v>2.1001744211495334E-2</v>
      </c>
      <c r="CM111" s="78">
        <f t="shared" si="146"/>
        <v>3.1772052668717993E-2</v>
      </c>
      <c r="CN111" s="78">
        <v>6.7143301212309603E-2</v>
      </c>
      <c r="CO111" s="78">
        <f t="shared" si="147"/>
        <v>2.2762023198974329E-2</v>
      </c>
      <c r="CP111" s="78">
        <v>3.4970469381411254E-2</v>
      </c>
      <c r="CQ111" s="42">
        <v>0</v>
      </c>
      <c r="CR111" s="32">
        <v>0.33569268029274735</v>
      </c>
      <c r="CS111" s="32">
        <v>0.14433756729740643</v>
      </c>
      <c r="CT111" s="34">
        <v>0.25</v>
      </c>
      <c r="CV111" s="25"/>
      <c r="CW111" s="47"/>
      <c r="CX111" s="53">
        <v>1.2</v>
      </c>
      <c r="CY111" s="45">
        <f t="shared" si="148"/>
        <v>2.3334629156010228E-2</v>
      </c>
      <c r="CZ111" s="78">
        <f t="shared" si="149"/>
        <v>2.9609411764705888E-2</v>
      </c>
      <c r="DA111" s="50">
        <v>7.22E-2</v>
      </c>
      <c r="DB111" s="78">
        <f t="shared" si="150"/>
        <v>1.3270588235294119E-2</v>
      </c>
      <c r="DC111" s="50">
        <v>5.7500000000000002E-2</v>
      </c>
      <c r="DD111" s="42">
        <v>0</v>
      </c>
      <c r="DE111" s="32">
        <v>0.33569268029274735</v>
      </c>
      <c r="DF111" s="32">
        <v>0.14433756729740643</v>
      </c>
      <c r="DG111" s="34">
        <v>0.25</v>
      </c>
      <c r="DI111" s="25"/>
      <c r="DJ111" s="47"/>
      <c r="DK111" s="53">
        <v>1.2</v>
      </c>
      <c r="DL111" s="49">
        <v>2.2799999999999997E-2</v>
      </c>
      <c r="DM111" s="50">
        <v>3.1600000000000003E-2</v>
      </c>
      <c r="DN111" s="50">
        <v>7.22E-2</v>
      </c>
      <c r="DO111" s="50">
        <v>1.77E-2</v>
      </c>
      <c r="DP111" s="50">
        <v>5.7500000000000002E-2</v>
      </c>
      <c r="DQ111" s="42">
        <v>0</v>
      </c>
      <c r="DR111" s="32">
        <v>0.33569268029274735</v>
      </c>
      <c r="DS111" s="32">
        <v>0.14433756729740643</v>
      </c>
      <c r="DT111" s="34">
        <v>0.25</v>
      </c>
    </row>
    <row r="112" spans="1:124" ht="12" customHeight="1" x14ac:dyDescent="0.2">
      <c r="A112" s="1"/>
      <c r="B112" s="25"/>
      <c r="C112" s="47"/>
      <c r="D112" s="68">
        <v>1.3</v>
      </c>
      <c r="E112" s="85">
        <f t="shared" si="93"/>
        <v>2.4899999999999999E-2</v>
      </c>
      <c r="F112" s="85">
        <f t="shared" si="94"/>
        <v>3.5380000000000002E-2</v>
      </c>
      <c r="G112" s="85">
        <f t="shared" si="95"/>
        <v>7.4829999999999994E-2</v>
      </c>
      <c r="H112" s="85">
        <f t="shared" si="96"/>
        <v>1.9439999999999999E-2</v>
      </c>
      <c r="I112" s="85">
        <f t="shared" si="97"/>
        <v>5.6640000000000003E-2</v>
      </c>
      <c r="J112" s="85">
        <f t="shared" si="98"/>
        <v>0</v>
      </c>
      <c r="K112" s="85">
        <f t="shared" si="99"/>
        <v>0.34833170488561294</v>
      </c>
      <c r="L112" s="85">
        <f t="shared" si="100"/>
        <v>0.14433756729740643</v>
      </c>
      <c r="M112" s="85">
        <f t="shared" si="101"/>
        <v>0.25</v>
      </c>
      <c r="N112" s="1"/>
      <c r="P112" s="15"/>
      <c r="Q112" s="28"/>
      <c r="R112" s="31">
        <v>1.3</v>
      </c>
      <c r="S112" s="37">
        <v>2.4899999999999999E-2</v>
      </c>
      <c r="T112" s="32">
        <v>3.5380000000000002E-2</v>
      </c>
      <c r="U112" s="32">
        <v>7.4829999999999994E-2</v>
      </c>
      <c r="V112" s="32">
        <v>1.9439999999999999E-2</v>
      </c>
      <c r="W112" s="32">
        <v>5.6640000000000003E-2</v>
      </c>
      <c r="X112" s="42">
        <v>0</v>
      </c>
      <c r="Y112" s="32">
        <v>0.34833170488561294</v>
      </c>
      <c r="Z112" s="32">
        <v>0.14433756729740643</v>
      </c>
      <c r="AA112" s="34">
        <v>0.25</v>
      </c>
      <c r="AC112" s="15"/>
      <c r="AD112" s="28"/>
      <c r="AE112" s="31">
        <v>1.3</v>
      </c>
      <c r="AF112" s="37">
        <v>2.53E-2</v>
      </c>
      <c r="AG112" s="32">
        <f>1/31</f>
        <v>3.2258064516129031E-2</v>
      </c>
      <c r="AH112" s="32">
        <f>1/13.2</f>
        <v>7.575757575757576E-2</v>
      </c>
      <c r="AI112" s="32">
        <f>1/69</f>
        <v>1.4492753623188406E-2</v>
      </c>
      <c r="AJ112" s="32">
        <f t="shared" si="151"/>
        <v>5.7142857142857141E-2</v>
      </c>
      <c r="AK112" s="42">
        <v>0</v>
      </c>
      <c r="AL112" s="32">
        <v>0.34833170488561294</v>
      </c>
      <c r="AM112" s="32">
        <v>0.14433756729740643</v>
      </c>
      <c r="AN112" s="34">
        <v>0.25</v>
      </c>
      <c r="AP112" s="15"/>
      <c r="AQ112" s="28"/>
      <c r="AR112" s="31">
        <v>1.3</v>
      </c>
      <c r="AS112" s="45">
        <f t="shared" si="142"/>
        <v>2.4287999999999997E-2</v>
      </c>
      <c r="AT112" s="32">
        <f>1/28.4</f>
        <v>3.5211267605633804E-2</v>
      </c>
      <c r="AU112" s="32">
        <f>1/13.2</f>
        <v>7.575757575757576E-2</v>
      </c>
      <c r="AV112" s="32">
        <f>1/47.7</f>
        <v>2.0964360587002094E-2</v>
      </c>
      <c r="AW112" s="32">
        <f t="shared" si="152"/>
        <v>5.7142857142857141E-2</v>
      </c>
      <c r="AX112" s="42">
        <v>0</v>
      </c>
      <c r="AY112" s="32">
        <v>0.34833170488561294</v>
      </c>
      <c r="AZ112" s="32">
        <v>0.14433756729740643</v>
      </c>
      <c r="BA112" s="34">
        <v>0.25</v>
      </c>
      <c r="BC112" s="25"/>
      <c r="BD112" s="47"/>
      <c r="BE112" s="53">
        <v>1.3</v>
      </c>
      <c r="BF112" s="49">
        <v>2.4562460000000005E-2</v>
      </c>
      <c r="BG112" s="50">
        <v>3.4000000000000002E-2</v>
      </c>
      <c r="BH112" s="96">
        <v>7.3700000000000002E-2</v>
      </c>
      <c r="BI112" s="50">
        <v>1.6224000000000002E-2</v>
      </c>
      <c r="BJ112" s="50">
        <v>5.7629000000000007E-2</v>
      </c>
      <c r="BK112" s="42">
        <v>0</v>
      </c>
      <c r="BL112" s="32">
        <v>0.34833170488561294</v>
      </c>
      <c r="BM112" s="32">
        <v>0.14433756729740643</v>
      </c>
      <c r="BN112" s="34">
        <v>0.25</v>
      </c>
      <c r="BP112" s="15"/>
      <c r="BQ112" s="28"/>
      <c r="BR112" s="31">
        <v>1.3</v>
      </c>
      <c r="BS112" s="45">
        <f t="shared" si="143"/>
        <v>2.3455585233345323E-2</v>
      </c>
      <c r="BT112" s="78">
        <f t="shared" si="134"/>
        <v>3.0499122728831235E-2</v>
      </c>
      <c r="BU112" s="78">
        <f t="shared" si="135"/>
        <v>7.0918129177716199E-2</v>
      </c>
      <c r="BV112" s="78">
        <f t="shared" si="136"/>
        <v>1.5613925081368926E-2</v>
      </c>
      <c r="BW112" s="78">
        <f t="shared" si="137"/>
        <v>3.1472542534489438E-2</v>
      </c>
      <c r="BX112" s="42">
        <v>0</v>
      </c>
      <c r="BY112" s="32">
        <v>0.34833170488561294</v>
      </c>
      <c r="BZ112" s="32">
        <v>0.14433756729740643</v>
      </c>
      <c r="CA112" s="34">
        <v>0.25</v>
      </c>
      <c r="CB112" s="37">
        <f t="shared" si="138"/>
        <v>0.85101755013259439</v>
      </c>
      <c r="CC112" s="37">
        <f t="shared" si="144"/>
        <v>0.14898244986740561</v>
      </c>
      <c r="CD112" s="35">
        <v>24</v>
      </c>
      <c r="CE112" s="72">
        <f t="shared" si="145"/>
        <v>14.222222222222221</v>
      </c>
      <c r="CF112" s="37">
        <f t="shared" si="139"/>
        <v>0.86012203318004699</v>
      </c>
      <c r="CG112" s="37">
        <f t="shared" si="140"/>
        <v>0.88197796549566454</v>
      </c>
      <c r="CI112" s="15"/>
      <c r="CJ112" s="28"/>
      <c r="CK112" s="31">
        <v>1.3</v>
      </c>
      <c r="CL112" s="45">
        <f t="shared" si="141"/>
        <v>2.2517361824011508E-2</v>
      </c>
      <c r="CM112" s="78">
        <f t="shared" si="146"/>
        <v>3.3621907745105019E-2</v>
      </c>
      <c r="CN112" s="78">
        <v>7.0918129177716199E-2</v>
      </c>
      <c r="CO112" s="78">
        <f t="shared" si="147"/>
        <v>2.1713749627135175E-2</v>
      </c>
      <c r="CP112" s="78">
        <v>3.1472542534489438E-2</v>
      </c>
      <c r="CQ112" s="42">
        <v>0</v>
      </c>
      <c r="CR112" s="32">
        <v>0.34833170488561294</v>
      </c>
      <c r="CS112" s="32">
        <v>0.14433756729740643</v>
      </c>
      <c r="CT112" s="34">
        <v>0.25</v>
      </c>
      <c r="CV112" s="25"/>
      <c r="CW112" s="47"/>
      <c r="CX112" s="53">
        <v>1.3</v>
      </c>
      <c r="CY112" s="45">
        <f t="shared" si="148"/>
        <v>2.5127836317135555E-2</v>
      </c>
      <c r="CZ112" s="78">
        <f t="shared" si="149"/>
        <v>3.2292992327365731E-2</v>
      </c>
      <c r="DA112" s="50">
        <v>7.5700000000000003E-2</v>
      </c>
      <c r="DB112" s="78">
        <f t="shared" si="150"/>
        <v>1.1380051150895144E-2</v>
      </c>
      <c r="DC112" s="50">
        <v>5.7599999999999998E-2</v>
      </c>
      <c r="DD112" s="42">
        <v>0</v>
      </c>
      <c r="DE112" s="32">
        <v>0.34833170488561294</v>
      </c>
      <c r="DF112" s="32">
        <v>0.14433756729740643</v>
      </c>
      <c r="DG112" s="34">
        <v>0.25</v>
      </c>
      <c r="DI112" s="25"/>
      <c r="DJ112" s="47"/>
      <c r="DK112" s="53">
        <v>1.3</v>
      </c>
      <c r="DL112" s="49">
        <v>2.46E-2</v>
      </c>
      <c r="DM112" s="50">
        <v>3.4000000000000002E-2</v>
      </c>
      <c r="DN112" s="50">
        <v>7.5700000000000003E-2</v>
      </c>
      <c r="DO112" s="50">
        <v>1.6200000000000003E-2</v>
      </c>
      <c r="DP112" s="50">
        <v>5.7599999999999998E-2</v>
      </c>
      <c r="DQ112" s="42">
        <v>0</v>
      </c>
      <c r="DR112" s="32">
        <v>0.34833170488561294</v>
      </c>
      <c r="DS112" s="32">
        <v>0.14433756729740643</v>
      </c>
      <c r="DT112" s="34">
        <v>0.25</v>
      </c>
    </row>
    <row r="113" spans="1:124" ht="12" customHeight="1" x14ac:dyDescent="0.2">
      <c r="A113" s="1"/>
      <c r="B113" s="25"/>
      <c r="C113" s="47"/>
      <c r="D113" s="68">
        <v>1.4</v>
      </c>
      <c r="E113" s="85">
        <f t="shared" si="93"/>
        <v>2.6200000000000001E-2</v>
      </c>
      <c r="F113" s="85">
        <f t="shared" si="94"/>
        <v>3.7179999999999998E-2</v>
      </c>
      <c r="G113" s="85">
        <f t="shared" si="95"/>
        <v>7.7549999999999994E-2</v>
      </c>
      <c r="H113" s="85">
        <f t="shared" si="96"/>
        <v>1.873E-2</v>
      </c>
      <c r="I113" s="85">
        <f t="shared" si="97"/>
        <v>5.6599999999999998E-2</v>
      </c>
      <c r="J113" s="85">
        <f t="shared" si="98"/>
        <v>0</v>
      </c>
      <c r="K113" s="85">
        <f t="shared" si="99"/>
        <v>0.35916515453664055</v>
      </c>
      <c r="L113" s="85">
        <f t="shared" si="100"/>
        <v>0.14433756729740643</v>
      </c>
      <c r="M113" s="85">
        <f t="shared" si="101"/>
        <v>0.25</v>
      </c>
      <c r="N113" s="1"/>
      <c r="P113" s="15"/>
      <c r="Q113" s="28"/>
      <c r="R113" s="31">
        <v>1.4</v>
      </c>
      <c r="S113" s="37">
        <v>2.6200000000000001E-2</v>
      </c>
      <c r="T113" s="32">
        <v>3.7179999999999998E-2</v>
      </c>
      <c r="U113" s="32">
        <v>7.7549999999999994E-2</v>
      </c>
      <c r="V113" s="32">
        <v>1.873E-2</v>
      </c>
      <c r="W113" s="32">
        <v>5.6599999999999998E-2</v>
      </c>
      <c r="X113" s="42">
        <v>0</v>
      </c>
      <c r="Y113" s="32">
        <v>0.35916515453664055</v>
      </c>
      <c r="Z113" s="32">
        <v>0.14433756729740643</v>
      </c>
      <c r="AA113" s="34">
        <v>0.25</v>
      </c>
      <c r="AC113" s="15"/>
      <c r="AD113" s="28"/>
      <c r="AE113" s="31">
        <v>1.4</v>
      </c>
      <c r="AF113" s="37">
        <v>2.6800000000000001E-2</v>
      </c>
      <c r="AG113" s="32">
        <f>1/29</f>
        <v>3.4482758620689655E-2</v>
      </c>
      <c r="AH113" s="32">
        <f>1/12.7</f>
        <v>7.874015748031496E-2</v>
      </c>
      <c r="AI113" s="32">
        <f>1/72</f>
        <v>1.3888888888888888E-2</v>
      </c>
      <c r="AJ113" s="32">
        <f t="shared" si="151"/>
        <v>5.7142857142857141E-2</v>
      </c>
      <c r="AK113" s="42">
        <v>0</v>
      </c>
      <c r="AL113" s="32">
        <v>0.35916515453664055</v>
      </c>
      <c r="AM113" s="32">
        <v>0.14433756729740643</v>
      </c>
      <c r="AN113" s="34">
        <v>0.25</v>
      </c>
      <c r="AP113" s="15"/>
      <c r="AQ113" s="28"/>
      <c r="AR113" s="31">
        <v>1.4</v>
      </c>
      <c r="AS113" s="45">
        <f t="shared" si="142"/>
        <v>2.5728000000000001E-2</v>
      </c>
      <c r="AT113" s="32">
        <f>1/26.8</f>
        <v>3.7313432835820892E-2</v>
      </c>
      <c r="AU113" s="32">
        <f>1/12.7</f>
        <v>7.874015748031496E-2</v>
      </c>
      <c r="AV113" s="32">
        <f>1/48.1</f>
        <v>2.0790020790020788E-2</v>
      </c>
      <c r="AW113" s="32">
        <f t="shared" si="152"/>
        <v>5.7142857142857141E-2</v>
      </c>
      <c r="AX113" s="42">
        <v>0</v>
      </c>
      <c r="AY113" s="32">
        <v>0.35916515453664055</v>
      </c>
      <c r="AZ113" s="32">
        <v>0.14433756729740643</v>
      </c>
      <c r="BA113" s="34">
        <v>0.25</v>
      </c>
      <c r="BC113" s="25"/>
      <c r="BD113" s="47"/>
      <c r="BE113" s="53">
        <v>1.4</v>
      </c>
      <c r="BF113" s="49">
        <v>2.6122879999999991E-2</v>
      </c>
      <c r="BG113" s="50">
        <v>3.5900000000000001E-2</v>
      </c>
      <c r="BH113" s="96">
        <v>7.6700000000000004E-2</v>
      </c>
      <c r="BI113" s="50">
        <v>1.4699999999999998E-2</v>
      </c>
      <c r="BJ113" s="50">
        <v>5.7428E-2</v>
      </c>
      <c r="BK113" s="42">
        <v>0</v>
      </c>
      <c r="BL113" s="32">
        <v>0.35916515453664055</v>
      </c>
      <c r="BM113" s="32">
        <v>0.14433756729740643</v>
      </c>
      <c r="BN113" s="34">
        <v>0.25</v>
      </c>
      <c r="BP113" s="15"/>
      <c r="BQ113" s="28"/>
      <c r="BR113" s="31">
        <v>1.4</v>
      </c>
      <c r="BS113" s="45">
        <f t="shared" si="143"/>
        <v>2.4725395615678644E-2</v>
      </c>
      <c r="BT113" s="78">
        <f t="shared" si="134"/>
        <v>3.2244798906257151E-2</v>
      </c>
      <c r="BU113" s="78">
        <f t="shared" si="135"/>
        <v>7.3736256986671578E-2</v>
      </c>
      <c r="BV113" s="78">
        <f t="shared" si="136"/>
        <v>1.4191872483489023E-2</v>
      </c>
      <c r="BW113" s="78">
        <f t="shared" si="137"/>
        <v>2.8215404459185557E-2</v>
      </c>
      <c r="BX113" s="42">
        <v>0</v>
      </c>
      <c r="BY113" s="32">
        <v>0.35916515453664055</v>
      </c>
      <c r="BZ113" s="32">
        <v>0.14433756729740643</v>
      </c>
      <c r="CA113" s="34">
        <v>0.25</v>
      </c>
      <c r="CB113" s="37">
        <f t="shared" si="138"/>
        <v>0.88483508384005893</v>
      </c>
      <c r="CC113" s="37">
        <f t="shared" si="144"/>
        <v>0.11516491615994107</v>
      </c>
      <c r="CD113" s="35">
        <v>24</v>
      </c>
      <c r="CE113" s="72">
        <f t="shared" si="145"/>
        <v>14.222222222222221</v>
      </c>
      <c r="CF113" s="37">
        <f t="shared" si="139"/>
        <v>0.87459820240361974</v>
      </c>
      <c r="CG113" s="37">
        <f t="shared" si="140"/>
        <v>0.89419223327805419</v>
      </c>
      <c r="CI113" s="15"/>
      <c r="CJ113" s="28"/>
      <c r="CK113" s="31">
        <v>1.4</v>
      </c>
      <c r="CL113" s="45">
        <f t="shared" si="141"/>
        <v>2.3736379791051497E-2</v>
      </c>
      <c r="CM113" s="78">
        <f t="shared" si="146"/>
        <v>3.5083173402954956E-2</v>
      </c>
      <c r="CN113" s="78">
        <v>7.3736256986671578E-2</v>
      </c>
      <c r="CO113" s="78">
        <f t="shared" si="147"/>
        <v>2.0640832264740453E-2</v>
      </c>
      <c r="CP113" s="78">
        <v>2.8215404459185557E-2</v>
      </c>
      <c r="CQ113" s="42">
        <v>0</v>
      </c>
      <c r="CR113" s="32">
        <v>0.35916515453664055</v>
      </c>
      <c r="CS113" s="32">
        <v>0.14433756729740643</v>
      </c>
      <c r="CT113" s="34">
        <v>0.25</v>
      </c>
      <c r="CV113" s="25"/>
      <c r="CW113" s="47"/>
      <c r="CX113" s="53">
        <v>1.4</v>
      </c>
      <c r="CY113" s="45">
        <f t="shared" si="148"/>
        <v>2.6724173913043471E-2</v>
      </c>
      <c r="CZ113" s="78">
        <f t="shared" si="149"/>
        <v>3.4470588235294121E-2</v>
      </c>
      <c r="DA113" s="50">
        <v>7.8200000000000006E-2</v>
      </c>
      <c r="DB113" s="78">
        <f t="shared" si="150"/>
        <v>9.52941176470588E-3</v>
      </c>
      <c r="DC113" s="50">
        <v>5.74E-2</v>
      </c>
      <c r="DD113" s="42">
        <v>0</v>
      </c>
      <c r="DE113" s="32">
        <v>0.35916515453664055</v>
      </c>
      <c r="DF113" s="32">
        <v>0.14433756729740643</v>
      </c>
      <c r="DG113" s="34">
        <v>0.25</v>
      </c>
      <c r="DI113" s="25"/>
      <c r="DJ113" s="47"/>
      <c r="DK113" s="53">
        <v>1.4</v>
      </c>
      <c r="DL113" s="49">
        <v>2.6099999999999998E-2</v>
      </c>
      <c r="DM113" s="50">
        <v>3.5900000000000001E-2</v>
      </c>
      <c r="DN113" s="50">
        <v>7.8200000000000006E-2</v>
      </c>
      <c r="DO113" s="50">
        <v>1.47E-2</v>
      </c>
      <c r="DP113" s="50">
        <v>5.74E-2</v>
      </c>
      <c r="DQ113" s="42">
        <v>0</v>
      </c>
      <c r="DR113" s="32">
        <v>0.35916515453664055</v>
      </c>
      <c r="DS113" s="32">
        <v>0.14433756729740643</v>
      </c>
      <c r="DT113" s="34">
        <v>0.25</v>
      </c>
    </row>
    <row r="114" spans="1:124" ht="12" customHeight="1" x14ac:dyDescent="0.2">
      <c r="A114" s="1"/>
      <c r="B114" s="25"/>
      <c r="C114" s="47"/>
      <c r="D114" s="68">
        <v>1.5</v>
      </c>
      <c r="E114" s="85">
        <f t="shared" si="93"/>
        <v>2.7300000000000001E-2</v>
      </c>
      <c r="F114" s="85">
        <f t="shared" si="94"/>
        <v>3.8589999999999999E-2</v>
      </c>
      <c r="G114" s="85">
        <f t="shared" si="95"/>
        <v>7.9600000000000004E-2</v>
      </c>
      <c r="H114" s="85">
        <f t="shared" si="96"/>
        <v>1.8339999999999999E-2</v>
      </c>
      <c r="I114" s="85">
        <f t="shared" si="97"/>
        <v>5.6469999999999999E-2</v>
      </c>
      <c r="J114" s="85">
        <f t="shared" si="98"/>
        <v>0</v>
      </c>
      <c r="K114" s="85">
        <f t="shared" si="99"/>
        <v>0.36855414423419786</v>
      </c>
      <c r="L114" s="85">
        <f t="shared" si="100"/>
        <v>0.14433756729740643</v>
      </c>
      <c r="M114" s="85">
        <f t="shared" si="101"/>
        <v>0.25</v>
      </c>
      <c r="N114" s="1"/>
      <c r="P114" s="15"/>
      <c r="Q114" s="28"/>
      <c r="R114" s="31">
        <v>1.5</v>
      </c>
      <c r="S114" s="37">
        <v>2.7300000000000001E-2</v>
      </c>
      <c r="T114" s="32">
        <v>3.8589999999999999E-2</v>
      </c>
      <c r="U114" s="32">
        <v>7.9600000000000004E-2</v>
      </c>
      <c r="V114" s="32">
        <v>1.8339999999999999E-2</v>
      </c>
      <c r="W114" s="32">
        <v>5.6469999999999999E-2</v>
      </c>
      <c r="X114" s="42">
        <v>0</v>
      </c>
      <c r="Y114" s="32">
        <v>0.36855414423419786</v>
      </c>
      <c r="Z114" s="32">
        <v>0.14433756729740643</v>
      </c>
      <c r="AA114" s="34">
        <v>0.25</v>
      </c>
      <c r="AC114" s="15"/>
      <c r="AD114" s="28"/>
      <c r="AE114" s="31">
        <v>1.5</v>
      </c>
      <c r="AF114" s="37">
        <v>2.8000000000000001E-2</v>
      </c>
      <c r="AG114" s="32">
        <f>1/27.6</f>
        <v>3.6231884057971016E-2</v>
      </c>
      <c r="AH114" s="32">
        <f>1/12.5</f>
        <v>0.08</v>
      </c>
      <c r="AI114" s="32">
        <f>1/75.2</f>
        <v>1.3297872340425532E-2</v>
      </c>
      <c r="AJ114" s="32">
        <f t="shared" si="151"/>
        <v>5.7142857142857141E-2</v>
      </c>
      <c r="AK114" s="42">
        <v>0</v>
      </c>
      <c r="AL114" s="32">
        <v>0.36855414423419786</v>
      </c>
      <c r="AM114" s="32">
        <v>0.14433756729740643</v>
      </c>
      <c r="AN114" s="34">
        <v>0.25</v>
      </c>
      <c r="AP114" s="15"/>
      <c r="AQ114" s="28"/>
      <c r="AR114" s="31">
        <v>1.5</v>
      </c>
      <c r="AS114" s="45">
        <f t="shared" si="142"/>
        <v>2.6880000000000001E-2</v>
      </c>
      <c r="AT114" s="32">
        <f>1/25.7</f>
        <v>3.8910505836575876E-2</v>
      </c>
      <c r="AU114" s="32">
        <f>1/12.5</f>
        <v>0.08</v>
      </c>
      <c r="AV114" s="32">
        <f>1/48.7</f>
        <v>2.0533880903490759E-2</v>
      </c>
      <c r="AW114" s="32">
        <f t="shared" si="152"/>
        <v>5.7142857142857141E-2</v>
      </c>
      <c r="AX114" s="42">
        <v>0</v>
      </c>
      <c r="AY114" s="32">
        <v>0.36855414423419786</v>
      </c>
      <c r="AZ114" s="32">
        <v>0.14433756729740643</v>
      </c>
      <c r="BA114" s="34">
        <v>0.25</v>
      </c>
      <c r="BC114" s="25"/>
      <c r="BD114" s="47"/>
      <c r="BE114" s="53">
        <v>1.5</v>
      </c>
      <c r="BF114" s="49">
        <v>2.7337500000000001E-2</v>
      </c>
      <c r="BG114" s="50">
        <v>3.7400000000000003E-2</v>
      </c>
      <c r="BH114" s="96">
        <v>7.8899999999999998E-2</v>
      </c>
      <c r="BI114" s="50">
        <v>1.35E-2</v>
      </c>
      <c r="BJ114" s="50">
        <v>5.7149999999999999E-2</v>
      </c>
      <c r="BK114" s="42">
        <v>0</v>
      </c>
      <c r="BL114" s="32">
        <v>0.36855414423419786</v>
      </c>
      <c r="BM114" s="32">
        <v>0.14433756729740643</v>
      </c>
      <c r="BN114" s="34">
        <v>0.25</v>
      </c>
      <c r="BP114" s="15"/>
      <c r="BQ114" s="28"/>
      <c r="BR114" s="31">
        <v>1.5</v>
      </c>
      <c r="BS114" s="45">
        <f t="shared" si="143"/>
        <v>2.5744707502209314E-2</v>
      </c>
      <c r="BT114" s="78">
        <f t="shared" si="134"/>
        <v>3.366052266128014E-2</v>
      </c>
      <c r="BU114" s="78">
        <f t="shared" si="135"/>
        <v>7.5842696629213488E-2</v>
      </c>
      <c r="BV114" s="78">
        <f t="shared" si="136"/>
        <v>1.2872353751104659E-2</v>
      </c>
      <c r="BW114" s="78">
        <f t="shared" si="137"/>
        <v>2.5280898876404494E-2</v>
      </c>
      <c r="BX114" s="42">
        <v>0</v>
      </c>
      <c r="BY114" s="32">
        <v>0.36855414423419786</v>
      </c>
      <c r="BZ114" s="32">
        <v>0.14433756729740643</v>
      </c>
      <c r="CA114" s="34">
        <v>0.25</v>
      </c>
      <c r="CB114" s="37">
        <f t="shared" si="138"/>
        <v>0.9101123595505618</v>
      </c>
      <c r="CC114" s="37">
        <f t="shared" si="144"/>
        <v>8.98876404494382E-2</v>
      </c>
      <c r="CD114" s="35">
        <v>24</v>
      </c>
      <c r="CE114" s="72">
        <f t="shared" si="145"/>
        <v>14.222222222222221</v>
      </c>
      <c r="CF114" s="37">
        <f t="shared" si="139"/>
        <v>0.88764044943820219</v>
      </c>
      <c r="CG114" s="37">
        <f t="shared" si="140"/>
        <v>0.90519662921348309</v>
      </c>
      <c r="CI114" s="15"/>
      <c r="CJ114" s="28"/>
      <c r="CK114" s="31">
        <v>1.5</v>
      </c>
      <c r="CL114" s="45">
        <f t="shared" si="141"/>
        <v>2.471491920212094E-2</v>
      </c>
      <c r="CM114" s="78">
        <f t="shared" si="146"/>
        <v>3.6234993411501069E-2</v>
      </c>
      <c r="CN114" s="78">
        <v>7.5842696629213488E-2</v>
      </c>
      <c r="CO114" s="78">
        <f t="shared" si="147"/>
        <v>1.9604458283360687E-2</v>
      </c>
      <c r="CP114" s="78">
        <v>2.5280898876404494E-2</v>
      </c>
      <c r="CQ114" s="42">
        <v>0</v>
      </c>
      <c r="CR114" s="32">
        <v>0.36855414423419786</v>
      </c>
      <c r="CS114" s="32">
        <v>0.14433756729740643</v>
      </c>
      <c r="CT114" s="34">
        <v>0.25</v>
      </c>
      <c r="CV114" s="25"/>
      <c r="CW114" s="47"/>
      <c r="CX114" s="53">
        <v>1.5</v>
      </c>
      <c r="CY114" s="45">
        <f t="shared" si="148"/>
        <v>2.7966751918158572E-2</v>
      </c>
      <c r="CZ114" s="78">
        <f t="shared" si="149"/>
        <v>3.6189258312020467E-2</v>
      </c>
      <c r="DA114" s="50">
        <v>0.08</v>
      </c>
      <c r="DB114" s="78">
        <f t="shared" si="150"/>
        <v>8.0716112531969315E-3</v>
      </c>
      <c r="DC114" s="50">
        <v>5.7200000000000001E-2</v>
      </c>
      <c r="DD114" s="42">
        <v>0</v>
      </c>
      <c r="DE114" s="32">
        <v>0.36855414423419786</v>
      </c>
      <c r="DF114" s="32">
        <v>0.14433756729740643</v>
      </c>
      <c r="DG114" s="34">
        <v>0.25</v>
      </c>
      <c r="DI114" s="25"/>
      <c r="DJ114" s="47"/>
      <c r="DK114" s="53">
        <v>1.5</v>
      </c>
      <c r="DL114" s="49">
        <v>2.7300000000000001E-2</v>
      </c>
      <c r="DM114" s="50">
        <v>3.7400000000000003E-2</v>
      </c>
      <c r="DN114" s="50">
        <v>0.08</v>
      </c>
      <c r="DO114" s="50">
        <v>1.3500000000000002E-2</v>
      </c>
      <c r="DP114" s="50">
        <v>5.7200000000000001E-2</v>
      </c>
      <c r="DQ114" s="42">
        <v>0</v>
      </c>
      <c r="DR114" s="32">
        <v>0.36855414423419786</v>
      </c>
      <c r="DS114" s="32">
        <v>0.14433756729740643</v>
      </c>
      <c r="DT114" s="34">
        <v>0.25</v>
      </c>
    </row>
    <row r="115" spans="1:124" ht="12" customHeight="1" x14ac:dyDescent="0.2">
      <c r="A115" s="1"/>
      <c r="B115" s="25"/>
      <c r="C115" s="47"/>
      <c r="D115" s="68">
        <v>1.6</v>
      </c>
      <c r="E115" s="85">
        <f t="shared" si="93"/>
        <v>2.81E-2</v>
      </c>
      <c r="F115" s="85">
        <f t="shared" si="94"/>
        <v>3.9660000000000001E-2</v>
      </c>
      <c r="G115" s="85">
        <f t="shared" si="95"/>
        <v>8.1100000000000005E-2</v>
      </c>
      <c r="H115" s="85">
        <f t="shared" si="96"/>
        <v>1.8030000000000001E-2</v>
      </c>
      <c r="I115" s="85">
        <f t="shared" si="97"/>
        <v>5.629E-2</v>
      </c>
      <c r="J115" s="85">
        <f t="shared" si="98"/>
        <v>0</v>
      </c>
      <c r="K115" s="85">
        <f t="shared" si="99"/>
        <v>0.37676951021956051</v>
      </c>
      <c r="L115" s="85">
        <f t="shared" si="100"/>
        <v>0.14433756729740643</v>
      </c>
      <c r="M115" s="85">
        <f t="shared" si="101"/>
        <v>0.25</v>
      </c>
      <c r="N115" s="1"/>
      <c r="P115" s="15"/>
      <c r="Q115" s="28"/>
      <c r="R115" s="31">
        <v>1.6</v>
      </c>
      <c r="S115" s="37">
        <v>2.81E-2</v>
      </c>
      <c r="T115" s="32">
        <v>3.9660000000000001E-2</v>
      </c>
      <c r="U115" s="32">
        <v>8.1100000000000005E-2</v>
      </c>
      <c r="V115" s="32">
        <v>1.8030000000000001E-2</v>
      </c>
      <c r="W115" s="32">
        <v>5.629E-2</v>
      </c>
      <c r="X115" s="42">
        <v>0</v>
      </c>
      <c r="Y115" s="32">
        <v>0.37676951021956051</v>
      </c>
      <c r="Z115" s="32">
        <v>0.14433756729740643</v>
      </c>
      <c r="AA115" s="34">
        <v>0.25</v>
      </c>
      <c r="AC115" s="15"/>
      <c r="AD115" s="28"/>
      <c r="AE115" s="31">
        <v>1.6</v>
      </c>
      <c r="AF115" s="37">
        <v>2.8899999999999999E-2</v>
      </c>
      <c r="AG115" s="32">
        <f>1/26.5</f>
        <v>3.7735849056603772E-2</v>
      </c>
      <c r="AH115" s="32">
        <f>1/12.3</f>
        <v>8.1300813008130079E-2</v>
      </c>
      <c r="AI115" s="32">
        <f>1/78.7</f>
        <v>1.2706480304955527E-2</v>
      </c>
      <c r="AJ115" s="32">
        <f t="shared" si="151"/>
        <v>5.7142857142857141E-2</v>
      </c>
      <c r="AK115" s="42">
        <v>0</v>
      </c>
      <c r="AL115" s="32">
        <v>0.37676951021956051</v>
      </c>
      <c r="AM115" s="32">
        <v>0.14433756729740643</v>
      </c>
      <c r="AN115" s="34">
        <v>0.25</v>
      </c>
      <c r="AP115" s="15"/>
      <c r="AQ115" s="28"/>
      <c r="AR115" s="31">
        <v>1.6</v>
      </c>
      <c r="AS115" s="45">
        <f t="shared" si="142"/>
        <v>2.7743999999999998E-2</v>
      </c>
      <c r="AT115" s="32">
        <f>1/24.8</f>
        <v>4.0322580645161289E-2</v>
      </c>
      <c r="AU115" s="32">
        <f>1/12.3</f>
        <v>8.1300813008130079E-2</v>
      </c>
      <c r="AV115" s="32">
        <f>1/49.4</f>
        <v>2.0242914979757085E-2</v>
      </c>
      <c r="AW115" s="32">
        <f t="shared" si="152"/>
        <v>5.7142857142857141E-2</v>
      </c>
      <c r="AX115" s="42">
        <v>0</v>
      </c>
      <c r="AY115" s="32">
        <v>0.37676951021956051</v>
      </c>
      <c r="AZ115" s="32">
        <v>0.14433756729740643</v>
      </c>
      <c r="BA115" s="34">
        <v>0.25</v>
      </c>
      <c r="BC115" s="25"/>
      <c r="BD115" s="47"/>
      <c r="BE115" s="53">
        <v>1.6</v>
      </c>
      <c r="BF115" s="49">
        <v>2.8180480000000011E-2</v>
      </c>
      <c r="BG115" s="50">
        <v>3.8600000000000002E-2</v>
      </c>
      <c r="BH115" s="96">
        <v>8.0500000000000002E-2</v>
      </c>
      <c r="BI115" s="50">
        <v>1.2288000000000002E-2</v>
      </c>
      <c r="BJ115" s="50">
        <v>5.6576000000000008E-2</v>
      </c>
      <c r="BK115" s="42">
        <v>0</v>
      </c>
      <c r="BL115" s="32">
        <v>0.37676951021956051</v>
      </c>
      <c r="BM115" s="32">
        <v>0.14433756729740643</v>
      </c>
      <c r="BN115" s="34">
        <v>0.25</v>
      </c>
      <c r="BP115" s="15"/>
      <c r="BQ115" s="28"/>
      <c r="BR115" s="31">
        <v>1.6</v>
      </c>
      <c r="BS115" s="45">
        <f t="shared" si="143"/>
        <v>2.6565031833435372E-2</v>
      </c>
      <c r="BT115" s="78">
        <f t="shared" si="134"/>
        <v>3.4810218428276432E-2</v>
      </c>
      <c r="BU115" s="78">
        <f t="shared" si="135"/>
        <v>7.7426184265245182E-2</v>
      </c>
      <c r="BV115" s="78">
        <f t="shared" si="136"/>
        <v>1.167408625492765E-2</v>
      </c>
      <c r="BW115" s="78">
        <f t="shared" si="137"/>
        <v>2.2683452421458524E-2</v>
      </c>
      <c r="BX115" s="42">
        <v>0</v>
      </c>
      <c r="BY115" s="32">
        <v>0.37676951021956051</v>
      </c>
      <c r="BZ115" s="32">
        <v>0.14433756729740643</v>
      </c>
      <c r="CA115" s="34">
        <v>0.25</v>
      </c>
      <c r="CB115" s="37">
        <f t="shared" si="138"/>
        <v>0.92911421118294213</v>
      </c>
      <c r="CC115" s="37">
        <f t="shared" si="144"/>
        <v>7.0885788817057871E-2</v>
      </c>
      <c r="CD115" s="35">
        <v>24</v>
      </c>
      <c r="CE115" s="72">
        <f t="shared" si="145"/>
        <v>14.222222222222221</v>
      </c>
      <c r="CF115" s="37">
        <f t="shared" si="139"/>
        <v>0.8991846559046287</v>
      </c>
      <c r="CG115" s="37">
        <f t="shared" si="140"/>
        <v>0.91493705341953058</v>
      </c>
      <c r="CI115" s="15"/>
      <c r="CJ115" s="28"/>
      <c r="CK115" s="31">
        <v>1.6</v>
      </c>
      <c r="CL115" s="45">
        <f t="shared" si="141"/>
        <v>2.5502430560097957E-2</v>
      </c>
      <c r="CM115" s="78">
        <f t="shared" si="146"/>
        <v>3.7145035679261959E-2</v>
      </c>
      <c r="CN115" s="78">
        <v>7.7426184265245182E-2</v>
      </c>
      <c r="CO115" s="78">
        <f t="shared" si="147"/>
        <v>1.8636129940582939E-2</v>
      </c>
      <c r="CP115" s="78">
        <v>2.2683452421458524E-2</v>
      </c>
      <c r="CQ115" s="42">
        <v>0</v>
      </c>
      <c r="CR115" s="32">
        <v>0.37676951021956051</v>
      </c>
      <c r="CS115" s="32">
        <v>0.14433756729740643</v>
      </c>
      <c r="CT115" s="34">
        <v>0.25</v>
      </c>
      <c r="CV115" s="25"/>
      <c r="CW115" s="47"/>
      <c r="CX115" s="53">
        <v>1.6</v>
      </c>
      <c r="CY115" s="45">
        <f t="shared" si="148"/>
        <v>2.8829135549872136E-2</v>
      </c>
      <c r="CZ115" s="78">
        <f t="shared" si="149"/>
        <v>3.7602864450127879E-2</v>
      </c>
      <c r="DA115" s="50">
        <v>8.14E-2</v>
      </c>
      <c r="DB115" s="78">
        <f t="shared" si="150"/>
        <v>6.6475703324808209E-3</v>
      </c>
      <c r="DC115" s="50">
        <v>5.6600000000000004E-2</v>
      </c>
      <c r="DD115" s="42">
        <v>0</v>
      </c>
      <c r="DE115" s="32">
        <v>0.37676951021956051</v>
      </c>
      <c r="DF115" s="32">
        <v>0.14433756729740643</v>
      </c>
      <c r="DG115" s="34">
        <v>0.25</v>
      </c>
      <c r="DI115" s="25"/>
      <c r="DJ115" s="47"/>
      <c r="DK115" s="53">
        <v>1.6</v>
      </c>
      <c r="DL115" s="49">
        <v>2.8199999999999999E-2</v>
      </c>
      <c r="DM115" s="50">
        <v>3.8599999999999995E-2</v>
      </c>
      <c r="DN115" s="50">
        <v>8.14E-2</v>
      </c>
      <c r="DO115" s="50">
        <v>1.23E-2</v>
      </c>
      <c r="DP115" s="50">
        <v>5.6600000000000004E-2</v>
      </c>
      <c r="DQ115" s="42">
        <v>0</v>
      </c>
      <c r="DR115" s="32">
        <v>0.37676951021956051</v>
      </c>
      <c r="DS115" s="32">
        <v>0.14433756729740643</v>
      </c>
      <c r="DT115" s="34">
        <v>0.25</v>
      </c>
    </row>
    <row r="116" spans="1:124" ht="12" customHeight="1" x14ac:dyDescent="0.2">
      <c r="A116" s="1"/>
      <c r="B116" s="25"/>
      <c r="C116" s="47"/>
      <c r="D116" s="68">
        <v>1.7</v>
      </c>
      <c r="E116" s="85">
        <f t="shared" si="93"/>
        <v>2.8799999999999999E-2</v>
      </c>
      <c r="F116" s="85">
        <f t="shared" si="94"/>
        <v>4.0469999999999999E-2</v>
      </c>
      <c r="G116" s="85">
        <f t="shared" si="95"/>
        <v>8.2180000000000003E-2</v>
      </c>
      <c r="H116" s="85">
        <f t="shared" si="96"/>
        <v>1.7739999999999999E-2</v>
      </c>
      <c r="I116" s="85">
        <f t="shared" si="97"/>
        <v>5.6099999999999997E-2</v>
      </c>
      <c r="J116" s="85">
        <f t="shared" si="98"/>
        <v>0</v>
      </c>
      <c r="K116" s="85">
        <f t="shared" si="99"/>
        <v>0.38401836255958632</v>
      </c>
      <c r="L116" s="85">
        <f t="shared" si="100"/>
        <v>0.14433756729740643</v>
      </c>
      <c r="M116" s="85">
        <f t="shared" si="101"/>
        <v>0.25</v>
      </c>
      <c r="N116" s="1"/>
      <c r="P116" s="15"/>
      <c r="Q116" s="28"/>
      <c r="R116" s="31">
        <v>1.7</v>
      </c>
      <c r="S116" s="37">
        <v>2.8799999999999999E-2</v>
      </c>
      <c r="T116" s="32">
        <v>4.0469999999999999E-2</v>
      </c>
      <c r="U116" s="32">
        <v>8.2180000000000003E-2</v>
      </c>
      <c r="V116" s="32">
        <v>1.7739999999999999E-2</v>
      </c>
      <c r="W116" s="32">
        <v>5.6099999999999997E-2</v>
      </c>
      <c r="X116" s="42">
        <v>0</v>
      </c>
      <c r="Y116" s="32">
        <v>0.38401836255958632</v>
      </c>
      <c r="Z116" s="32">
        <v>0.14433756729740643</v>
      </c>
      <c r="AA116" s="34">
        <v>0.25</v>
      </c>
      <c r="AC116" s="15"/>
      <c r="AD116" s="28"/>
      <c r="AE116" s="31">
        <v>1.7</v>
      </c>
      <c r="AF116" s="37">
        <v>2.98E-2</v>
      </c>
      <c r="AG116" s="32">
        <f>1/25.7</f>
        <v>3.8910505836575876E-2</v>
      </c>
      <c r="AH116" s="32">
        <f>1/12.2</f>
        <v>8.1967213114754106E-2</v>
      </c>
      <c r="AI116" s="32">
        <f>1/82.5</f>
        <v>1.2121212121212121E-2</v>
      </c>
      <c r="AJ116" s="32">
        <f t="shared" si="151"/>
        <v>5.7142857142857141E-2</v>
      </c>
      <c r="AK116" s="42">
        <v>0</v>
      </c>
      <c r="AL116" s="32">
        <v>0.38401836255958632</v>
      </c>
      <c r="AM116" s="32">
        <v>0.14433756729740643</v>
      </c>
      <c r="AN116" s="34">
        <v>0.25</v>
      </c>
      <c r="AP116" s="15"/>
      <c r="AQ116" s="28"/>
      <c r="AR116" s="31">
        <v>1.7</v>
      </c>
      <c r="AS116" s="45">
        <f t="shared" si="142"/>
        <v>2.8607999999999998E-2</v>
      </c>
      <c r="AT116" s="32">
        <f>1/24.2</f>
        <v>4.1322314049586778E-2</v>
      </c>
      <c r="AU116" s="32">
        <f>1/12.2</f>
        <v>8.1967213114754106E-2</v>
      </c>
      <c r="AV116" s="32">
        <f>1/50.2</f>
        <v>1.9920318725099601E-2</v>
      </c>
      <c r="AW116" s="32">
        <f t="shared" si="152"/>
        <v>5.7142857142857141E-2</v>
      </c>
      <c r="AX116" s="42">
        <v>0</v>
      </c>
      <c r="AY116" s="32">
        <v>0.38401836255958632</v>
      </c>
      <c r="AZ116" s="32">
        <v>0.14433756729740643</v>
      </c>
      <c r="BA116" s="34">
        <v>0.25</v>
      </c>
      <c r="BC116" s="25"/>
      <c r="BD116" s="47"/>
      <c r="BE116" s="53">
        <v>1.7</v>
      </c>
      <c r="BF116" s="49">
        <v>2.8397139999999994E-2</v>
      </c>
      <c r="BG116" s="50">
        <v>3.95E-2</v>
      </c>
      <c r="BH116" s="96">
        <v>8.1600000000000006E-2</v>
      </c>
      <c r="BI116" s="50">
        <v>1.1271E-2</v>
      </c>
      <c r="BJ116" s="50">
        <v>5.5777E-2</v>
      </c>
      <c r="BK116" s="42">
        <v>0</v>
      </c>
      <c r="BL116" s="32">
        <v>0.38401836255958632</v>
      </c>
      <c r="BM116" s="32">
        <v>0.14433756729740643</v>
      </c>
      <c r="BN116" s="34">
        <v>0.25</v>
      </c>
      <c r="BP116" s="15"/>
      <c r="BQ116" s="28"/>
      <c r="BR116" s="31">
        <v>1.7</v>
      </c>
      <c r="BS116" s="45">
        <f t="shared" si="143"/>
        <v>2.7228762031341384E-2</v>
      </c>
      <c r="BT116" s="78">
        <f t="shared" si="134"/>
        <v>3.5747949353633943E-2</v>
      </c>
      <c r="BU116" s="78">
        <f t="shared" si="135"/>
        <v>7.8626352315646381E-2</v>
      </c>
      <c r="BV116" s="78">
        <f t="shared" si="136"/>
        <v>1.0599431586594831E-2</v>
      </c>
      <c r="BW116" s="78">
        <f t="shared" si="137"/>
        <v>2.0404762711672939E-2</v>
      </c>
      <c r="BX116" s="42">
        <v>0</v>
      </c>
      <c r="BY116" s="32">
        <v>0.38401836255958632</v>
      </c>
      <c r="BZ116" s="32">
        <v>0.14433756729740643</v>
      </c>
      <c r="CA116" s="34">
        <v>0.25</v>
      </c>
      <c r="CB116" s="37">
        <f t="shared" si="138"/>
        <v>0.94351622778775657</v>
      </c>
      <c r="CC116" s="37">
        <f t="shared" si="144"/>
        <v>5.6483772212243433E-2</v>
      </c>
      <c r="CD116" s="35">
        <v>24</v>
      </c>
      <c r="CE116" s="72">
        <f t="shared" si="145"/>
        <v>14.222222222222221</v>
      </c>
      <c r="CF116" s="37">
        <f t="shared" si="139"/>
        <v>0.90931216572589801</v>
      </c>
      <c r="CG116" s="37">
        <f t="shared" si="140"/>
        <v>0.92348213983122651</v>
      </c>
      <c r="CI116" s="15"/>
      <c r="CJ116" s="28"/>
      <c r="CK116" s="31">
        <v>1.7</v>
      </c>
      <c r="CL116" s="45">
        <f t="shared" si="141"/>
        <v>2.6139611550087729E-2</v>
      </c>
      <c r="CM116" s="78">
        <f t="shared" si="146"/>
        <v>3.7867835670952907E-2</v>
      </c>
      <c r="CN116" s="78">
        <v>7.8626352315646381E-2</v>
      </c>
      <c r="CO116" s="78">
        <f t="shared" si="147"/>
        <v>1.7749021457321622E-2</v>
      </c>
      <c r="CP116" s="78">
        <v>2.0404762711672939E-2</v>
      </c>
      <c r="CQ116" s="42">
        <v>0</v>
      </c>
      <c r="CR116" s="32">
        <v>0.38401836255958632</v>
      </c>
      <c r="CS116" s="32">
        <v>0.14433756729740643</v>
      </c>
      <c r="CT116" s="34">
        <v>0.25</v>
      </c>
      <c r="CV116" s="25"/>
      <c r="CW116" s="47"/>
      <c r="CX116" s="53">
        <v>1.7</v>
      </c>
      <c r="CY116" s="45">
        <f t="shared" si="148"/>
        <v>2.9050782608695647E-2</v>
      </c>
      <c r="CZ116" s="78">
        <f t="shared" si="149"/>
        <v>3.8679641943734015E-2</v>
      </c>
      <c r="DA116" s="50">
        <v>8.2500000000000004E-2</v>
      </c>
      <c r="DB116" s="78">
        <f t="shared" si="150"/>
        <v>5.4690537084398985E-3</v>
      </c>
      <c r="DC116" s="50">
        <v>5.5800000000000002E-2</v>
      </c>
      <c r="DD116" s="42">
        <v>0</v>
      </c>
      <c r="DE116" s="32">
        <v>0.38401836255958632</v>
      </c>
      <c r="DF116" s="32">
        <v>0.14433756729740643</v>
      </c>
      <c r="DG116" s="34">
        <v>0.25</v>
      </c>
      <c r="DI116" s="25"/>
      <c r="DJ116" s="47"/>
      <c r="DK116" s="53">
        <v>1.7</v>
      </c>
      <c r="DL116" s="49">
        <v>2.8399999999999998E-2</v>
      </c>
      <c r="DM116" s="50">
        <v>3.95E-2</v>
      </c>
      <c r="DN116" s="50">
        <v>8.2500000000000004E-2</v>
      </c>
      <c r="DO116" s="50">
        <v>1.1299999999999999E-2</v>
      </c>
      <c r="DP116" s="50">
        <v>5.5800000000000002E-2</v>
      </c>
      <c r="DQ116" s="42">
        <v>0</v>
      </c>
      <c r="DR116" s="32">
        <v>0.38401836255958632</v>
      </c>
      <c r="DS116" s="32">
        <v>0.14433756729740643</v>
      </c>
      <c r="DT116" s="34">
        <v>0.25</v>
      </c>
    </row>
    <row r="117" spans="1:124" ht="12" customHeight="1" x14ac:dyDescent="0.2">
      <c r="A117" s="1"/>
      <c r="B117" s="25"/>
      <c r="C117" s="47"/>
      <c r="D117" s="68">
        <v>1.8</v>
      </c>
      <c r="E117" s="85">
        <f t="shared" si="93"/>
        <v>2.92E-2</v>
      </c>
      <c r="F117" s="85">
        <f t="shared" si="94"/>
        <v>4.1070000000000002E-2</v>
      </c>
      <c r="G117" s="85">
        <f t="shared" si="95"/>
        <v>8.294E-2</v>
      </c>
      <c r="H117" s="85">
        <f t="shared" si="96"/>
        <v>1.7770000000000001E-2</v>
      </c>
      <c r="I117" s="85">
        <f t="shared" si="97"/>
        <v>5.5910000000000001E-2</v>
      </c>
      <c r="J117" s="85">
        <f t="shared" si="98"/>
        <v>0</v>
      </c>
      <c r="K117" s="85">
        <f t="shared" si="99"/>
        <v>0.39046178686183158</v>
      </c>
      <c r="L117" s="85">
        <f t="shared" si="100"/>
        <v>0.14433756729740643</v>
      </c>
      <c r="M117" s="85">
        <f t="shared" si="101"/>
        <v>0.25</v>
      </c>
      <c r="N117" s="1"/>
      <c r="P117" s="15"/>
      <c r="Q117" s="28"/>
      <c r="R117" s="31">
        <v>1.8</v>
      </c>
      <c r="S117" s="37">
        <v>2.92E-2</v>
      </c>
      <c r="T117" s="32">
        <v>4.1070000000000002E-2</v>
      </c>
      <c r="U117" s="32">
        <v>8.294E-2</v>
      </c>
      <c r="V117" s="32">
        <v>1.7770000000000001E-2</v>
      </c>
      <c r="W117" s="32">
        <v>5.5910000000000001E-2</v>
      </c>
      <c r="X117" s="42">
        <v>0</v>
      </c>
      <c r="Y117" s="32">
        <v>0.39046178686183158</v>
      </c>
      <c r="Z117" s="32">
        <v>0.14433756729740643</v>
      </c>
      <c r="AA117" s="34">
        <v>0.25</v>
      </c>
      <c r="AC117" s="15"/>
      <c r="AD117" s="28"/>
      <c r="AE117" s="31">
        <v>1.8</v>
      </c>
      <c r="AF117" s="37">
        <v>3.0300000000000001E-2</v>
      </c>
      <c r="AG117" s="32">
        <f>1/25.1</f>
        <v>3.9840637450199202E-2</v>
      </c>
      <c r="AH117" s="32">
        <f>1/12.1</f>
        <v>8.2644628099173556E-2</v>
      </c>
      <c r="AI117" s="32">
        <f>1/86.8</f>
        <v>1.1520737327188941E-2</v>
      </c>
      <c r="AJ117" s="32">
        <f t="shared" si="151"/>
        <v>5.7142857142857141E-2</v>
      </c>
      <c r="AK117" s="42">
        <v>0</v>
      </c>
      <c r="AL117" s="32">
        <v>0.39046178686183158</v>
      </c>
      <c r="AM117" s="32">
        <v>0.14433756729740643</v>
      </c>
      <c r="AN117" s="34">
        <v>0.25</v>
      </c>
      <c r="AP117" s="15"/>
      <c r="AQ117" s="28"/>
      <c r="AR117" s="31">
        <v>1.8</v>
      </c>
      <c r="AS117" s="45">
        <f t="shared" si="142"/>
        <v>2.9087999999999999E-2</v>
      </c>
      <c r="AT117" s="32">
        <f>1/24</f>
        <v>4.1666666666666664E-2</v>
      </c>
      <c r="AU117" s="32">
        <f>1/12.1</f>
        <v>8.2644628099173556E-2</v>
      </c>
      <c r="AV117" s="32">
        <f>1/51.3</f>
        <v>1.9493177387914232E-2</v>
      </c>
      <c r="AW117" s="32">
        <f t="shared" si="152"/>
        <v>5.7142857142857141E-2</v>
      </c>
      <c r="AX117" s="42">
        <v>0</v>
      </c>
      <c r="AY117" s="32">
        <v>0.39046178686183158</v>
      </c>
      <c r="AZ117" s="32">
        <v>0.14433756729740643</v>
      </c>
      <c r="BA117" s="34">
        <v>0.25</v>
      </c>
      <c r="BC117" s="25"/>
      <c r="BD117" s="47"/>
      <c r="BE117" s="53">
        <v>1.8</v>
      </c>
      <c r="BF117" s="49">
        <v>2.8343520000000007E-2</v>
      </c>
      <c r="BG117" s="50">
        <v>4.02E-2</v>
      </c>
      <c r="BH117" s="96">
        <v>8.2500000000000004E-2</v>
      </c>
      <c r="BI117" s="50">
        <v>1.0044000000000001E-2</v>
      </c>
      <c r="BJ117" s="50">
        <v>5.5404000000000009E-2</v>
      </c>
      <c r="BK117" s="42">
        <v>0</v>
      </c>
      <c r="BL117" s="32">
        <v>0.39046178686183158</v>
      </c>
      <c r="BM117" s="32">
        <v>0.14433756729740643</v>
      </c>
      <c r="BN117" s="34">
        <v>0.25</v>
      </c>
      <c r="BP117" s="15"/>
      <c r="BQ117" s="28"/>
      <c r="BR117" s="31">
        <v>1.8</v>
      </c>
      <c r="BS117" s="45">
        <f t="shared" si="143"/>
        <v>2.7769551930903604E-2</v>
      </c>
      <c r="BT117" s="78">
        <f t="shared" si="134"/>
        <v>3.6517505404500217E-2</v>
      </c>
      <c r="BU117" s="78">
        <f t="shared" si="135"/>
        <v>7.9544627918818653E-2</v>
      </c>
      <c r="BV117" s="78">
        <f t="shared" si="136"/>
        <v>9.6422055315637505E-3</v>
      </c>
      <c r="BW117" s="78">
        <f t="shared" si="137"/>
        <v>1.841310831454137E-2</v>
      </c>
      <c r="BX117" s="42">
        <v>0</v>
      </c>
      <c r="BY117" s="32">
        <v>0.39046178686183158</v>
      </c>
      <c r="BZ117" s="32">
        <v>0.14433756729740643</v>
      </c>
      <c r="CA117" s="34">
        <v>0.25</v>
      </c>
      <c r="CB117" s="37">
        <f t="shared" si="138"/>
        <v>0.95453553502582378</v>
      </c>
      <c r="CC117" s="37">
        <f t="shared" si="144"/>
        <v>4.5464464974176222E-2</v>
      </c>
      <c r="CD117" s="35">
        <v>24</v>
      </c>
      <c r="CE117" s="72">
        <f t="shared" si="145"/>
        <v>14.222222222222221</v>
      </c>
      <c r="CF117" s="37">
        <f t="shared" si="139"/>
        <v>0.91816396304648284</v>
      </c>
      <c r="CG117" s="37">
        <f t="shared" si="140"/>
        <v>0.93095084382046989</v>
      </c>
      <c r="CI117" s="15"/>
      <c r="CJ117" s="28"/>
      <c r="CK117" s="31">
        <v>1.8</v>
      </c>
      <c r="CL117" s="45">
        <f t="shared" si="141"/>
        <v>2.6658769853667458E-2</v>
      </c>
      <c r="CM117" s="78">
        <f t="shared" si="146"/>
        <v>3.844594651081297E-2</v>
      </c>
      <c r="CN117" s="78">
        <v>7.9544627918818653E-2</v>
      </c>
      <c r="CO117" s="78">
        <f t="shared" si="147"/>
        <v>1.6945706612463793E-2</v>
      </c>
      <c r="CP117" s="78">
        <v>1.841310831454137E-2</v>
      </c>
      <c r="CQ117" s="42">
        <v>0</v>
      </c>
      <c r="CR117" s="32">
        <v>0.39046178686183158</v>
      </c>
      <c r="CS117" s="32">
        <v>0.14433756729740643</v>
      </c>
      <c r="CT117" s="34">
        <v>0.25</v>
      </c>
      <c r="CV117" s="25"/>
      <c r="CW117" s="47"/>
      <c r="CX117" s="53">
        <v>1.8</v>
      </c>
      <c r="CY117" s="45">
        <f t="shared" si="148"/>
        <v>2.8995928388746813E-2</v>
      </c>
      <c r="CZ117" s="78">
        <f t="shared" si="149"/>
        <v>3.9584040920716115E-2</v>
      </c>
      <c r="DA117" s="50">
        <v>8.3400000000000002E-2</v>
      </c>
      <c r="DB117" s="78">
        <f t="shared" si="150"/>
        <v>4.1063938618925841E-3</v>
      </c>
      <c r="DC117" s="50">
        <v>5.5399999999999998E-2</v>
      </c>
      <c r="DD117" s="42">
        <v>0</v>
      </c>
      <c r="DE117" s="32">
        <v>0.39046178686183158</v>
      </c>
      <c r="DF117" s="32">
        <v>0.14433756729740643</v>
      </c>
      <c r="DG117" s="34">
        <v>0.25</v>
      </c>
      <c r="DI117" s="25"/>
      <c r="DJ117" s="47"/>
      <c r="DK117" s="53">
        <v>1.8</v>
      </c>
      <c r="DL117" s="49">
        <v>2.8799999999999999E-2</v>
      </c>
      <c r="DM117" s="50">
        <v>4.0199999999999993E-2</v>
      </c>
      <c r="DN117" s="50">
        <v>8.3400000000000002E-2</v>
      </c>
      <c r="DO117" s="50">
        <v>0.01</v>
      </c>
      <c r="DP117" s="50">
        <v>5.5399999999999998E-2</v>
      </c>
      <c r="DQ117" s="42">
        <v>0</v>
      </c>
      <c r="DR117" s="32">
        <v>0.39046178686183158</v>
      </c>
      <c r="DS117" s="32">
        <v>0.14433756729740643</v>
      </c>
      <c r="DT117" s="34">
        <v>0.25</v>
      </c>
    </row>
    <row r="118" spans="1:124" ht="12" customHeight="1" x14ac:dyDescent="0.2">
      <c r="A118" s="1"/>
      <c r="B118" s="25"/>
      <c r="C118" s="47"/>
      <c r="D118" s="68">
        <v>1.9</v>
      </c>
      <c r="E118" s="85">
        <f t="shared" si="93"/>
        <v>2.9600000000000001E-2</v>
      </c>
      <c r="F118" s="85">
        <f t="shared" si="94"/>
        <v>4.1500000000000002E-2</v>
      </c>
      <c r="G118" s="85">
        <f t="shared" si="95"/>
        <v>8.3449999999999996E-2</v>
      </c>
      <c r="H118" s="85">
        <f t="shared" si="96"/>
        <v>1.7770000000000001E-2</v>
      </c>
      <c r="I118" s="85">
        <f t="shared" si="97"/>
        <v>5.5719999999999999E-2</v>
      </c>
      <c r="J118" s="85">
        <f t="shared" si="98"/>
        <v>0</v>
      </c>
      <c r="K118" s="85">
        <f t="shared" si="99"/>
        <v>0.39622695597436675</v>
      </c>
      <c r="L118" s="85">
        <f t="shared" si="100"/>
        <v>0.14433756729740643</v>
      </c>
      <c r="M118" s="85">
        <f t="shared" si="101"/>
        <v>0.25</v>
      </c>
      <c r="N118" s="1"/>
      <c r="P118" s="15"/>
      <c r="Q118" s="28"/>
      <c r="R118" s="31">
        <v>1.9</v>
      </c>
      <c r="S118" s="37">
        <v>2.9600000000000001E-2</v>
      </c>
      <c r="T118" s="32">
        <v>4.1500000000000002E-2</v>
      </c>
      <c r="U118" s="32">
        <v>8.3449999999999996E-2</v>
      </c>
      <c r="V118" s="32">
        <v>1.7770000000000001E-2</v>
      </c>
      <c r="W118" s="32">
        <v>5.5719999999999999E-2</v>
      </c>
      <c r="X118" s="42">
        <v>0</v>
      </c>
      <c r="Y118" s="32">
        <v>0.39622695597436675</v>
      </c>
      <c r="Z118" s="32">
        <v>0.14433756729740643</v>
      </c>
      <c r="AA118" s="34">
        <v>0.25</v>
      </c>
      <c r="AC118" s="15"/>
      <c r="AD118" s="28"/>
      <c r="AE118" s="31">
        <v>1.9</v>
      </c>
      <c r="AF118" s="37">
        <v>3.0700000000000002E-2</v>
      </c>
      <c r="AG118" s="32">
        <f>1/24.7</f>
        <v>4.048582995951417E-2</v>
      </c>
      <c r="AH118" s="32">
        <f>1/12</f>
        <v>8.3333333333333329E-2</v>
      </c>
      <c r="AI118" s="32">
        <f>1/91.7</f>
        <v>1.0905125408942203E-2</v>
      </c>
      <c r="AJ118" s="32">
        <f t="shared" si="151"/>
        <v>5.7142857142857141E-2</v>
      </c>
      <c r="AK118" s="42">
        <v>0</v>
      </c>
      <c r="AL118" s="32">
        <v>0.39622695597436675</v>
      </c>
      <c r="AM118" s="32">
        <v>0.14433756729740643</v>
      </c>
      <c r="AN118" s="34">
        <v>0.25</v>
      </c>
      <c r="AP118" s="15"/>
      <c r="AQ118" s="28"/>
      <c r="AR118" s="31">
        <v>1.9</v>
      </c>
      <c r="AS118" s="45">
        <f t="shared" si="142"/>
        <v>2.9472000000000002E-2</v>
      </c>
      <c r="AT118" s="32">
        <f>1/24</f>
        <v>4.1666666666666664E-2</v>
      </c>
      <c r="AU118" s="32">
        <f>1/12</f>
        <v>8.3333333333333329E-2</v>
      </c>
      <c r="AV118" s="32">
        <f>1/52.6</f>
        <v>1.9011406844106463E-2</v>
      </c>
      <c r="AW118" s="32">
        <f t="shared" si="152"/>
        <v>5.7142857142857141E-2</v>
      </c>
      <c r="AX118" s="42">
        <v>0</v>
      </c>
      <c r="AY118" s="32">
        <v>0.39622695597436675</v>
      </c>
      <c r="AZ118" s="32">
        <v>0.14433756729740643</v>
      </c>
      <c r="BA118" s="34">
        <v>0.25</v>
      </c>
      <c r="BC118" s="25"/>
      <c r="BD118" s="47"/>
      <c r="BE118" s="53">
        <v>1.9</v>
      </c>
      <c r="BF118" s="49">
        <v>2.8670619999999997E-2</v>
      </c>
      <c r="BG118" s="50">
        <v>4.0800000000000003E-2</v>
      </c>
      <c r="BH118" s="96">
        <v>8.3099999999999993E-2</v>
      </c>
      <c r="BI118" s="50">
        <v>9.3860000000000002E-3</v>
      </c>
      <c r="BJ118" s="50">
        <v>5.5593999999999991E-2</v>
      </c>
      <c r="BK118" s="42">
        <v>0</v>
      </c>
      <c r="BL118" s="32">
        <v>0.39622695597436675</v>
      </c>
      <c r="BM118" s="32">
        <v>0.14433756729740643</v>
      </c>
      <c r="BN118" s="34">
        <v>0.25</v>
      </c>
      <c r="BP118" s="15"/>
      <c r="BQ118" s="28"/>
      <c r="BR118" s="31">
        <v>1.9</v>
      </c>
      <c r="BS118" s="45">
        <f t="shared" si="143"/>
        <v>2.8213628890629252E-2</v>
      </c>
      <c r="BT118" s="78">
        <f t="shared" si="134"/>
        <v>3.7153552290883955E-2</v>
      </c>
      <c r="BU118" s="78">
        <f t="shared" si="135"/>
        <v>8.0254234991858867E-2</v>
      </c>
      <c r="BV118" s="78">
        <f t="shared" si="136"/>
        <v>8.7923358731185324E-3</v>
      </c>
      <c r="BW118" s="78">
        <f t="shared" si="137"/>
        <v>1.6673317519084262E-2</v>
      </c>
      <c r="BX118" s="42">
        <v>0</v>
      </c>
      <c r="BY118" s="32">
        <v>0.39622695597436675</v>
      </c>
      <c r="BZ118" s="32">
        <v>0.14433756729740643</v>
      </c>
      <c r="CA118" s="34">
        <v>0.25</v>
      </c>
      <c r="CB118" s="37">
        <f t="shared" si="138"/>
        <v>0.96305081990230634</v>
      </c>
      <c r="CC118" s="37">
        <f t="shared" si="144"/>
        <v>3.6949180097693657E-2</v>
      </c>
      <c r="CD118" s="35">
        <v>24</v>
      </c>
      <c r="CE118" s="72">
        <f t="shared" si="145"/>
        <v>14.222222222222221</v>
      </c>
      <c r="CF118" s="37">
        <f t="shared" si="139"/>
        <v>0.92589636658184782</v>
      </c>
      <c r="CG118" s="37">
        <f t="shared" si="140"/>
        <v>0.937475059303434</v>
      </c>
      <c r="CI118" s="15"/>
      <c r="CJ118" s="28"/>
      <c r="CK118" s="31">
        <v>1.9</v>
      </c>
      <c r="CL118" s="45">
        <f t="shared" si="141"/>
        <v>2.7085083735004081E-2</v>
      </c>
      <c r="CM118" s="78">
        <f t="shared" si="146"/>
        <v>3.8912019465507659E-2</v>
      </c>
      <c r="CN118" s="78">
        <v>8.0254234991858867E-2</v>
      </c>
      <c r="CO118" s="78">
        <f t="shared" si="147"/>
        <v>1.6223046331295322E-2</v>
      </c>
      <c r="CP118" s="78">
        <v>1.6673317519084262E-2</v>
      </c>
      <c r="CQ118" s="42">
        <v>0</v>
      </c>
      <c r="CR118" s="32">
        <v>0.39622695597436675</v>
      </c>
      <c r="CS118" s="32">
        <v>0.14433756729740643</v>
      </c>
      <c r="CT118" s="34">
        <v>0.25</v>
      </c>
      <c r="CV118" s="25"/>
      <c r="CW118" s="47"/>
      <c r="CX118" s="53">
        <v>1.9</v>
      </c>
      <c r="CY118" s="45">
        <f t="shared" si="148"/>
        <v>2.9330557544757031E-2</v>
      </c>
      <c r="CZ118" s="78">
        <f t="shared" si="149"/>
        <v>4.0298823529411776E-2</v>
      </c>
      <c r="DA118" s="50">
        <v>8.4199999999999997E-2</v>
      </c>
      <c r="DB118" s="78">
        <f t="shared" si="150"/>
        <v>3.3411764705882354E-3</v>
      </c>
      <c r="DC118" s="50">
        <v>5.5599999999999997E-2</v>
      </c>
      <c r="DD118" s="42">
        <v>0</v>
      </c>
      <c r="DE118" s="32">
        <v>0.39622695597436675</v>
      </c>
      <c r="DF118" s="32">
        <v>0.14433756729740643</v>
      </c>
      <c r="DG118" s="34">
        <v>0.25</v>
      </c>
      <c r="DI118" s="25"/>
      <c r="DJ118" s="47"/>
      <c r="DK118" s="53">
        <v>1.9</v>
      </c>
      <c r="DL118" s="49">
        <v>2.92E-2</v>
      </c>
      <c r="DM118" s="50">
        <v>4.0800000000000003E-2</v>
      </c>
      <c r="DN118" s="50">
        <v>8.4199999999999997E-2</v>
      </c>
      <c r="DO118" s="50">
        <v>9.3999999999999986E-3</v>
      </c>
      <c r="DP118" s="50">
        <v>5.5599999999999997E-2</v>
      </c>
      <c r="DQ118" s="42">
        <v>0</v>
      </c>
      <c r="DR118" s="32">
        <v>0.39622695597436675</v>
      </c>
      <c r="DS118" s="32">
        <v>0.14433756729740643</v>
      </c>
      <c r="DT118" s="34">
        <v>0.25</v>
      </c>
    </row>
    <row r="119" spans="1:124" ht="12" customHeight="1" x14ac:dyDescent="0.2">
      <c r="A119" s="1"/>
      <c r="B119" s="25"/>
      <c r="C119" s="47"/>
      <c r="D119" s="68">
        <v>2</v>
      </c>
      <c r="E119" s="85">
        <f t="shared" si="93"/>
        <v>2.98E-2</v>
      </c>
      <c r="F119" s="85">
        <f t="shared" si="94"/>
        <v>4.181E-2</v>
      </c>
      <c r="G119" s="85">
        <f t="shared" si="95"/>
        <v>8.3769999999999997E-2</v>
      </c>
      <c r="H119" s="85">
        <f t="shared" si="96"/>
        <v>1.7749999999999998E-2</v>
      </c>
      <c r="I119" s="85">
        <f t="shared" si="97"/>
        <v>5.5539999999999999E-2</v>
      </c>
      <c r="J119" s="85">
        <f t="shared" si="98"/>
        <v>0</v>
      </c>
      <c r="K119" s="85">
        <f t="shared" si="99"/>
        <v>0.40141560817564842</v>
      </c>
      <c r="L119" s="85">
        <f t="shared" si="100"/>
        <v>0.14433756729740643</v>
      </c>
      <c r="M119" s="85">
        <f t="shared" si="101"/>
        <v>0.25</v>
      </c>
      <c r="N119" s="1"/>
      <c r="P119" s="15"/>
      <c r="Q119" s="28"/>
      <c r="R119" s="31">
        <v>2</v>
      </c>
      <c r="S119" s="37">
        <v>2.98E-2</v>
      </c>
      <c r="T119" s="32">
        <v>4.181E-2</v>
      </c>
      <c r="U119" s="32">
        <v>8.3769999999999997E-2</v>
      </c>
      <c r="V119" s="32">
        <v>1.7749999999999998E-2</v>
      </c>
      <c r="W119" s="32">
        <v>5.5539999999999999E-2</v>
      </c>
      <c r="X119" s="42">
        <v>0</v>
      </c>
      <c r="Y119" s="32">
        <v>0.40141560817564842</v>
      </c>
      <c r="Z119" s="32">
        <v>0.14433756729740643</v>
      </c>
      <c r="AA119" s="34">
        <v>0.25</v>
      </c>
      <c r="AC119" s="15"/>
      <c r="AD119" s="28"/>
      <c r="AE119" s="31">
        <v>2</v>
      </c>
      <c r="AF119" s="37">
        <v>3.09E-2</v>
      </c>
      <c r="AG119" s="32">
        <f>1/24.5</f>
        <v>4.0816326530612242E-2</v>
      </c>
      <c r="AH119" s="32">
        <f>1/12</f>
        <v>8.3333333333333329E-2</v>
      </c>
      <c r="AI119" s="32">
        <f>1/97</f>
        <v>1.0309278350515464E-2</v>
      </c>
      <c r="AJ119" s="32">
        <f t="shared" si="151"/>
        <v>5.7142857142857141E-2</v>
      </c>
      <c r="AK119" s="42">
        <v>0</v>
      </c>
      <c r="AL119" s="32">
        <v>0.40141560817564842</v>
      </c>
      <c r="AM119" s="32">
        <v>0.14433756729740643</v>
      </c>
      <c r="AN119" s="34">
        <v>0.25</v>
      </c>
      <c r="AP119" s="15"/>
      <c r="AQ119" s="28"/>
      <c r="AR119" s="31">
        <v>2</v>
      </c>
      <c r="AS119" s="45">
        <f t="shared" si="142"/>
        <v>2.9663999999999999E-2</v>
      </c>
      <c r="AT119" s="32">
        <f>1/24</f>
        <v>4.1666666666666664E-2</v>
      </c>
      <c r="AU119" s="32">
        <f>1/12</f>
        <v>8.3333333333333329E-2</v>
      </c>
      <c r="AV119" s="32">
        <f>1/54.1</f>
        <v>1.8484288354898334E-2</v>
      </c>
      <c r="AW119" s="32">
        <f t="shared" si="152"/>
        <v>5.7142857142857141E-2</v>
      </c>
      <c r="AX119" s="42">
        <v>0</v>
      </c>
      <c r="AY119" s="32">
        <v>0.40141560817564842</v>
      </c>
      <c r="AZ119" s="32">
        <v>0.14433756729740643</v>
      </c>
      <c r="BA119" s="34">
        <v>0.25</v>
      </c>
      <c r="BC119" s="25"/>
      <c r="BD119" s="47"/>
      <c r="BE119" s="53">
        <v>2</v>
      </c>
      <c r="BF119" s="49">
        <v>2.8799999999999999E-2</v>
      </c>
      <c r="BG119" s="50">
        <v>4.1200000000000001E-2</v>
      </c>
      <c r="BH119" s="96">
        <v>8.3599999999999994E-2</v>
      </c>
      <c r="BI119" s="50">
        <v>8.8000000000000005E-3</v>
      </c>
      <c r="BJ119" s="50">
        <v>5.6399999999999999E-2</v>
      </c>
      <c r="BK119" s="42">
        <v>0</v>
      </c>
      <c r="BL119" s="32">
        <v>0.40141560817564842</v>
      </c>
      <c r="BM119" s="32">
        <v>0.14433756729740643</v>
      </c>
      <c r="BN119" s="34">
        <v>0.25</v>
      </c>
      <c r="BP119" s="15"/>
      <c r="BQ119" s="28"/>
      <c r="BR119" s="31">
        <v>2</v>
      </c>
      <c r="BS119" s="45">
        <f t="shared" si="143"/>
        <v>2.8581267217630831E-2</v>
      </c>
      <c r="BT119" s="78">
        <f t="shared" si="134"/>
        <v>3.7683229602421521E-2</v>
      </c>
      <c r="BU119" s="78">
        <f t="shared" si="135"/>
        <v>8.0808080808080815E-2</v>
      </c>
      <c r="BV119" s="78">
        <f t="shared" si="136"/>
        <v>8.0384814049586709E-3</v>
      </c>
      <c r="BW119" s="78">
        <f t="shared" si="137"/>
        <v>1.5151515151515138E-2</v>
      </c>
      <c r="BX119" s="42">
        <v>0</v>
      </c>
      <c r="BY119" s="32">
        <v>0.40141560817564842</v>
      </c>
      <c r="BZ119" s="32">
        <v>0.14433756729740643</v>
      </c>
      <c r="CA119" s="34">
        <v>0.25</v>
      </c>
      <c r="CB119" s="37">
        <f t="shared" si="138"/>
        <v>0.96969696969696972</v>
      </c>
      <c r="CC119" s="37">
        <f t="shared" si="144"/>
        <v>3.0303030303030276E-2</v>
      </c>
      <c r="CD119" s="35">
        <v>24</v>
      </c>
      <c r="CE119" s="72">
        <f t="shared" si="145"/>
        <v>14.222222222222221</v>
      </c>
      <c r="CF119" s="37">
        <f t="shared" si="139"/>
        <v>0.93265993265993263</v>
      </c>
      <c r="CG119" s="37">
        <f t="shared" si="140"/>
        <v>0.94318181818181823</v>
      </c>
      <c r="CI119" s="15"/>
      <c r="CJ119" s="28"/>
      <c r="CK119" s="31">
        <v>2</v>
      </c>
      <c r="CL119" s="45">
        <f t="shared" si="141"/>
        <v>2.7438016528925597E-2</v>
      </c>
      <c r="CM119" s="78">
        <f t="shared" si="146"/>
        <v>3.9290925883413257E-2</v>
      </c>
      <c r="CN119" s="78">
        <v>8.0808080808080815E-2</v>
      </c>
      <c r="CO119" s="78">
        <f t="shared" si="147"/>
        <v>1.5575127325442976E-2</v>
      </c>
      <c r="CP119" s="78">
        <v>1.5151515151515138E-2</v>
      </c>
      <c r="CQ119" s="42">
        <v>0</v>
      </c>
      <c r="CR119" s="32">
        <v>0.40141560817564842</v>
      </c>
      <c r="CS119" s="32">
        <v>0.14433756729740643</v>
      </c>
      <c r="CT119" s="34">
        <v>0.25</v>
      </c>
      <c r="CV119" s="25"/>
      <c r="CW119" s="47"/>
      <c r="CX119" s="53">
        <v>2</v>
      </c>
      <c r="CY119" s="45">
        <f t="shared" si="148"/>
        <v>2.9462915601023019E-2</v>
      </c>
      <c r="CZ119" s="78">
        <f t="shared" si="149"/>
        <v>4.0797953964194375E-2</v>
      </c>
      <c r="DA119" s="50">
        <v>8.4700000000000011E-2</v>
      </c>
      <c r="DB119" s="78">
        <f t="shared" si="150"/>
        <v>2.6803069053708451E-3</v>
      </c>
      <c r="DC119" s="50">
        <v>5.6399999999999999E-2</v>
      </c>
      <c r="DD119" s="42">
        <v>0</v>
      </c>
      <c r="DE119" s="32">
        <v>0.40141560817564842</v>
      </c>
      <c r="DF119" s="32">
        <v>0.14433756729740643</v>
      </c>
      <c r="DG119" s="34">
        <v>0.25</v>
      </c>
      <c r="DI119" s="25"/>
      <c r="DJ119" s="47"/>
      <c r="DK119" s="53">
        <v>2</v>
      </c>
      <c r="DL119" s="49">
        <v>2.9600000000000001E-2</v>
      </c>
      <c r="DM119" s="50">
        <v>4.1200000000000001E-2</v>
      </c>
      <c r="DN119" s="50">
        <v>8.4700000000000011E-2</v>
      </c>
      <c r="DO119" s="50">
        <v>8.8000000000000005E-3</v>
      </c>
      <c r="DP119" s="50">
        <v>5.6399999999999999E-2</v>
      </c>
      <c r="DQ119" s="42">
        <v>0</v>
      </c>
      <c r="DR119" s="32">
        <v>0.40141560817564842</v>
      </c>
      <c r="DS119" s="32">
        <v>0.14433756729740643</v>
      </c>
      <c r="DT119" s="34">
        <v>0.25</v>
      </c>
    </row>
    <row r="120" spans="1:124" ht="12" customHeight="1" x14ac:dyDescent="0.2">
      <c r="A120" s="1"/>
      <c r="B120" s="54"/>
      <c r="C120" s="55"/>
      <c r="D120" s="22" t="s">
        <v>128</v>
      </c>
      <c r="E120" s="85">
        <f t="shared" si="93"/>
        <v>0.03</v>
      </c>
      <c r="F120" s="85">
        <f t="shared" si="94"/>
        <v>4.1666666666666664E-2</v>
      </c>
      <c r="G120" s="85">
        <f t="shared" si="95"/>
        <v>8.3333333333333329E-2</v>
      </c>
      <c r="H120" s="85">
        <f t="shared" si="96"/>
        <v>1.7749999999999998E-2</v>
      </c>
      <c r="I120" s="85">
        <f t="shared" si="97"/>
        <v>5.5539999999999999E-2</v>
      </c>
      <c r="J120" s="85">
        <f t="shared" si="98"/>
        <v>0</v>
      </c>
      <c r="K120" s="85">
        <f t="shared" si="99"/>
        <v>0.5</v>
      </c>
      <c r="L120" s="85">
        <f t="shared" si="100"/>
        <v>0.14433756729740643</v>
      </c>
      <c r="M120" s="85">
        <f t="shared" si="101"/>
        <v>0.25</v>
      </c>
      <c r="N120" s="1"/>
      <c r="P120" s="17"/>
      <c r="Q120" s="29"/>
      <c r="R120" s="22" t="s">
        <v>128</v>
      </c>
      <c r="S120" s="200">
        <v>0.03</v>
      </c>
      <c r="T120" s="32">
        <v>4.1666666666666664E-2</v>
      </c>
      <c r="U120" s="32">
        <v>8.3333333333333329E-2</v>
      </c>
      <c r="V120" s="32">
        <f>V119</f>
        <v>1.7749999999999998E-2</v>
      </c>
      <c r="W120" s="92">
        <f>W119</f>
        <v>5.5539999999999999E-2</v>
      </c>
      <c r="X120" s="43">
        <v>0</v>
      </c>
      <c r="Y120" s="32">
        <v>0.5</v>
      </c>
      <c r="Z120" s="32">
        <v>0.14433756729740643</v>
      </c>
      <c r="AA120" s="34">
        <v>0.25</v>
      </c>
      <c r="AC120" s="17"/>
      <c r="AD120" s="29"/>
      <c r="AE120" s="22" t="s">
        <v>128</v>
      </c>
      <c r="AF120" s="38">
        <v>3.125E-2</v>
      </c>
      <c r="AG120" s="32">
        <v>4.1666666666666664E-2</v>
      </c>
      <c r="AH120" s="32">
        <v>8.3333333333333329E-2</v>
      </c>
      <c r="AI120" s="32">
        <f>AI119</f>
        <v>1.0309278350515464E-2</v>
      </c>
      <c r="AJ120" s="92">
        <f>AJ119</f>
        <v>5.7142857142857141E-2</v>
      </c>
      <c r="AK120" s="43">
        <v>0</v>
      </c>
      <c r="AL120" s="32">
        <v>0.5</v>
      </c>
      <c r="AM120" s="32">
        <v>0.14433756729740643</v>
      </c>
      <c r="AN120" s="34">
        <v>0.25</v>
      </c>
      <c r="AP120" s="17"/>
      <c r="AQ120" s="29"/>
      <c r="AR120" s="22" t="s">
        <v>128</v>
      </c>
      <c r="AS120" s="200">
        <v>0.03</v>
      </c>
      <c r="AT120" s="32">
        <v>4.1666666666666664E-2</v>
      </c>
      <c r="AU120" s="32">
        <v>8.3333333333333329E-2</v>
      </c>
      <c r="AV120" s="32">
        <f>AV119</f>
        <v>1.8484288354898334E-2</v>
      </c>
      <c r="AW120" s="92">
        <f>AW119</f>
        <v>5.7142857142857141E-2</v>
      </c>
      <c r="AX120" s="43">
        <v>0</v>
      </c>
      <c r="AY120" s="32">
        <v>0.5</v>
      </c>
      <c r="AZ120" s="32">
        <v>0.14433756729740643</v>
      </c>
      <c r="BA120" s="34">
        <v>0.25</v>
      </c>
      <c r="BC120" s="54"/>
      <c r="BD120" s="55"/>
      <c r="BE120" s="22" t="s">
        <v>128</v>
      </c>
      <c r="BF120" s="200">
        <v>3.0546875000000001E-2</v>
      </c>
      <c r="BG120" s="32">
        <v>4.1666666666666664E-2</v>
      </c>
      <c r="BH120" s="32">
        <v>8.3333333333333329E-2</v>
      </c>
      <c r="BI120" s="50">
        <f>BI119</f>
        <v>8.8000000000000005E-3</v>
      </c>
      <c r="BJ120" s="99">
        <f>BJ119</f>
        <v>5.6399999999999999E-2</v>
      </c>
      <c r="BK120" s="43">
        <v>0</v>
      </c>
      <c r="BL120" s="32">
        <v>0.5</v>
      </c>
      <c r="BM120" s="32">
        <v>0.14433756729740643</v>
      </c>
      <c r="BN120" s="34">
        <v>0.25</v>
      </c>
      <c r="BP120" s="17"/>
      <c r="BQ120" s="29"/>
      <c r="BR120" s="22" t="s">
        <v>128</v>
      </c>
      <c r="BS120" s="38">
        <v>3.125E-2</v>
      </c>
      <c r="BT120" s="32">
        <v>4.1666666666666664E-2</v>
      </c>
      <c r="BU120" s="32">
        <v>8.3333333333333329E-2</v>
      </c>
      <c r="BV120" s="32">
        <f>BV119</f>
        <v>8.0384814049586709E-3</v>
      </c>
      <c r="BW120" s="32">
        <f>BW119</f>
        <v>1.5151515151515138E-2</v>
      </c>
      <c r="BX120" s="43">
        <v>0</v>
      </c>
      <c r="BY120" s="32">
        <v>0.5</v>
      </c>
      <c r="BZ120" s="32">
        <v>0.14433756729740643</v>
      </c>
      <c r="CA120" s="34">
        <v>0.25</v>
      </c>
      <c r="CB120" s="36"/>
      <c r="CC120" s="36"/>
      <c r="CD120" s="36"/>
      <c r="CE120" s="36"/>
      <c r="CF120" s="36"/>
      <c r="CG120" s="36"/>
      <c r="CI120" s="17"/>
      <c r="CJ120" s="29"/>
      <c r="CK120" s="22" t="s">
        <v>128</v>
      </c>
      <c r="CL120" s="200">
        <v>0.03</v>
      </c>
      <c r="CM120" s="32">
        <v>4.1666666666666664E-2</v>
      </c>
      <c r="CN120" s="32">
        <v>8.3333333333333329E-2</v>
      </c>
      <c r="CO120" s="50">
        <f>CO119</f>
        <v>1.5575127325442976E-2</v>
      </c>
      <c r="CP120" s="99">
        <f>CP119</f>
        <v>1.5151515151515138E-2</v>
      </c>
      <c r="CQ120" s="43">
        <v>0</v>
      </c>
      <c r="CR120" s="32">
        <v>0.5</v>
      </c>
      <c r="CS120" s="32">
        <v>0.14433756729740643</v>
      </c>
      <c r="CT120" s="34">
        <v>0.25</v>
      </c>
      <c r="CV120" s="54"/>
      <c r="CW120" s="55"/>
      <c r="CX120" s="22" t="s">
        <v>128</v>
      </c>
      <c r="CY120" s="38">
        <v>3.125E-2</v>
      </c>
      <c r="CZ120" s="32">
        <v>4.1666666666666664E-2</v>
      </c>
      <c r="DA120" s="32">
        <v>8.3333333333333329E-2</v>
      </c>
      <c r="DB120" s="50">
        <f>DB119</f>
        <v>2.6803069053708451E-3</v>
      </c>
      <c r="DC120" s="99">
        <f>DC119</f>
        <v>5.6399999999999999E-2</v>
      </c>
      <c r="DD120" s="43">
        <v>0</v>
      </c>
      <c r="DE120" s="32">
        <v>0.5</v>
      </c>
      <c r="DF120" s="32">
        <v>0.14433756729740643</v>
      </c>
      <c r="DG120" s="34">
        <v>0.25</v>
      </c>
      <c r="DI120" s="54"/>
      <c r="DJ120" s="55"/>
      <c r="DK120" s="22" t="s">
        <v>128</v>
      </c>
      <c r="DL120" s="200">
        <v>3.0546875000000001E-2</v>
      </c>
      <c r="DM120" s="32">
        <v>4.1666666666666664E-2</v>
      </c>
      <c r="DN120" s="32">
        <v>8.3333333333333329E-2</v>
      </c>
      <c r="DO120" s="50">
        <f>DO119</f>
        <v>8.8000000000000005E-3</v>
      </c>
      <c r="DP120" s="99">
        <f>DP119</f>
        <v>5.6399999999999999E-2</v>
      </c>
      <c r="DQ120" s="43">
        <v>0</v>
      </c>
      <c r="DR120" s="32">
        <v>0.5</v>
      </c>
      <c r="DS120" s="32">
        <v>0.14433756729740643</v>
      </c>
      <c r="DT120" s="34">
        <v>0.25</v>
      </c>
    </row>
    <row r="121" spans="1:124" ht="12" customHeight="1" x14ac:dyDescent="0.3">
      <c r="A121" s="1"/>
      <c r="B121" s="25"/>
      <c r="C121" s="47"/>
      <c r="D121" s="20" t="s">
        <v>93</v>
      </c>
      <c r="E121" s="85" t="str">
        <f t="shared" si="93"/>
        <v>fmáx</v>
      </c>
      <c r="F121" s="85" t="str">
        <f t="shared" si="94"/>
        <v>mamáx</v>
      </c>
      <c r="G121" s="85" t="str">
        <f t="shared" si="95"/>
        <v>maemín</v>
      </c>
      <c r="H121" s="85" t="str">
        <f t="shared" si="96"/>
        <v>mbmáx</v>
      </c>
      <c r="I121" s="85" t="str">
        <f t="shared" si="97"/>
        <v>mbemín</v>
      </c>
      <c r="J121" s="85" t="str">
        <f t="shared" si="98"/>
        <v>ra</v>
      </c>
      <c r="K121" s="85" t="str">
        <f t="shared" si="99"/>
        <v>rae</v>
      </c>
      <c r="L121" s="85" t="str">
        <f t="shared" si="100"/>
        <v>rb</v>
      </c>
      <c r="M121" s="85" t="str">
        <f t="shared" si="101"/>
        <v>rbe</v>
      </c>
      <c r="N121" s="1"/>
      <c r="P121" s="483" t="s">
        <v>38</v>
      </c>
      <c r="Q121" s="484"/>
      <c r="R121" s="74" t="s">
        <v>93</v>
      </c>
      <c r="S121" s="20" t="s">
        <v>131</v>
      </c>
      <c r="T121" s="75" t="s">
        <v>132</v>
      </c>
      <c r="U121" s="75" t="s">
        <v>120</v>
      </c>
      <c r="V121" s="75" t="s">
        <v>117</v>
      </c>
      <c r="W121" s="76" t="s">
        <v>121</v>
      </c>
      <c r="X121" s="75" t="s">
        <v>111</v>
      </c>
      <c r="Y121" s="75" t="s">
        <v>112</v>
      </c>
      <c r="Z121" s="75" t="s">
        <v>113</v>
      </c>
      <c r="AA121" s="76" t="s">
        <v>114</v>
      </c>
      <c r="AC121" s="483" t="s">
        <v>38</v>
      </c>
      <c r="AD121" s="484"/>
      <c r="AE121" s="74" t="s">
        <v>93</v>
      </c>
      <c r="AF121" s="20" t="s">
        <v>115</v>
      </c>
      <c r="AG121" s="75" t="s">
        <v>116</v>
      </c>
      <c r="AH121" s="75" t="s">
        <v>120</v>
      </c>
      <c r="AI121" s="75" t="s">
        <v>117</v>
      </c>
      <c r="AJ121" s="76" t="s">
        <v>121</v>
      </c>
      <c r="AK121" s="75" t="s">
        <v>111</v>
      </c>
      <c r="AL121" s="75" t="s">
        <v>112</v>
      </c>
      <c r="AM121" s="75" t="s">
        <v>113</v>
      </c>
      <c r="AN121" s="76" t="s">
        <v>114</v>
      </c>
      <c r="AP121" s="483" t="s">
        <v>38</v>
      </c>
      <c r="AQ121" s="484"/>
      <c r="AR121" s="74" t="s">
        <v>93</v>
      </c>
      <c r="AS121" s="20" t="s">
        <v>115</v>
      </c>
      <c r="AT121" s="75" t="s">
        <v>116</v>
      </c>
      <c r="AU121" s="75" t="s">
        <v>120</v>
      </c>
      <c r="AV121" s="75" t="s">
        <v>117</v>
      </c>
      <c r="AW121" s="76" t="s">
        <v>121</v>
      </c>
      <c r="AX121" s="75" t="s">
        <v>111</v>
      </c>
      <c r="AY121" s="75" t="s">
        <v>112</v>
      </c>
      <c r="AZ121" s="75" t="s">
        <v>113</v>
      </c>
      <c r="BA121" s="76" t="s">
        <v>114</v>
      </c>
      <c r="BC121" s="483" t="s">
        <v>38</v>
      </c>
      <c r="BD121" s="484"/>
      <c r="BE121" s="77" t="s">
        <v>93</v>
      </c>
      <c r="BF121" s="20" t="s">
        <v>115</v>
      </c>
      <c r="BG121" s="75" t="s">
        <v>116</v>
      </c>
      <c r="BH121" s="75" t="s">
        <v>119</v>
      </c>
      <c r="BI121" s="75" t="s">
        <v>141</v>
      </c>
      <c r="BJ121" s="76" t="s">
        <v>118</v>
      </c>
      <c r="BK121" s="75" t="s">
        <v>111</v>
      </c>
      <c r="BL121" s="75" t="s">
        <v>112</v>
      </c>
      <c r="BM121" s="75" t="s">
        <v>113</v>
      </c>
      <c r="BN121" s="76" t="s">
        <v>114</v>
      </c>
      <c r="BP121" s="483" t="s">
        <v>38</v>
      </c>
      <c r="BQ121" s="484"/>
      <c r="BR121" s="74" t="s">
        <v>93</v>
      </c>
      <c r="BS121" s="20" t="s">
        <v>115</v>
      </c>
      <c r="BT121" s="75" t="s">
        <v>116</v>
      </c>
      <c r="BU121" s="75" t="s">
        <v>119</v>
      </c>
      <c r="BV121" s="75" t="s">
        <v>141</v>
      </c>
      <c r="BW121" s="76" t="s">
        <v>118</v>
      </c>
      <c r="BX121" s="75" t="s">
        <v>111</v>
      </c>
      <c r="BY121" s="75" t="s">
        <v>112</v>
      </c>
      <c r="BZ121" s="75" t="s">
        <v>113</v>
      </c>
      <c r="CA121" s="76" t="s">
        <v>114</v>
      </c>
      <c r="CB121" s="74" t="s">
        <v>122</v>
      </c>
      <c r="CC121" s="74" t="s">
        <v>123</v>
      </c>
      <c r="CD121" s="81" t="s">
        <v>124</v>
      </c>
      <c r="CE121" s="81" t="s">
        <v>125</v>
      </c>
      <c r="CF121" s="74" t="s">
        <v>126</v>
      </c>
      <c r="CG121" s="74" t="s">
        <v>127</v>
      </c>
      <c r="CI121" s="483" t="s">
        <v>38</v>
      </c>
      <c r="CJ121" s="484"/>
      <c r="CK121" s="74" t="s">
        <v>93</v>
      </c>
      <c r="CL121" s="20" t="s">
        <v>115</v>
      </c>
      <c r="CM121" s="75" t="s">
        <v>116</v>
      </c>
      <c r="CN121" s="75" t="s">
        <v>119</v>
      </c>
      <c r="CO121" s="75" t="s">
        <v>141</v>
      </c>
      <c r="CP121" s="76" t="s">
        <v>118</v>
      </c>
      <c r="CQ121" s="75" t="s">
        <v>111</v>
      </c>
      <c r="CR121" s="75" t="s">
        <v>112</v>
      </c>
      <c r="CS121" s="75" t="s">
        <v>113</v>
      </c>
      <c r="CT121" s="76" t="s">
        <v>114</v>
      </c>
      <c r="CV121" s="483" t="s">
        <v>38</v>
      </c>
      <c r="CW121" s="484"/>
      <c r="CX121" s="77" t="s">
        <v>93</v>
      </c>
      <c r="CY121" s="20" t="s">
        <v>115</v>
      </c>
      <c r="CZ121" s="75" t="s">
        <v>116</v>
      </c>
      <c r="DA121" s="75" t="s">
        <v>119</v>
      </c>
      <c r="DB121" s="75" t="s">
        <v>141</v>
      </c>
      <c r="DC121" s="76" t="s">
        <v>118</v>
      </c>
      <c r="DD121" s="75" t="s">
        <v>111</v>
      </c>
      <c r="DE121" s="75" t="s">
        <v>112</v>
      </c>
      <c r="DF121" s="75" t="s">
        <v>113</v>
      </c>
      <c r="DG121" s="76" t="s">
        <v>114</v>
      </c>
      <c r="DI121" s="483" t="s">
        <v>38</v>
      </c>
      <c r="DJ121" s="484"/>
      <c r="DK121" s="77" t="s">
        <v>93</v>
      </c>
      <c r="DL121" s="20" t="s">
        <v>115</v>
      </c>
      <c r="DM121" s="75" t="s">
        <v>116</v>
      </c>
      <c r="DN121" s="75" t="s">
        <v>120</v>
      </c>
      <c r="DO121" s="75" t="s">
        <v>141</v>
      </c>
      <c r="DP121" s="76" t="s">
        <v>121</v>
      </c>
      <c r="DQ121" s="75" t="s">
        <v>111</v>
      </c>
      <c r="DR121" s="75" t="s">
        <v>112</v>
      </c>
      <c r="DS121" s="75" t="s">
        <v>113</v>
      </c>
      <c r="DT121" s="76" t="s">
        <v>114</v>
      </c>
    </row>
    <row r="122" spans="1:124" ht="12" customHeight="1" x14ac:dyDescent="0.2">
      <c r="A122" s="1"/>
      <c r="B122" s="25"/>
      <c r="C122" s="47"/>
      <c r="D122" s="68">
        <v>1</v>
      </c>
      <c r="E122" s="85">
        <f t="shared" si="93"/>
        <v>1.47E-2</v>
      </c>
      <c r="F122" s="85">
        <f t="shared" si="94"/>
        <v>2.1350000000000001E-2</v>
      </c>
      <c r="G122" s="85">
        <f t="shared" si="95"/>
        <v>5.1220000000000002E-2</v>
      </c>
      <c r="H122" s="85">
        <f t="shared" si="96"/>
        <v>2.1350000000000001E-2</v>
      </c>
      <c r="I122" s="85">
        <f t="shared" si="97"/>
        <v>5.1220000000000002E-2</v>
      </c>
      <c r="J122" s="85">
        <f t="shared" si="98"/>
        <v>0</v>
      </c>
      <c r="K122" s="85">
        <f t="shared" si="99"/>
        <v>0.25</v>
      </c>
      <c r="L122" s="85">
        <f t="shared" si="100"/>
        <v>0</v>
      </c>
      <c r="M122" s="85">
        <f t="shared" si="101"/>
        <v>0.25</v>
      </c>
      <c r="N122" s="1"/>
      <c r="P122" s="15"/>
      <c r="Q122" s="28"/>
      <c r="R122" s="31">
        <v>1</v>
      </c>
      <c r="S122" s="37">
        <v>1.47E-2</v>
      </c>
      <c r="T122" s="32">
        <v>2.1350000000000001E-2</v>
      </c>
      <c r="U122" s="32">
        <v>5.1220000000000002E-2</v>
      </c>
      <c r="V122" s="32">
        <v>2.1350000000000001E-2</v>
      </c>
      <c r="W122" s="32">
        <v>5.1220000000000002E-2</v>
      </c>
      <c r="X122" s="42">
        <v>0</v>
      </c>
      <c r="Y122" s="32">
        <v>0.25</v>
      </c>
      <c r="Z122" s="30">
        <v>0</v>
      </c>
      <c r="AA122" s="34">
        <v>0.25</v>
      </c>
      <c r="AC122" s="15"/>
      <c r="AD122" s="28"/>
      <c r="AE122" s="31">
        <v>1</v>
      </c>
      <c r="AF122" s="37">
        <v>1.52E-2</v>
      </c>
      <c r="AG122" s="32">
        <f>1/56.8</f>
        <v>1.7605633802816902E-2</v>
      </c>
      <c r="AH122" s="32">
        <f>1/19.4</f>
        <v>5.1546391752577324E-2</v>
      </c>
      <c r="AI122" s="32">
        <f>1/56.8</f>
        <v>1.7605633802816902E-2</v>
      </c>
      <c r="AJ122" s="32">
        <f>1/19.4</f>
        <v>5.1546391752577324E-2</v>
      </c>
      <c r="AK122" s="42">
        <v>0</v>
      </c>
      <c r="AL122" s="32">
        <v>0.25</v>
      </c>
      <c r="AM122" s="30">
        <v>0</v>
      </c>
      <c r="AN122" s="34">
        <v>0.25</v>
      </c>
      <c r="AP122" s="15"/>
      <c r="AQ122" s="28"/>
      <c r="AR122" s="31">
        <v>1</v>
      </c>
      <c r="AS122" s="45">
        <f>AF122*(1-0.2^2)</f>
        <v>1.4591999999999999E-2</v>
      </c>
      <c r="AT122" s="32">
        <f>1/47.3</f>
        <v>2.1141649048625793E-2</v>
      </c>
      <c r="AU122" s="32">
        <f>1/19.4</f>
        <v>5.1546391752577324E-2</v>
      </c>
      <c r="AV122" s="32">
        <f>1/47.3</f>
        <v>2.1141649048625793E-2</v>
      </c>
      <c r="AW122" s="32">
        <f>1/19.4</f>
        <v>5.1546391752577324E-2</v>
      </c>
      <c r="AX122" s="42">
        <v>0</v>
      </c>
      <c r="AY122" s="32">
        <v>0.25</v>
      </c>
      <c r="AZ122" s="30">
        <v>0</v>
      </c>
      <c r="BA122" s="34">
        <v>0.25</v>
      </c>
      <c r="BC122" s="25"/>
      <c r="BD122" s="47"/>
      <c r="BE122" s="53">
        <v>1</v>
      </c>
      <c r="BF122" s="49">
        <v>1.49E-2</v>
      </c>
      <c r="BG122" s="50">
        <v>2.0199999999999999E-2</v>
      </c>
      <c r="BH122" s="50">
        <v>5.1499999999999997E-2</v>
      </c>
      <c r="BI122" s="50">
        <v>2.0199999999999999E-2</v>
      </c>
      <c r="BJ122" s="50">
        <v>5.1499999999999997E-2</v>
      </c>
      <c r="BK122" s="42">
        <v>0</v>
      </c>
      <c r="BL122" s="32">
        <v>0.25</v>
      </c>
      <c r="BM122" s="30">
        <v>0</v>
      </c>
      <c r="BN122" s="34">
        <v>0.25</v>
      </c>
      <c r="BP122" s="15"/>
      <c r="BQ122" s="28"/>
      <c r="BR122" s="31">
        <v>1</v>
      </c>
      <c r="BS122" s="45">
        <f>1*CF122*CB122/32</f>
        <v>1.3454861111111112E-2</v>
      </c>
      <c r="BT122" s="78">
        <f t="shared" ref="BT122:BT132" si="153">CF122*CB122/CD122</f>
        <v>1.7939814814814815E-2</v>
      </c>
      <c r="BU122" s="78">
        <f t="shared" ref="BU122:BU132" si="154">CB122/12</f>
        <v>4.1666666666666664E-2</v>
      </c>
      <c r="BV122" s="78">
        <f t="shared" ref="BV122:BV132" si="155">CG122*CC122*BR122^2/CE122</f>
        <v>1.7939814814814815E-2</v>
      </c>
      <c r="BW122" s="78">
        <f t="shared" ref="BW122:BW132" si="156">CC122*BR122^2/12</f>
        <v>4.1666666666666664E-2</v>
      </c>
      <c r="BX122" s="42">
        <v>0</v>
      </c>
      <c r="BY122" s="32">
        <v>0.25</v>
      </c>
      <c r="BZ122" s="30">
        <v>0</v>
      </c>
      <c r="CA122" s="34">
        <v>0.25</v>
      </c>
      <c r="CB122" s="37">
        <f t="shared" ref="CB122:CB132" si="157">BR122^4/(1+BR122^4)</f>
        <v>0.5</v>
      </c>
      <c r="CC122" s="37">
        <f>1-CB122</f>
        <v>0.5</v>
      </c>
      <c r="CD122" s="35">
        <v>24</v>
      </c>
      <c r="CE122" s="35">
        <v>24</v>
      </c>
      <c r="CF122" s="37">
        <f t="shared" ref="CF122:CF132" si="158">1-(20*CB122)/(3*CD122*BR122^2)</f>
        <v>0.86111111111111116</v>
      </c>
      <c r="CG122" s="37">
        <f t="shared" ref="CG122:CG132" si="159">1-(20*CC122*BR122^2)/(3*CE122)</f>
        <v>0.86111111111111116</v>
      </c>
      <c r="CI122" s="15"/>
      <c r="CJ122" s="28"/>
      <c r="CK122" s="31">
        <v>1</v>
      </c>
      <c r="CL122" s="45">
        <f t="shared" ref="CL122:CL132" si="160">(1-$CJ$14^2)*BS122</f>
        <v>1.2916666666666667E-2</v>
      </c>
      <c r="CM122" s="78">
        <f>BT122+$CJ$14*BV122</f>
        <v>2.1527777777777778E-2</v>
      </c>
      <c r="CN122" s="78">
        <v>4.1666666666666664E-2</v>
      </c>
      <c r="CO122" s="78">
        <f>$CJ$14*BT122+BV122</f>
        <v>2.1527777777777778E-2</v>
      </c>
      <c r="CP122" s="78">
        <v>4.1666666666666664E-2</v>
      </c>
      <c r="CQ122" s="42">
        <v>0</v>
      </c>
      <c r="CR122" s="32">
        <v>0.25</v>
      </c>
      <c r="CS122" s="30">
        <v>0</v>
      </c>
      <c r="CT122" s="34">
        <v>0.25</v>
      </c>
      <c r="CV122" s="25"/>
      <c r="CW122" s="47"/>
      <c r="CX122" s="53">
        <v>1</v>
      </c>
      <c r="CY122" s="45">
        <f>(1-$CW$14^2)/(1-$CW$13^2)*BF122</f>
        <v>1.524296675191816E-2</v>
      </c>
      <c r="CZ122" s="78">
        <f>(1/(1-$CW$13^2))*((1-$CW$13*$CW$14)*BG122+($CW$14-$CW$13)*BI122)</f>
        <v>1.7565217391304348E-2</v>
      </c>
      <c r="DA122" s="50">
        <v>5.1500000000000004E-2</v>
      </c>
      <c r="DB122" s="78">
        <f>(1/(1-$CW$13^2))*((1-$CW$13*$CW$14)*BI122+($CW$14-$CW$13)*BG122)</f>
        <v>1.7565217391304348E-2</v>
      </c>
      <c r="DC122" s="50">
        <v>5.1500000000000004E-2</v>
      </c>
      <c r="DD122" s="42">
        <v>0</v>
      </c>
      <c r="DE122" s="32">
        <v>0.25</v>
      </c>
      <c r="DF122" s="30">
        <v>0</v>
      </c>
      <c r="DG122" s="34">
        <v>0.25</v>
      </c>
      <c r="DI122" s="25"/>
      <c r="DJ122" s="47"/>
      <c r="DK122" s="53">
        <v>1</v>
      </c>
      <c r="DL122" s="49">
        <v>1.49E-2</v>
      </c>
      <c r="DM122" s="50">
        <v>2.0199999999999999E-2</v>
      </c>
      <c r="DN122" s="50">
        <v>5.1500000000000004E-2</v>
      </c>
      <c r="DO122" s="50">
        <v>2.0199999999999999E-2</v>
      </c>
      <c r="DP122" s="50">
        <v>5.1500000000000004E-2</v>
      </c>
      <c r="DQ122" s="42">
        <v>0</v>
      </c>
      <c r="DR122" s="32">
        <v>0.25</v>
      </c>
      <c r="DS122" s="30">
        <v>0</v>
      </c>
      <c r="DT122" s="34">
        <v>0.25</v>
      </c>
    </row>
    <row r="123" spans="1:124" ht="12" customHeight="1" x14ac:dyDescent="0.2">
      <c r="A123" s="1"/>
      <c r="B123" s="25"/>
      <c r="C123" s="47"/>
      <c r="D123" s="68">
        <v>1.1000000000000001</v>
      </c>
      <c r="E123" s="85">
        <f t="shared" si="93"/>
        <v>1.7500000000000002E-2</v>
      </c>
      <c r="F123" s="85">
        <f t="shared" si="94"/>
        <v>2.528E-2</v>
      </c>
      <c r="G123" s="85">
        <f t="shared" si="95"/>
        <v>5.8049999999999997E-2</v>
      </c>
      <c r="H123" s="85">
        <f t="shared" si="96"/>
        <v>2.1170000000000001E-2</v>
      </c>
      <c r="I123" s="85">
        <f t="shared" si="97"/>
        <v>5.3629999999999997E-2</v>
      </c>
      <c r="J123" s="85">
        <f t="shared" si="98"/>
        <v>0</v>
      </c>
      <c r="K123" s="85">
        <f t="shared" si="99"/>
        <v>0.27272727272727271</v>
      </c>
      <c r="L123" s="85">
        <f t="shared" si="100"/>
        <v>0</v>
      </c>
      <c r="M123" s="85">
        <f t="shared" si="101"/>
        <v>0.25</v>
      </c>
      <c r="N123" s="1"/>
      <c r="P123" s="15"/>
      <c r="Q123" s="28"/>
      <c r="R123" s="31">
        <v>1.1000000000000001</v>
      </c>
      <c r="S123" s="37">
        <v>1.7500000000000002E-2</v>
      </c>
      <c r="T123" s="32">
        <v>2.528E-2</v>
      </c>
      <c r="U123" s="32">
        <v>5.8049999999999997E-2</v>
      </c>
      <c r="V123" s="32">
        <v>2.1170000000000001E-2</v>
      </c>
      <c r="W123" s="32">
        <v>5.3629999999999997E-2</v>
      </c>
      <c r="X123" s="42">
        <v>0</v>
      </c>
      <c r="Y123" s="32">
        <v>0.27272727272727271</v>
      </c>
      <c r="Z123" s="30">
        <v>0</v>
      </c>
      <c r="AA123" s="34">
        <v>0.25</v>
      </c>
      <c r="AC123" s="15"/>
      <c r="AD123" s="28"/>
      <c r="AE123" s="31">
        <v>1.1000000000000001</v>
      </c>
      <c r="AF123" s="37">
        <v>1.8100000000000002E-2</v>
      </c>
      <c r="AG123" s="32">
        <f>1/46.1</f>
        <v>2.1691973969631236E-2</v>
      </c>
      <c r="AH123" s="32">
        <f>1/17.1</f>
        <v>5.8479532163742687E-2</v>
      </c>
      <c r="AI123" s="32">
        <f>1/60.3</f>
        <v>1.658374792703151E-2</v>
      </c>
      <c r="AJ123" s="32">
        <f>1/18.4</f>
        <v>5.4347826086956527E-2</v>
      </c>
      <c r="AK123" s="42">
        <v>0</v>
      </c>
      <c r="AL123" s="32">
        <v>0.27272727272727271</v>
      </c>
      <c r="AM123" s="30">
        <v>0</v>
      </c>
      <c r="AN123" s="34">
        <v>0.25</v>
      </c>
      <c r="AP123" s="15"/>
      <c r="AQ123" s="28"/>
      <c r="AR123" s="31">
        <v>1.1000000000000001</v>
      </c>
      <c r="AS123" s="45">
        <f t="shared" ref="AS123:AS132" si="161">AF123*(1-0.2^2)</f>
        <v>1.7375999999999999E-2</v>
      </c>
      <c r="AT123" s="32">
        <f>1/40</f>
        <v>2.5000000000000001E-2</v>
      </c>
      <c r="AU123" s="32">
        <f>1/17.1</f>
        <v>5.8479532163742687E-2</v>
      </c>
      <c r="AV123" s="32">
        <f>1/47.8</f>
        <v>2.0920502092050212E-2</v>
      </c>
      <c r="AW123" s="32">
        <f>1/18.4</f>
        <v>5.4347826086956527E-2</v>
      </c>
      <c r="AX123" s="42">
        <v>0</v>
      </c>
      <c r="AY123" s="32">
        <v>0.27272727272727271</v>
      </c>
      <c r="AZ123" s="30">
        <v>0</v>
      </c>
      <c r="BA123" s="34">
        <v>0.25</v>
      </c>
      <c r="BC123" s="25"/>
      <c r="BD123" s="47"/>
      <c r="BE123" s="53">
        <v>1.1000000000000001</v>
      </c>
      <c r="BF123" s="49">
        <v>1.7715610000000003E-2</v>
      </c>
      <c r="BG123" s="50">
        <v>2.4199999999999999E-2</v>
      </c>
      <c r="BH123" s="50">
        <v>5.8500000000000003E-2</v>
      </c>
      <c r="BI123" s="50">
        <v>1.9844000000000004E-2</v>
      </c>
      <c r="BJ123" s="50">
        <v>5.4329000000000009E-2</v>
      </c>
      <c r="BK123" s="42">
        <v>0</v>
      </c>
      <c r="BL123" s="32">
        <v>0.27272727272727271</v>
      </c>
      <c r="BM123" s="30">
        <v>0</v>
      </c>
      <c r="BN123" s="34">
        <v>0.25</v>
      </c>
      <c r="BP123" s="15"/>
      <c r="BQ123" s="28"/>
      <c r="BR123" s="31">
        <v>1.1000000000000001</v>
      </c>
      <c r="BS123" s="45">
        <f t="shared" ref="BS123:BS132" si="162">1*CF123*CB123/32</f>
        <v>1.6035166024153016E-2</v>
      </c>
      <c r="BT123" s="78">
        <f t="shared" si="153"/>
        <v>2.1380221365537355E-2</v>
      </c>
      <c r="BU123" s="78">
        <f t="shared" si="154"/>
        <v>4.9514359536274248E-2</v>
      </c>
      <c r="BV123" s="78">
        <f t="shared" si="155"/>
        <v>1.7669604434328384E-2</v>
      </c>
      <c r="BW123" s="78">
        <f t="shared" si="156"/>
        <v>4.0920958294441499E-2</v>
      </c>
      <c r="BX123" s="42">
        <v>0</v>
      </c>
      <c r="BY123" s="32">
        <v>0.27272727272727271</v>
      </c>
      <c r="BZ123" s="30">
        <v>0</v>
      </c>
      <c r="CA123" s="34">
        <v>0.25</v>
      </c>
      <c r="CB123" s="37">
        <f t="shared" si="157"/>
        <v>0.59417231443529095</v>
      </c>
      <c r="CC123" s="37">
        <f t="shared" ref="CC123:CC132" si="163">1-CB123</f>
        <v>0.40582768556470905</v>
      </c>
      <c r="CD123" s="35">
        <v>24</v>
      </c>
      <c r="CE123" s="35">
        <v>24</v>
      </c>
      <c r="CF123" s="37">
        <f t="shared" si="158"/>
        <v>0.86359680568519492</v>
      </c>
      <c r="CG123" s="37">
        <f t="shared" si="159"/>
        <v>0.86359680568519503</v>
      </c>
      <c r="CI123" s="15"/>
      <c r="CJ123" s="28"/>
      <c r="CK123" s="31">
        <v>1.1000000000000001</v>
      </c>
      <c r="CL123" s="45">
        <f t="shared" si="160"/>
        <v>1.5393759383186895E-2</v>
      </c>
      <c r="CM123" s="78">
        <f t="shared" ref="CM123:CM132" si="164">BT123+$CJ$14*BV123</f>
        <v>2.4914142252403033E-2</v>
      </c>
      <c r="CN123" s="78">
        <v>4.9514359536274248E-2</v>
      </c>
      <c r="CO123" s="78">
        <f t="shared" ref="CO123:CO132" si="165">$CJ$14*BT123+BV123</f>
        <v>2.1945648707435855E-2</v>
      </c>
      <c r="CP123" s="78">
        <v>4.0920958294441499E-2</v>
      </c>
      <c r="CQ123" s="42">
        <v>0</v>
      </c>
      <c r="CR123" s="32">
        <v>0.27272727272727271</v>
      </c>
      <c r="CS123" s="30">
        <v>0</v>
      </c>
      <c r="CT123" s="34">
        <v>0.25</v>
      </c>
      <c r="CV123" s="25"/>
      <c r="CW123" s="47"/>
      <c r="CX123" s="53">
        <v>1.1000000000000001</v>
      </c>
      <c r="CY123" s="45">
        <f t="shared" ref="CY123:CY132" si="166">(1-$CW$14^2)/(1-$CW$13^2)*BF123</f>
        <v>1.8123386189258316E-2</v>
      </c>
      <c r="CZ123" s="78">
        <f t="shared" ref="CZ123:CZ132" si="167">(1/(1-$CW$13^2))*((1-$CW$13*$CW$14)*BG123+($CW$14-$CW$13)*BI123)</f>
        <v>2.1711918158567777E-2</v>
      </c>
      <c r="DA123" s="50">
        <v>5.8499999999999996E-2</v>
      </c>
      <c r="DB123" s="78">
        <f t="shared" ref="DB123:DB132" si="168">(1/(1-$CW$13^2))*((1-$CW$13*$CW$14)*BI123+($CW$14-$CW$13)*BG123)</f>
        <v>1.658721227621484E-2</v>
      </c>
      <c r="DC123" s="50">
        <v>5.4299999999999994E-2</v>
      </c>
      <c r="DD123" s="42">
        <v>0</v>
      </c>
      <c r="DE123" s="32">
        <v>0.27272727272727271</v>
      </c>
      <c r="DF123" s="30">
        <v>0</v>
      </c>
      <c r="DG123" s="34">
        <v>0.25</v>
      </c>
      <c r="DI123" s="25"/>
      <c r="DJ123" s="47"/>
      <c r="DK123" s="53">
        <v>1.1000000000000001</v>
      </c>
      <c r="DL123" s="49">
        <v>1.77E-2</v>
      </c>
      <c r="DM123" s="50">
        <v>2.4199999999999999E-2</v>
      </c>
      <c r="DN123" s="50">
        <v>5.8499999999999996E-2</v>
      </c>
      <c r="DO123" s="50">
        <v>1.9799999999999998E-2</v>
      </c>
      <c r="DP123" s="50">
        <v>5.4299999999999994E-2</v>
      </c>
      <c r="DQ123" s="42">
        <v>0</v>
      </c>
      <c r="DR123" s="32">
        <v>0.27272727272727271</v>
      </c>
      <c r="DS123" s="30">
        <v>0</v>
      </c>
      <c r="DT123" s="34">
        <v>0.25</v>
      </c>
    </row>
    <row r="124" spans="1:124" ht="12" customHeight="1" x14ac:dyDescent="0.2">
      <c r="A124" s="1"/>
      <c r="B124" s="25"/>
      <c r="C124" s="47"/>
      <c r="D124" s="68">
        <v>1.2</v>
      </c>
      <c r="E124" s="85">
        <f t="shared" si="93"/>
        <v>0.02</v>
      </c>
      <c r="F124" s="85">
        <f t="shared" si="94"/>
        <v>2.8740000000000002E-2</v>
      </c>
      <c r="G124" s="85">
        <f t="shared" si="95"/>
        <v>6.3899999999999998E-2</v>
      </c>
      <c r="H124" s="85">
        <f t="shared" si="96"/>
        <v>2.0469999999999999E-2</v>
      </c>
      <c r="I124" s="85">
        <f t="shared" si="97"/>
        <v>5.509E-2</v>
      </c>
      <c r="J124" s="85">
        <f t="shared" si="98"/>
        <v>0</v>
      </c>
      <c r="K124" s="85">
        <f t="shared" si="99"/>
        <v>0.29166666666666663</v>
      </c>
      <c r="L124" s="85">
        <f t="shared" si="100"/>
        <v>0</v>
      </c>
      <c r="M124" s="85">
        <f t="shared" si="101"/>
        <v>0.25</v>
      </c>
      <c r="N124" s="1"/>
      <c r="P124" s="15"/>
      <c r="Q124" s="28"/>
      <c r="R124" s="31">
        <v>1.2</v>
      </c>
      <c r="S124" s="37">
        <v>0.02</v>
      </c>
      <c r="T124" s="32">
        <v>2.8740000000000002E-2</v>
      </c>
      <c r="U124" s="32">
        <v>6.3899999999999998E-2</v>
      </c>
      <c r="V124" s="32">
        <v>2.0469999999999999E-2</v>
      </c>
      <c r="W124" s="32">
        <v>5.509E-2</v>
      </c>
      <c r="X124" s="42">
        <v>0</v>
      </c>
      <c r="Y124" s="32">
        <v>0.29166666666666663</v>
      </c>
      <c r="Z124" s="30">
        <v>0</v>
      </c>
      <c r="AA124" s="34">
        <v>0.25</v>
      </c>
      <c r="AC124" s="15"/>
      <c r="AD124" s="28"/>
      <c r="AE124" s="31">
        <v>1.2</v>
      </c>
      <c r="AF124" s="37">
        <v>2.07E-2</v>
      </c>
      <c r="AG124" s="32">
        <f>1/39.4</f>
        <v>2.5380710659898477E-2</v>
      </c>
      <c r="AH124" s="32">
        <f>1/15.5</f>
        <v>6.4516129032258063E-2</v>
      </c>
      <c r="AI124" s="32">
        <f>1/65.8</f>
        <v>1.5197568389057751E-2</v>
      </c>
      <c r="AJ124" s="32">
        <f>1/17.9</f>
        <v>5.5865921787709501E-2</v>
      </c>
      <c r="AK124" s="42">
        <v>0</v>
      </c>
      <c r="AL124" s="32">
        <v>0.29166666666666663</v>
      </c>
      <c r="AM124" s="30">
        <v>0</v>
      </c>
      <c r="AN124" s="34">
        <v>0.25</v>
      </c>
      <c r="AP124" s="15"/>
      <c r="AQ124" s="28"/>
      <c r="AR124" s="31">
        <v>1.2</v>
      </c>
      <c r="AS124" s="45">
        <f t="shared" si="161"/>
        <v>1.9871999999999997E-2</v>
      </c>
      <c r="AT124" s="32">
        <f>1/35.2</f>
        <v>2.8409090909090908E-2</v>
      </c>
      <c r="AU124" s="32">
        <f>1/15.5</f>
        <v>6.4516129032258063E-2</v>
      </c>
      <c r="AV124" s="32">
        <f>1/49.3</f>
        <v>2.0283975659229209E-2</v>
      </c>
      <c r="AW124" s="32">
        <f>1/17.9</f>
        <v>5.5865921787709501E-2</v>
      </c>
      <c r="AX124" s="42">
        <v>0</v>
      </c>
      <c r="AY124" s="32">
        <v>0.29166666666666663</v>
      </c>
      <c r="AZ124" s="30">
        <v>0</v>
      </c>
      <c r="BA124" s="34">
        <v>0.25</v>
      </c>
      <c r="BC124" s="25"/>
      <c r="BD124" s="47"/>
      <c r="BE124" s="53">
        <v>1.2</v>
      </c>
      <c r="BF124" s="49">
        <v>2.0321279999999997E-2</v>
      </c>
      <c r="BG124" s="50">
        <v>2.87E-2</v>
      </c>
      <c r="BH124" s="50">
        <v>6.4299999999999996E-2</v>
      </c>
      <c r="BI124" s="50">
        <v>1.8863999999999999E-2</v>
      </c>
      <c r="BJ124" s="50">
        <v>5.5872000000000005E-2</v>
      </c>
      <c r="BK124" s="42">
        <v>0</v>
      </c>
      <c r="BL124" s="32">
        <v>0.29166666666666663</v>
      </c>
      <c r="BM124" s="30">
        <v>0</v>
      </c>
      <c r="BN124" s="34">
        <v>0.25</v>
      </c>
      <c r="BP124" s="15"/>
      <c r="BQ124" s="28"/>
      <c r="BR124" s="31">
        <v>1.2</v>
      </c>
      <c r="BS124" s="45">
        <f t="shared" si="162"/>
        <v>1.8339046149018452E-2</v>
      </c>
      <c r="BT124" s="78">
        <f t="shared" si="153"/>
        <v>2.4452061532024602E-2</v>
      </c>
      <c r="BU124" s="78">
        <f t="shared" si="154"/>
        <v>5.6220718375845913E-2</v>
      </c>
      <c r="BV124" s="78">
        <f t="shared" si="155"/>
        <v>1.6980598286128194E-2</v>
      </c>
      <c r="BW124" s="78">
        <f t="shared" si="156"/>
        <v>3.9042165538781884E-2</v>
      </c>
      <c r="BX124" s="42">
        <v>0</v>
      </c>
      <c r="BY124" s="32">
        <v>0.29166666666666663</v>
      </c>
      <c r="BZ124" s="30">
        <v>0</v>
      </c>
      <c r="CA124" s="34">
        <v>0.25</v>
      </c>
      <c r="CB124" s="37">
        <f t="shared" si="157"/>
        <v>0.67464862051015095</v>
      </c>
      <c r="CC124" s="37">
        <f t="shared" si="163"/>
        <v>0.32535137948984905</v>
      </c>
      <c r="CD124" s="35">
        <v>24</v>
      </c>
      <c r="CE124" s="35">
        <v>24</v>
      </c>
      <c r="CF124" s="37">
        <f t="shared" si="158"/>
        <v>0.86985944820406036</v>
      </c>
      <c r="CG124" s="37">
        <f t="shared" si="159"/>
        <v>0.86985944820406036</v>
      </c>
      <c r="CI124" s="15"/>
      <c r="CJ124" s="28"/>
      <c r="CK124" s="31">
        <v>1.2</v>
      </c>
      <c r="CL124" s="45">
        <f t="shared" si="160"/>
        <v>1.7605484303057712E-2</v>
      </c>
      <c r="CM124" s="78">
        <f t="shared" si="164"/>
        <v>2.784818118925024E-2</v>
      </c>
      <c r="CN124" s="78">
        <v>5.6220718375845913E-2</v>
      </c>
      <c r="CO124" s="78">
        <f t="shared" si="165"/>
        <v>2.1871010592533116E-2</v>
      </c>
      <c r="CP124" s="78">
        <v>3.9042165538781884E-2</v>
      </c>
      <c r="CQ124" s="42">
        <v>0</v>
      </c>
      <c r="CR124" s="32">
        <v>0.29166666666666663</v>
      </c>
      <c r="CS124" s="30">
        <v>0</v>
      </c>
      <c r="CT124" s="34">
        <v>0.25</v>
      </c>
      <c r="CV124" s="25"/>
      <c r="CW124" s="47"/>
      <c r="CX124" s="53">
        <v>1.2</v>
      </c>
      <c r="CY124" s="45">
        <f t="shared" si="166"/>
        <v>2.0789033248081838E-2</v>
      </c>
      <c r="CZ124" s="78">
        <f t="shared" si="167"/>
        <v>2.6465882352941179E-2</v>
      </c>
      <c r="DA124" s="50">
        <v>6.4299999999999996E-2</v>
      </c>
      <c r="DB124" s="78">
        <f t="shared" si="168"/>
        <v>1.4894117647058823E-2</v>
      </c>
      <c r="DC124" s="50">
        <v>5.5899999999999998E-2</v>
      </c>
      <c r="DD124" s="42">
        <v>0</v>
      </c>
      <c r="DE124" s="32">
        <v>0.29166666666666663</v>
      </c>
      <c r="DF124" s="30">
        <v>0</v>
      </c>
      <c r="DG124" s="34">
        <v>0.25</v>
      </c>
      <c r="DI124" s="25"/>
      <c r="DJ124" s="47"/>
      <c r="DK124" s="53">
        <v>1.2</v>
      </c>
      <c r="DL124" s="49">
        <v>2.0199999999999999E-2</v>
      </c>
      <c r="DM124" s="50">
        <v>2.87E-2</v>
      </c>
      <c r="DN124" s="50">
        <v>6.4299999999999996E-2</v>
      </c>
      <c r="DO124" s="50">
        <v>1.89E-2</v>
      </c>
      <c r="DP124" s="50">
        <v>5.5899999999999998E-2</v>
      </c>
      <c r="DQ124" s="42">
        <v>0</v>
      </c>
      <c r="DR124" s="32">
        <v>0.29166666666666663</v>
      </c>
      <c r="DS124" s="30">
        <v>0</v>
      </c>
      <c r="DT124" s="34">
        <v>0.25</v>
      </c>
    </row>
    <row r="125" spans="1:124" ht="12" customHeight="1" x14ac:dyDescent="0.2">
      <c r="A125" s="1"/>
      <c r="B125" s="25"/>
      <c r="C125" s="47"/>
      <c r="D125" s="68">
        <v>1.3</v>
      </c>
      <c r="E125" s="85">
        <f t="shared" si="93"/>
        <v>2.2200000000000001E-2</v>
      </c>
      <c r="F125" s="85">
        <f t="shared" si="94"/>
        <v>3.1699999999999999E-2</v>
      </c>
      <c r="G125" s="85">
        <f t="shared" si="95"/>
        <v>6.8739999999999996E-2</v>
      </c>
      <c r="H125" s="85">
        <f t="shared" si="96"/>
        <v>1.9439999999999999E-2</v>
      </c>
      <c r="I125" s="85">
        <f t="shared" si="97"/>
        <v>5.5879999999999999E-2</v>
      </c>
      <c r="J125" s="85">
        <f t="shared" si="98"/>
        <v>0</v>
      </c>
      <c r="K125" s="85">
        <f t="shared" si="99"/>
        <v>0.30769230769230771</v>
      </c>
      <c r="L125" s="85">
        <f t="shared" si="100"/>
        <v>0</v>
      </c>
      <c r="M125" s="85">
        <f t="shared" si="101"/>
        <v>0.25</v>
      </c>
      <c r="N125" s="1"/>
      <c r="P125" s="15"/>
      <c r="Q125" s="28"/>
      <c r="R125" s="31">
        <v>1.3</v>
      </c>
      <c r="S125" s="37">
        <v>2.2200000000000001E-2</v>
      </c>
      <c r="T125" s="32">
        <v>3.1699999999999999E-2</v>
      </c>
      <c r="U125" s="32">
        <v>6.8739999999999996E-2</v>
      </c>
      <c r="V125" s="32">
        <v>1.9439999999999999E-2</v>
      </c>
      <c r="W125" s="32">
        <v>5.5879999999999999E-2</v>
      </c>
      <c r="X125" s="42">
        <v>0</v>
      </c>
      <c r="Y125" s="32">
        <v>0.30769230769230771</v>
      </c>
      <c r="Z125" s="30">
        <v>0</v>
      </c>
      <c r="AA125" s="34">
        <v>0.25</v>
      </c>
      <c r="AC125" s="15"/>
      <c r="AD125" s="28"/>
      <c r="AE125" s="31">
        <v>1.3</v>
      </c>
      <c r="AF125" s="37">
        <v>2.3E-2</v>
      </c>
      <c r="AG125" s="32">
        <f>1/34.8</f>
        <v>2.8735632183908049E-2</v>
      </c>
      <c r="AH125" s="32">
        <f>1/14.5</f>
        <v>6.8965517241379309E-2</v>
      </c>
      <c r="AI125" s="32">
        <f>1/73.6</f>
        <v>1.3586956521739132E-2</v>
      </c>
      <c r="AJ125" s="32">
        <f>1/17.6</f>
        <v>5.6818181818181816E-2</v>
      </c>
      <c r="AK125" s="42">
        <v>0</v>
      </c>
      <c r="AL125" s="32">
        <v>0.30769230769230771</v>
      </c>
      <c r="AM125" s="30">
        <v>0</v>
      </c>
      <c r="AN125" s="34">
        <v>0.25</v>
      </c>
      <c r="AP125" s="15"/>
      <c r="AQ125" s="28"/>
      <c r="AR125" s="31">
        <v>1.3</v>
      </c>
      <c r="AS125" s="45">
        <f t="shared" si="161"/>
        <v>2.2079999999999999E-2</v>
      </c>
      <c r="AT125" s="32">
        <f>1/31.8</f>
        <v>3.1446540880503145E-2</v>
      </c>
      <c r="AU125" s="32">
        <f>1/14.5</f>
        <v>6.8965517241379309E-2</v>
      </c>
      <c r="AV125" s="32">
        <f>1/51.7</f>
        <v>1.9342359767891681E-2</v>
      </c>
      <c r="AW125" s="32">
        <f>1/17.6</f>
        <v>5.6818181818181816E-2</v>
      </c>
      <c r="AX125" s="42">
        <v>0</v>
      </c>
      <c r="AY125" s="32">
        <v>0.30769230769230771</v>
      </c>
      <c r="AZ125" s="30">
        <v>0</v>
      </c>
      <c r="BA125" s="34">
        <v>0.25</v>
      </c>
      <c r="BC125" s="25"/>
      <c r="BD125" s="47"/>
      <c r="BE125" s="53">
        <v>1.3</v>
      </c>
      <c r="BF125" s="49">
        <v>2.2277580000000002E-2</v>
      </c>
      <c r="BG125" s="50">
        <v>3.0599999999999999E-2</v>
      </c>
      <c r="BH125" s="50">
        <v>6.9000000000000006E-2</v>
      </c>
      <c r="BI125" s="50">
        <v>1.7745E-2</v>
      </c>
      <c r="BJ125" s="50">
        <v>5.6784000000000001E-2</v>
      </c>
      <c r="BK125" s="42">
        <v>0</v>
      </c>
      <c r="BL125" s="32">
        <v>0.30769230769230771</v>
      </c>
      <c r="BM125" s="30">
        <v>0</v>
      </c>
      <c r="BN125" s="34">
        <v>0.25</v>
      </c>
      <c r="BP125" s="15"/>
      <c r="BQ125" s="28"/>
      <c r="BR125" s="31">
        <v>1.3</v>
      </c>
      <c r="BS125" s="45">
        <f t="shared" si="162"/>
        <v>2.0328151253638248E-2</v>
      </c>
      <c r="BT125" s="78">
        <f t="shared" si="153"/>
        <v>2.7104201671517666E-2</v>
      </c>
      <c r="BU125" s="78">
        <f t="shared" si="154"/>
        <v>6.1722552146815012E-2</v>
      </c>
      <c r="BV125" s="78">
        <f t="shared" si="155"/>
        <v>1.6037989154744175E-2</v>
      </c>
      <c r="BW125" s="78">
        <f t="shared" si="156"/>
        <v>3.652222020521597E-2</v>
      </c>
      <c r="BX125" s="42">
        <v>0</v>
      </c>
      <c r="BY125" s="32">
        <v>0.30769230769230771</v>
      </c>
      <c r="BZ125" s="30">
        <v>0</v>
      </c>
      <c r="CA125" s="34">
        <v>0.25</v>
      </c>
      <c r="CB125" s="37">
        <f t="shared" si="157"/>
        <v>0.74067062576178011</v>
      </c>
      <c r="CC125" s="37">
        <f t="shared" si="163"/>
        <v>0.25932937423821989</v>
      </c>
      <c r="CD125" s="35">
        <v>24</v>
      </c>
      <c r="CE125" s="35">
        <v>24</v>
      </c>
      <c r="CF125" s="37">
        <f t="shared" si="158"/>
        <v>0.87825926598261339</v>
      </c>
      <c r="CG125" s="37">
        <f t="shared" si="159"/>
        <v>0.87825926598261339</v>
      </c>
      <c r="CI125" s="15"/>
      <c r="CJ125" s="28"/>
      <c r="CK125" s="31">
        <v>1.3</v>
      </c>
      <c r="CL125" s="45">
        <f t="shared" si="160"/>
        <v>1.9515025203492718E-2</v>
      </c>
      <c r="CM125" s="78">
        <f t="shared" si="164"/>
        <v>3.0311799502466499E-2</v>
      </c>
      <c r="CN125" s="78">
        <v>6.1722552146815012E-2</v>
      </c>
      <c r="CO125" s="78">
        <f t="shared" si="165"/>
        <v>2.1458829489047707E-2</v>
      </c>
      <c r="CP125" s="78">
        <v>3.652222020521597E-2</v>
      </c>
      <c r="CQ125" s="42">
        <v>0</v>
      </c>
      <c r="CR125" s="32">
        <v>0.30769230769230771</v>
      </c>
      <c r="CS125" s="30">
        <v>0</v>
      </c>
      <c r="CT125" s="34">
        <v>0.25</v>
      </c>
      <c r="CV125" s="25"/>
      <c r="CW125" s="47"/>
      <c r="CX125" s="53">
        <v>1.3</v>
      </c>
      <c r="CY125" s="45">
        <f t="shared" si="166"/>
        <v>2.27903631713555E-2</v>
      </c>
      <c r="CZ125" s="78">
        <f t="shared" si="167"/>
        <v>2.8581329923273658E-2</v>
      </c>
      <c r="DA125" s="50">
        <v>6.9000000000000006E-2</v>
      </c>
      <c r="DB125" s="78">
        <f t="shared" si="168"/>
        <v>1.3457800511508952E-2</v>
      </c>
      <c r="DC125" s="50">
        <v>5.6799999999999996E-2</v>
      </c>
      <c r="DD125" s="42">
        <v>0</v>
      </c>
      <c r="DE125" s="32">
        <v>0.30769230769230771</v>
      </c>
      <c r="DF125" s="30">
        <v>0</v>
      </c>
      <c r="DG125" s="34">
        <v>0.25</v>
      </c>
      <c r="DI125" s="25"/>
      <c r="DJ125" s="47"/>
      <c r="DK125" s="53">
        <v>1.3</v>
      </c>
      <c r="DL125" s="49">
        <v>2.2400000000000003E-2</v>
      </c>
      <c r="DM125" s="50">
        <v>3.0600000000000002E-2</v>
      </c>
      <c r="DN125" s="50">
        <v>6.9000000000000006E-2</v>
      </c>
      <c r="DO125" s="50">
        <v>1.77E-2</v>
      </c>
      <c r="DP125" s="50">
        <v>5.6799999999999996E-2</v>
      </c>
      <c r="DQ125" s="42">
        <v>0</v>
      </c>
      <c r="DR125" s="32">
        <v>0.30769230769230771</v>
      </c>
      <c r="DS125" s="30">
        <v>0</v>
      </c>
      <c r="DT125" s="34">
        <v>0.25</v>
      </c>
    </row>
    <row r="126" spans="1:124" ht="12" customHeight="1" x14ac:dyDescent="0.2">
      <c r="A126" s="1"/>
      <c r="B126" s="25"/>
      <c r="C126" s="47"/>
      <c r="D126" s="68">
        <v>1.4</v>
      </c>
      <c r="E126" s="85">
        <f t="shared" si="93"/>
        <v>2.4E-2</v>
      </c>
      <c r="F126" s="85">
        <f t="shared" si="94"/>
        <v>3.4139999999999997E-2</v>
      </c>
      <c r="G126" s="85">
        <f t="shared" si="95"/>
        <v>7.2650000000000006E-2</v>
      </c>
      <c r="H126" s="85">
        <f t="shared" si="96"/>
        <v>1.8239999999999999E-2</v>
      </c>
      <c r="I126" s="85">
        <f t="shared" si="97"/>
        <v>5.6239999999999998E-2</v>
      </c>
      <c r="J126" s="85">
        <f t="shared" si="98"/>
        <v>0</v>
      </c>
      <c r="K126" s="85">
        <f t="shared" si="99"/>
        <v>0.3214285714285714</v>
      </c>
      <c r="L126" s="85">
        <f t="shared" si="100"/>
        <v>0</v>
      </c>
      <c r="M126" s="85">
        <f t="shared" si="101"/>
        <v>0.25</v>
      </c>
      <c r="N126" s="1"/>
      <c r="P126" s="15"/>
      <c r="Q126" s="28"/>
      <c r="R126" s="31">
        <v>1.4</v>
      </c>
      <c r="S126" s="37">
        <v>2.4E-2</v>
      </c>
      <c r="T126" s="32">
        <v>3.4139999999999997E-2</v>
      </c>
      <c r="U126" s="32">
        <v>7.2650000000000006E-2</v>
      </c>
      <c r="V126" s="32">
        <v>1.8239999999999999E-2</v>
      </c>
      <c r="W126" s="32">
        <v>5.6239999999999998E-2</v>
      </c>
      <c r="X126" s="42">
        <v>0</v>
      </c>
      <c r="Y126" s="32">
        <v>0.3214285714285714</v>
      </c>
      <c r="Z126" s="30">
        <v>0</v>
      </c>
      <c r="AA126" s="34">
        <v>0.25</v>
      </c>
      <c r="AC126" s="15"/>
      <c r="AD126" s="28"/>
      <c r="AE126" s="31">
        <v>1.4</v>
      </c>
      <c r="AF126" s="37">
        <v>2.4799999999999999E-2</v>
      </c>
      <c r="AG126" s="32">
        <f>1/31.9</f>
        <v>3.1347962382445145E-2</v>
      </c>
      <c r="AH126" s="32">
        <f>1/13.7</f>
        <v>7.2992700729927015E-2</v>
      </c>
      <c r="AI126" s="32">
        <f>1/83.4</f>
        <v>1.1990407673860911E-2</v>
      </c>
      <c r="AJ126" s="32">
        <f t="shared" ref="AJ126:AJ132" si="169">1/17.5</f>
        <v>5.7142857142857141E-2</v>
      </c>
      <c r="AK126" s="42">
        <v>0</v>
      </c>
      <c r="AL126" s="32">
        <v>0.3214285714285714</v>
      </c>
      <c r="AM126" s="30">
        <v>0</v>
      </c>
      <c r="AN126" s="34">
        <v>0.25</v>
      </c>
      <c r="AP126" s="15"/>
      <c r="AQ126" s="28"/>
      <c r="AR126" s="31">
        <v>1.4</v>
      </c>
      <c r="AS126" s="45">
        <f t="shared" si="161"/>
        <v>2.3807999999999999E-2</v>
      </c>
      <c r="AT126" s="32">
        <f>1/29.6</f>
        <v>3.3783783783783779E-2</v>
      </c>
      <c r="AU126" s="32">
        <f>1/13.7</f>
        <v>7.2992700729927015E-2</v>
      </c>
      <c r="AV126" s="32">
        <f>1/54.8</f>
        <v>1.8248175182481754E-2</v>
      </c>
      <c r="AW126" s="32">
        <f t="shared" ref="AW126:AW132" si="170">1/17.5</f>
        <v>5.7142857142857141E-2</v>
      </c>
      <c r="AX126" s="42">
        <v>0</v>
      </c>
      <c r="AY126" s="32">
        <v>0.3214285714285714</v>
      </c>
      <c r="AZ126" s="30">
        <v>0</v>
      </c>
      <c r="BA126" s="34">
        <v>0.25</v>
      </c>
      <c r="BC126" s="25"/>
      <c r="BD126" s="47"/>
      <c r="BE126" s="53">
        <v>1.4</v>
      </c>
      <c r="BF126" s="49">
        <v>2.4202079999999994E-2</v>
      </c>
      <c r="BG126" s="50">
        <v>3.32E-2</v>
      </c>
      <c r="BH126" s="50">
        <v>7.2800000000000004E-2</v>
      </c>
      <c r="BI126" s="50">
        <v>1.6463999999999999E-2</v>
      </c>
      <c r="BJ126" s="50">
        <v>5.7035999999999989E-2</v>
      </c>
      <c r="BK126" s="42">
        <v>0</v>
      </c>
      <c r="BL126" s="32">
        <v>0.3214285714285714</v>
      </c>
      <c r="BM126" s="30">
        <v>0</v>
      </c>
      <c r="BN126" s="34">
        <v>0.25</v>
      </c>
      <c r="BP126" s="15"/>
      <c r="BQ126" s="28"/>
      <c r="BR126" s="31">
        <v>1.4</v>
      </c>
      <c r="BS126" s="45">
        <f t="shared" si="162"/>
        <v>2.2007232262680379E-2</v>
      </c>
      <c r="BT126" s="78">
        <f t="shared" si="153"/>
        <v>2.9342976350240507E-2</v>
      </c>
      <c r="BU126" s="78">
        <f t="shared" si="154"/>
        <v>6.6121392377175583E-2</v>
      </c>
      <c r="BV126" s="78">
        <f t="shared" si="155"/>
        <v>1.4970906301143115E-2</v>
      </c>
      <c r="BW126" s="78">
        <f t="shared" si="156"/>
        <v>3.3735404274069174E-2</v>
      </c>
      <c r="BX126" s="42">
        <v>0</v>
      </c>
      <c r="BY126" s="32">
        <v>0.3214285714285714</v>
      </c>
      <c r="BZ126" s="30">
        <v>0</v>
      </c>
      <c r="CA126" s="34">
        <v>0.25</v>
      </c>
      <c r="CB126" s="37">
        <f t="shared" si="157"/>
        <v>0.79345670852610706</v>
      </c>
      <c r="CC126" s="37">
        <f t="shared" si="163"/>
        <v>0.20654329147389294</v>
      </c>
      <c r="CD126" s="35">
        <v>24</v>
      </c>
      <c r="CE126" s="35">
        <v>24</v>
      </c>
      <c r="CF126" s="37">
        <f t="shared" si="158"/>
        <v>0.88754865241976943</v>
      </c>
      <c r="CG126" s="37">
        <f t="shared" si="159"/>
        <v>0.88754865241976943</v>
      </c>
      <c r="CI126" s="15"/>
      <c r="CJ126" s="28"/>
      <c r="CK126" s="31">
        <v>1.4</v>
      </c>
      <c r="CL126" s="45">
        <f t="shared" si="160"/>
        <v>2.1126942972173164E-2</v>
      </c>
      <c r="CM126" s="78">
        <f t="shared" si="164"/>
        <v>3.2337157610469132E-2</v>
      </c>
      <c r="CN126" s="78">
        <v>6.6121392377175583E-2</v>
      </c>
      <c r="CO126" s="78">
        <f t="shared" si="165"/>
        <v>2.0839501571191216E-2</v>
      </c>
      <c r="CP126" s="78">
        <v>3.3735404274069174E-2</v>
      </c>
      <c r="CQ126" s="42">
        <v>0</v>
      </c>
      <c r="CR126" s="32">
        <v>0.3214285714285714</v>
      </c>
      <c r="CS126" s="30">
        <v>0</v>
      </c>
      <c r="CT126" s="34">
        <v>0.25</v>
      </c>
      <c r="CV126" s="25"/>
      <c r="CW126" s="47"/>
      <c r="CX126" s="53">
        <v>1.4</v>
      </c>
      <c r="CY126" s="45">
        <f t="shared" si="166"/>
        <v>2.4759161125319687E-2</v>
      </c>
      <c r="CZ126" s="78">
        <f t="shared" si="167"/>
        <v>3.1437749360613818E-2</v>
      </c>
      <c r="DA126" s="50">
        <v>7.2800000000000004E-2</v>
      </c>
      <c r="DB126" s="78">
        <f t="shared" si="168"/>
        <v>1.1748337595907928E-2</v>
      </c>
      <c r="DC126" s="50">
        <v>5.7000000000000002E-2</v>
      </c>
      <c r="DD126" s="42">
        <v>0</v>
      </c>
      <c r="DE126" s="32">
        <v>0.3214285714285714</v>
      </c>
      <c r="DF126" s="30">
        <v>0</v>
      </c>
      <c r="DG126" s="34">
        <v>0.25</v>
      </c>
      <c r="DI126" s="25"/>
      <c r="DJ126" s="47"/>
      <c r="DK126" s="53">
        <v>1.4</v>
      </c>
      <c r="DL126" s="49">
        <v>2.41E-2</v>
      </c>
      <c r="DM126" s="50">
        <v>3.32E-2</v>
      </c>
      <c r="DN126" s="50">
        <v>7.2800000000000004E-2</v>
      </c>
      <c r="DO126" s="50">
        <v>1.6500000000000001E-2</v>
      </c>
      <c r="DP126" s="50">
        <v>5.7000000000000002E-2</v>
      </c>
      <c r="DQ126" s="42">
        <v>0</v>
      </c>
      <c r="DR126" s="32">
        <v>0.3214285714285714</v>
      </c>
      <c r="DS126" s="30">
        <v>0</v>
      </c>
      <c r="DT126" s="34">
        <v>0.25</v>
      </c>
    </row>
    <row r="127" spans="1:124" ht="12" customHeight="1" x14ac:dyDescent="0.2">
      <c r="A127" s="1"/>
      <c r="B127" s="25"/>
      <c r="C127" s="47"/>
      <c r="D127" s="68">
        <v>1.5</v>
      </c>
      <c r="E127" s="85">
        <f t="shared" si="93"/>
        <v>2.5499999999999998E-2</v>
      </c>
      <c r="F127" s="85">
        <f t="shared" si="94"/>
        <v>3.6119999999999999E-2</v>
      </c>
      <c r="G127" s="85">
        <f t="shared" si="95"/>
        <v>7.5740000000000002E-2</v>
      </c>
      <c r="H127" s="85">
        <f t="shared" si="96"/>
        <v>1.7059999999999999E-2</v>
      </c>
      <c r="I127" s="85">
        <f t="shared" si="97"/>
        <v>5.6329999999999998E-2</v>
      </c>
      <c r="J127" s="85">
        <f t="shared" si="98"/>
        <v>0</v>
      </c>
      <c r="K127" s="85">
        <f t="shared" si="99"/>
        <v>0.33333333333333337</v>
      </c>
      <c r="L127" s="85">
        <f t="shared" si="100"/>
        <v>0</v>
      </c>
      <c r="M127" s="85">
        <f t="shared" si="101"/>
        <v>0.25</v>
      </c>
      <c r="N127" s="1"/>
      <c r="P127" s="15"/>
      <c r="Q127" s="28"/>
      <c r="R127" s="31">
        <v>1.5</v>
      </c>
      <c r="S127" s="37">
        <v>2.5499999999999998E-2</v>
      </c>
      <c r="T127" s="32">
        <v>3.6119999999999999E-2</v>
      </c>
      <c r="U127" s="32">
        <v>7.5740000000000002E-2</v>
      </c>
      <c r="V127" s="32">
        <v>1.7059999999999999E-2</v>
      </c>
      <c r="W127" s="32">
        <v>5.6329999999999998E-2</v>
      </c>
      <c r="X127" s="42">
        <v>0</v>
      </c>
      <c r="Y127" s="32">
        <v>0.33333333333333337</v>
      </c>
      <c r="Z127" s="30">
        <v>0</v>
      </c>
      <c r="AA127" s="34">
        <v>0.25</v>
      </c>
      <c r="AC127" s="15"/>
      <c r="AD127" s="28"/>
      <c r="AE127" s="31">
        <v>1.5</v>
      </c>
      <c r="AF127" s="37">
        <v>2.64E-2</v>
      </c>
      <c r="AG127" s="32">
        <f>1/29.6</f>
        <v>3.3783783783783779E-2</v>
      </c>
      <c r="AH127" s="32">
        <f>1/13.2</f>
        <v>7.575757575757576E-2</v>
      </c>
      <c r="AI127" s="32">
        <f>1/93.5</f>
        <v>1.06951871657754E-2</v>
      </c>
      <c r="AJ127" s="32">
        <f t="shared" si="169"/>
        <v>5.7142857142857141E-2</v>
      </c>
      <c r="AK127" s="42">
        <v>0</v>
      </c>
      <c r="AL127" s="32">
        <v>0.33333333333333337</v>
      </c>
      <c r="AM127" s="30">
        <v>0</v>
      </c>
      <c r="AN127" s="34">
        <v>0.25</v>
      </c>
      <c r="AP127" s="15"/>
      <c r="AQ127" s="28"/>
      <c r="AR127" s="31">
        <v>1.5</v>
      </c>
      <c r="AS127" s="45">
        <f t="shared" si="161"/>
        <v>2.5343999999999998E-2</v>
      </c>
      <c r="AT127" s="32">
        <f>1/27.8</f>
        <v>3.5971223021582732E-2</v>
      </c>
      <c r="AU127" s="32">
        <f>1/13.2</f>
        <v>7.575757575757576E-2</v>
      </c>
      <c r="AV127" s="32">
        <f>1/57.3</f>
        <v>1.7452006980802792E-2</v>
      </c>
      <c r="AW127" s="32">
        <f t="shared" si="170"/>
        <v>5.7142857142857141E-2</v>
      </c>
      <c r="AX127" s="42">
        <v>0</v>
      </c>
      <c r="AY127" s="32">
        <v>0.33333333333333337</v>
      </c>
      <c r="AZ127" s="30">
        <v>0</v>
      </c>
      <c r="BA127" s="34">
        <v>0.25</v>
      </c>
      <c r="BC127" s="25"/>
      <c r="BD127" s="47"/>
      <c r="BE127" s="53">
        <v>1.5</v>
      </c>
      <c r="BF127" s="49">
        <v>2.5818750000000001E-2</v>
      </c>
      <c r="BG127" s="50">
        <v>3.5299999999999998E-2</v>
      </c>
      <c r="BH127" s="50">
        <v>7.5700000000000003E-2</v>
      </c>
      <c r="BI127" s="50">
        <v>1.485E-2</v>
      </c>
      <c r="BJ127" s="50">
        <v>5.7149999999999999E-2</v>
      </c>
      <c r="BK127" s="42">
        <v>0</v>
      </c>
      <c r="BL127" s="32">
        <v>0.33333333333333337</v>
      </c>
      <c r="BM127" s="30">
        <v>0</v>
      </c>
      <c r="BN127" s="34">
        <v>0.25</v>
      </c>
      <c r="BP127" s="15"/>
      <c r="BQ127" s="28"/>
      <c r="BR127" s="31">
        <v>1.5</v>
      </c>
      <c r="BS127" s="45">
        <f t="shared" si="162"/>
        <v>2.3405117440748222E-2</v>
      </c>
      <c r="BT127" s="78">
        <f t="shared" si="153"/>
        <v>3.1206823254330964E-2</v>
      </c>
      <c r="BU127" s="78">
        <f t="shared" si="154"/>
        <v>6.9587628865979384E-2</v>
      </c>
      <c r="BV127" s="78">
        <f t="shared" si="155"/>
        <v>1.3869699224147091E-2</v>
      </c>
      <c r="BW127" s="78">
        <f t="shared" si="156"/>
        <v>3.0927835051546382E-2</v>
      </c>
      <c r="BX127" s="42">
        <v>0</v>
      </c>
      <c r="BY127" s="32">
        <v>0.33333333333333337</v>
      </c>
      <c r="BZ127" s="30">
        <v>0</v>
      </c>
      <c r="CA127" s="34">
        <v>0.25</v>
      </c>
      <c r="CB127" s="37">
        <f t="shared" si="157"/>
        <v>0.83505154639175261</v>
      </c>
      <c r="CC127" s="37">
        <f t="shared" si="163"/>
        <v>0.16494845360824739</v>
      </c>
      <c r="CD127" s="35">
        <v>24</v>
      </c>
      <c r="CE127" s="35">
        <v>24</v>
      </c>
      <c r="CF127" s="37">
        <f t="shared" si="158"/>
        <v>0.89690721649484539</v>
      </c>
      <c r="CG127" s="37">
        <f t="shared" si="159"/>
        <v>0.89690721649484539</v>
      </c>
      <c r="CI127" s="15"/>
      <c r="CJ127" s="28"/>
      <c r="CK127" s="31">
        <v>1.5</v>
      </c>
      <c r="CL127" s="45">
        <f t="shared" si="160"/>
        <v>2.2468912743118293E-2</v>
      </c>
      <c r="CM127" s="78">
        <f t="shared" si="164"/>
        <v>3.3980763099160385E-2</v>
      </c>
      <c r="CN127" s="78">
        <v>6.9587628865979384E-2</v>
      </c>
      <c r="CO127" s="78">
        <f t="shared" si="165"/>
        <v>2.0111063875013283E-2</v>
      </c>
      <c r="CP127" s="78">
        <v>3.0927835051546382E-2</v>
      </c>
      <c r="CQ127" s="42">
        <v>0</v>
      </c>
      <c r="CR127" s="32">
        <v>0.33333333333333337</v>
      </c>
      <c r="CS127" s="30">
        <v>0</v>
      </c>
      <c r="CT127" s="34">
        <v>0.25</v>
      </c>
      <c r="CV127" s="25"/>
      <c r="CW127" s="47"/>
      <c r="CX127" s="53">
        <v>1.5</v>
      </c>
      <c r="CY127" s="45">
        <f t="shared" si="166"/>
        <v>2.6413043478260873E-2</v>
      </c>
      <c r="CZ127" s="78">
        <f t="shared" si="167"/>
        <v>3.3833759590792836E-2</v>
      </c>
      <c r="DA127" s="50">
        <v>7.5700000000000003E-2</v>
      </c>
      <c r="DB127" s="78">
        <f t="shared" si="168"/>
        <v>9.7749360613810753E-3</v>
      </c>
      <c r="DC127" s="50">
        <v>5.7200000000000001E-2</v>
      </c>
      <c r="DD127" s="42">
        <v>0</v>
      </c>
      <c r="DE127" s="32">
        <v>0.33333333333333337</v>
      </c>
      <c r="DF127" s="30">
        <v>0</v>
      </c>
      <c r="DG127" s="34">
        <v>0.25</v>
      </c>
      <c r="DI127" s="25"/>
      <c r="DJ127" s="47"/>
      <c r="DK127" s="53">
        <v>1.5</v>
      </c>
      <c r="DL127" s="49">
        <v>2.5600000000000001E-2</v>
      </c>
      <c r="DM127" s="50">
        <v>3.5299999999999998E-2</v>
      </c>
      <c r="DN127" s="50">
        <v>7.5700000000000003E-2</v>
      </c>
      <c r="DO127" s="50">
        <v>1.49E-2</v>
      </c>
      <c r="DP127" s="50">
        <v>5.7200000000000001E-2</v>
      </c>
      <c r="DQ127" s="42">
        <v>0</v>
      </c>
      <c r="DR127" s="32">
        <v>0.33333333333333337</v>
      </c>
      <c r="DS127" s="30">
        <v>0</v>
      </c>
      <c r="DT127" s="34">
        <v>0.25</v>
      </c>
    </row>
    <row r="128" spans="1:124" ht="12" customHeight="1" x14ac:dyDescent="0.2">
      <c r="A128" s="1"/>
      <c r="B128" s="25"/>
      <c r="C128" s="47"/>
      <c r="D128" s="68">
        <v>1.6</v>
      </c>
      <c r="E128" s="85">
        <f t="shared" si="93"/>
        <v>2.6599999999999999E-2</v>
      </c>
      <c r="F128" s="85">
        <f t="shared" si="94"/>
        <v>3.7699999999999997E-2</v>
      </c>
      <c r="G128" s="85">
        <f t="shared" si="95"/>
        <v>7.8119999999999995E-2</v>
      </c>
      <c r="H128" s="85">
        <f t="shared" si="96"/>
        <v>1.626E-2</v>
      </c>
      <c r="I128" s="85">
        <f t="shared" si="97"/>
        <v>5.6270000000000001E-2</v>
      </c>
      <c r="J128" s="85">
        <f t="shared" si="98"/>
        <v>0</v>
      </c>
      <c r="K128" s="85">
        <f t="shared" si="99"/>
        <v>0.34375</v>
      </c>
      <c r="L128" s="85">
        <f t="shared" si="100"/>
        <v>0</v>
      </c>
      <c r="M128" s="85">
        <f t="shared" si="101"/>
        <v>0.25</v>
      </c>
      <c r="N128" s="1"/>
      <c r="P128" s="15"/>
      <c r="Q128" s="28"/>
      <c r="R128" s="31">
        <v>1.6</v>
      </c>
      <c r="S128" s="37">
        <v>2.6599999999999999E-2</v>
      </c>
      <c r="T128" s="32">
        <v>3.7699999999999997E-2</v>
      </c>
      <c r="U128" s="32">
        <v>7.8119999999999995E-2</v>
      </c>
      <c r="V128" s="32">
        <v>1.626E-2</v>
      </c>
      <c r="W128" s="32">
        <v>5.6270000000000001E-2</v>
      </c>
      <c r="X128" s="42">
        <v>0</v>
      </c>
      <c r="Y128" s="32">
        <v>0.34375</v>
      </c>
      <c r="Z128" s="30">
        <v>0</v>
      </c>
      <c r="AA128" s="34">
        <v>0.25</v>
      </c>
      <c r="AC128" s="15"/>
      <c r="AD128" s="28"/>
      <c r="AE128" s="31">
        <v>1.6</v>
      </c>
      <c r="AF128" s="37">
        <v>2.7699999999999999E-2</v>
      </c>
      <c r="AG128" s="32">
        <f>1/28.1</f>
        <v>3.5587188612099641E-2</v>
      </c>
      <c r="AH128" s="32">
        <f>1/12.8</f>
        <v>7.8125E-2</v>
      </c>
      <c r="AI128" s="32">
        <f>1/98.1</f>
        <v>1.0193679918450561E-2</v>
      </c>
      <c r="AJ128" s="32">
        <f t="shared" si="169"/>
        <v>5.7142857142857141E-2</v>
      </c>
      <c r="AK128" s="42">
        <v>0</v>
      </c>
      <c r="AL128" s="32">
        <v>0.34375</v>
      </c>
      <c r="AM128" s="30">
        <v>0</v>
      </c>
      <c r="AN128" s="34">
        <v>0.25</v>
      </c>
      <c r="AP128" s="15"/>
      <c r="AQ128" s="28"/>
      <c r="AR128" s="31">
        <v>1.6</v>
      </c>
      <c r="AS128" s="45">
        <f t="shared" si="161"/>
        <v>2.6591999999999998E-2</v>
      </c>
      <c r="AT128" s="32">
        <f>1/26.6</f>
        <v>3.7593984962406013E-2</v>
      </c>
      <c r="AU128" s="32">
        <f>1/12.8</f>
        <v>7.8125E-2</v>
      </c>
      <c r="AV128" s="32">
        <f>1/57.8</f>
        <v>1.7301038062283738E-2</v>
      </c>
      <c r="AW128" s="32">
        <f t="shared" si="170"/>
        <v>5.7142857142857141E-2</v>
      </c>
      <c r="AX128" s="42">
        <v>0</v>
      </c>
      <c r="AY128" s="32">
        <v>0.34375</v>
      </c>
      <c r="AZ128" s="30">
        <v>0</v>
      </c>
      <c r="BA128" s="34">
        <v>0.25</v>
      </c>
      <c r="BC128" s="25"/>
      <c r="BD128" s="47"/>
      <c r="BE128" s="53">
        <v>1.6</v>
      </c>
      <c r="BF128" s="49">
        <v>2.6869760000000013E-2</v>
      </c>
      <c r="BG128" s="50">
        <v>3.6900000000000002E-2</v>
      </c>
      <c r="BH128" s="50">
        <v>7.7899999999999997E-2</v>
      </c>
      <c r="BI128" s="50">
        <v>1.3568000000000004E-2</v>
      </c>
      <c r="BJ128" s="50">
        <v>5.7088000000000014E-2</v>
      </c>
      <c r="BK128" s="42">
        <v>0</v>
      </c>
      <c r="BL128" s="32">
        <v>0.34375</v>
      </c>
      <c r="BM128" s="30">
        <v>0</v>
      </c>
      <c r="BN128" s="34">
        <v>0.25</v>
      </c>
      <c r="BP128" s="15"/>
      <c r="BQ128" s="28"/>
      <c r="BR128" s="31">
        <v>1.6</v>
      </c>
      <c r="BS128" s="45">
        <f t="shared" si="162"/>
        <v>2.456043683688838E-2</v>
      </c>
      <c r="BT128" s="78">
        <f t="shared" si="153"/>
        <v>3.2747249115851175E-2</v>
      </c>
      <c r="BU128" s="78">
        <f t="shared" si="154"/>
        <v>7.2301066158299801E-2</v>
      </c>
      <c r="BV128" s="78">
        <f t="shared" si="155"/>
        <v>1.2791894185879366E-2</v>
      </c>
      <c r="BW128" s="78">
        <f t="shared" si="156"/>
        <v>2.8242603968085863E-2</v>
      </c>
      <c r="BX128" s="42">
        <v>0</v>
      </c>
      <c r="BY128" s="32">
        <v>0.34375</v>
      </c>
      <c r="BZ128" s="30">
        <v>0</v>
      </c>
      <c r="CA128" s="34">
        <v>0.25</v>
      </c>
      <c r="CB128" s="37">
        <f t="shared" si="157"/>
        <v>0.86761279389959756</v>
      </c>
      <c r="CC128" s="37">
        <f t="shared" si="163"/>
        <v>0.13238720610040244</v>
      </c>
      <c r="CD128" s="35">
        <v>24</v>
      </c>
      <c r="CE128" s="35">
        <v>24</v>
      </c>
      <c r="CF128" s="37">
        <f t="shared" si="158"/>
        <v>0.90585798677304719</v>
      </c>
      <c r="CG128" s="37">
        <f t="shared" si="159"/>
        <v>0.90585798677304719</v>
      </c>
      <c r="CI128" s="15"/>
      <c r="CJ128" s="28"/>
      <c r="CK128" s="31">
        <v>1.6</v>
      </c>
      <c r="CL128" s="45">
        <f t="shared" si="160"/>
        <v>2.3578019363412844E-2</v>
      </c>
      <c r="CM128" s="78">
        <f t="shared" si="164"/>
        <v>3.5305627953027045E-2</v>
      </c>
      <c r="CN128" s="78">
        <v>7.2301066158299801E-2</v>
      </c>
      <c r="CO128" s="78">
        <f t="shared" si="165"/>
        <v>1.9341344009049601E-2</v>
      </c>
      <c r="CP128" s="78">
        <v>2.8242603968085863E-2</v>
      </c>
      <c r="CQ128" s="42">
        <v>0</v>
      </c>
      <c r="CR128" s="32">
        <v>0.34375</v>
      </c>
      <c r="CS128" s="30">
        <v>0</v>
      </c>
      <c r="CT128" s="34">
        <v>0.25</v>
      </c>
      <c r="CV128" s="25"/>
      <c r="CW128" s="47"/>
      <c r="CX128" s="53">
        <v>1.6</v>
      </c>
      <c r="CY128" s="45">
        <f t="shared" si="166"/>
        <v>2.7488245524296691E-2</v>
      </c>
      <c r="CZ128" s="78">
        <f t="shared" si="167"/>
        <v>3.5667314578005122E-2</v>
      </c>
      <c r="DA128" s="50">
        <v>7.7899999999999997E-2</v>
      </c>
      <c r="DB128" s="78">
        <f t="shared" si="168"/>
        <v>8.2179028132992379E-3</v>
      </c>
      <c r="DC128" s="50">
        <v>5.7200000000000001E-2</v>
      </c>
      <c r="DD128" s="42">
        <v>0</v>
      </c>
      <c r="DE128" s="32">
        <v>0.34375</v>
      </c>
      <c r="DF128" s="30">
        <v>0</v>
      </c>
      <c r="DG128" s="34">
        <v>0.25</v>
      </c>
      <c r="DI128" s="25"/>
      <c r="DJ128" s="47"/>
      <c r="DK128" s="53">
        <v>1.6</v>
      </c>
      <c r="DL128" s="49">
        <v>2.6800000000000001E-2</v>
      </c>
      <c r="DM128" s="50">
        <v>3.6900000000000002E-2</v>
      </c>
      <c r="DN128" s="50">
        <v>7.7899999999999997E-2</v>
      </c>
      <c r="DO128" s="50">
        <v>1.3600000000000001E-2</v>
      </c>
      <c r="DP128" s="50">
        <v>5.7200000000000001E-2</v>
      </c>
      <c r="DQ128" s="42">
        <v>0</v>
      </c>
      <c r="DR128" s="32">
        <v>0.34375</v>
      </c>
      <c r="DS128" s="30">
        <v>0</v>
      </c>
      <c r="DT128" s="34">
        <v>0.25</v>
      </c>
    </row>
    <row r="129" spans="1:124" ht="12" customHeight="1" x14ac:dyDescent="0.2">
      <c r="A129" s="1"/>
      <c r="B129" s="25"/>
      <c r="C129" s="47"/>
      <c r="D129" s="68">
        <v>1.7</v>
      </c>
      <c r="E129" s="85">
        <f t="shared" si="93"/>
        <v>2.76E-2</v>
      </c>
      <c r="F129" s="85">
        <f t="shared" si="94"/>
        <v>3.8940000000000002E-2</v>
      </c>
      <c r="G129" s="85">
        <f t="shared" si="95"/>
        <v>7.9920000000000005E-2</v>
      </c>
      <c r="H129" s="85">
        <f t="shared" si="96"/>
        <v>1.5730000000000001E-2</v>
      </c>
      <c r="I129" s="85">
        <f t="shared" si="97"/>
        <v>5.6140000000000002E-2</v>
      </c>
      <c r="J129" s="85">
        <f t="shared" si="98"/>
        <v>0</v>
      </c>
      <c r="K129" s="85">
        <f t="shared" si="99"/>
        <v>0.3529411764705882</v>
      </c>
      <c r="L129" s="85">
        <f t="shared" si="100"/>
        <v>0</v>
      </c>
      <c r="M129" s="85">
        <f t="shared" si="101"/>
        <v>0.25</v>
      </c>
      <c r="N129" s="1"/>
      <c r="P129" s="15"/>
      <c r="Q129" s="28"/>
      <c r="R129" s="31">
        <v>1.7</v>
      </c>
      <c r="S129" s="37">
        <v>2.76E-2</v>
      </c>
      <c r="T129" s="32">
        <v>3.8940000000000002E-2</v>
      </c>
      <c r="U129" s="32">
        <v>7.9920000000000005E-2</v>
      </c>
      <c r="V129" s="32">
        <v>1.5730000000000001E-2</v>
      </c>
      <c r="W129" s="32">
        <v>5.6140000000000002E-2</v>
      </c>
      <c r="X129" s="42">
        <v>0</v>
      </c>
      <c r="Y129" s="32">
        <v>0.3529411764705882</v>
      </c>
      <c r="Z129" s="30">
        <v>0</v>
      </c>
      <c r="AA129" s="34">
        <v>0.25</v>
      </c>
      <c r="AC129" s="15"/>
      <c r="AD129" s="28"/>
      <c r="AE129" s="31">
        <v>1.7</v>
      </c>
      <c r="AF129" s="37">
        <v>2.87E-2</v>
      </c>
      <c r="AG129" s="32">
        <f>1/26.9</f>
        <v>3.717472118959108E-2</v>
      </c>
      <c r="AH129" s="32">
        <f>1/12.5</f>
        <v>0.08</v>
      </c>
      <c r="AI129" s="32">
        <f>1/101.3</f>
        <v>9.8716683119447184E-3</v>
      </c>
      <c r="AJ129" s="32">
        <f t="shared" si="169"/>
        <v>5.7142857142857141E-2</v>
      </c>
      <c r="AK129" s="42">
        <v>0</v>
      </c>
      <c r="AL129" s="32">
        <v>0.3529411764705882</v>
      </c>
      <c r="AM129" s="30">
        <v>0</v>
      </c>
      <c r="AN129" s="34">
        <v>0.25</v>
      </c>
      <c r="AP129" s="15"/>
      <c r="AQ129" s="28"/>
      <c r="AR129" s="31">
        <v>1.7</v>
      </c>
      <c r="AS129" s="45">
        <f t="shared" si="161"/>
        <v>2.7552E-2</v>
      </c>
      <c r="AT129" s="32">
        <f>1/25.5</f>
        <v>3.9215686274509803E-2</v>
      </c>
      <c r="AU129" s="32">
        <f>1/12.5</f>
        <v>0.08</v>
      </c>
      <c r="AV129" s="32">
        <f>1/57.8</f>
        <v>1.7301038062283738E-2</v>
      </c>
      <c r="AW129" s="32">
        <f t="shared" si="170"/>
        <v>5.7142857142857141E-2</v>
      </c>
      <c r="AX129" s="42">
        <v>0</v>
      </c>
      <c r="AY129" s="32">
        <v>0.3529411764705882</v>
      </c>
      <c r="AZ129" s="30">
        <v>0</v>
      </c>
      <c r="BA129" s="34">
        <v>0.25</v>
      </c>
      <c r="BC129" s="25"/>
      <c r="BD129" s="47"/>
      <c r="BE129" s="53">
        <v>1.7</v>
      </c>
      <c r="BF129" s="49">
        <v>2.7561929999999995E-2</v>
      </c>
      <c r="BG129" s="50">
        <v>3.8300000000000001E-2</v>
      </c>
      <c r="BH129" s="50">
        <v>7.9699999999999993E-2</v>
      </c>
      <c r="BI129" s="50">
        <v>1.2137999999999998E-2</v>
      </c>
      <c r="BJ129" s="50">
        <v>5.7221999999999988E-2</v>
      </c>
      <c r="BK129" s="42">
        <v>0</v>
      </c>
      <c r="BL129" s="32">
        <v>0.3529411764705882</v>
      </c>
      <c r="BM129" s="30">
        <v>0</v>
      </c>
      <c r="BN129" s="34">
        <v>0.25</v>
      </c>
      <c r="BP129" s="15"/>
      <c r="BQ129" s="28"/>
      <c r="BR129" s="31">
        <v>1.7</v>
      </c>
      <c r="BS129" s="45">
        <f t="shared" si="162"/>
        <v>2.5512857836289402E-2</v>
      </c>
      <c r="BT129" s="78">
        <f t="shared" si="153"/>
        <v>3.4017143781719203E-2</v>
      </c>
      <c r="BU129" s="78">
        <f t="shared" si="154"/>
        <v>7.4422678685357652E-2</v>
      </c>
      <c r="BV129" s="78">
        <f t="shared" si="155"/>
        <v>1.1770637986754054E-2</v>
      </c>
      <c r="BW129" s="78">
        <f t="shared" si="156"/>
        <v>2.5751791932649717E-2</v>
      </c>
      <c r="BX129" s="42">
        <v>0</v>
      </c>
      <c r="BY129" s="32">
        <v>0.3529411764705882</v>
      </c>
      <c r="BZ129" s="30">
        <v>0</v>
      </c>
      <c r="CA129" s="34">
        <v>0.25</v>
      </c>
      <c r="CB129" s="37">
        <f t="shared" si="157"/>
        <v>0.89307214422429182</v>
      </c>
      <c r="CC129" s="37">
        <f t="shared" si="163"/>
        <v>0.10692785577570818</v>
      </c>
      <c r="CD129" s="35">
        <v>24</v>
      </c>
      <c r="CE129" s="35">
        <v>24</v>
      </c>
      <c r="CF129" s="37">
        <f t="shared" si="158"/>
        <v>0.91416069355783436</v>
      </c>
      <c r="CG129" s="37">
        <f t="shared" si="159"/>
        <v>0.91416069355783425</v>
      </c>
      <c r="CI129" s="15"/>
      <c r="CJ129" s="28"/>
      <c r="CK129" s="31">
        <v>1.7</v>
      </c>
      <c r="CL129" s="45">
        <f t="shared" si="160"/>
        <v>2.4492343522837825E-2</v>
      </c>
      <c r="CM129" s="78">
        <f t="shared" si="164"/>
        <v>3.6371271379070015E-2</v>
      </c>
      <c r="CN129" s="78">
        <v>7.4422678685357652E-2</v>
      </c>
      <c r="CO129" s="78">
        <f t="shared" si="165"/>
        <v>1.8574066743097896E-2</v>
      </c>
      <c r="CP129" s="78">
        <v>2.5751791932649717E-2</v>
      </c>
      <c r="CQ129" s="42">
        <v>0</v>
      </c>
      <c r="CR129" s="32">
        <v>0.3529411764705882</v>
      </c>
      <c r="CS129" s="30">
        <v>0</v>
      </c>
      <c r="CT129" s="34">
        <v>0.25</v>
      </c>
      <c r="CV129" s="25"/>
      <c r="CW129" s="47"/>
      <c r="CX129" s="53">
        <v>1.7</v>
      </c>
      <c r="CY129" s="45">
        <f t="shared" si="166"/>
        <v>2.8196347826086952E-2</v>
      </c>
      <c r="CZ129" s="78">
        <f t="shared" si="167"/>
        <v>3.7318976982097185E-2</v>
      </c>
      <c r="DA129" s="50">
        <v>7.9699999999999993E-2</v>
      </c>
      <c r="DB129" s="78">
        <f t="shared" si="168"/>
        <v>6.5401534526854203E-3</v>
      </c>
      <c r="DC129" s="50">
        <v>5.7200000000000001E-2</v>
      </c>
      <c r="DD129" s="42">
        <v>0</v>
      </c>
      <c r="DE129" s="32">
        <v>0.3529411764705882</v>
      </c>
      <c r="DF129" s="30">
        <v>0</v>
      </c>
      <c r="DG129" s="34">
        <v>0.25</v>
      </c>
      <c r="DI129" s="25"/>
      <c r="DJ129" s="47"/>
      <c r="DK129" s="53">
        <v>1.7</v>
      </c>
      <c r="DL129" s="49">
        <v>2.7699999999999999E-2</v>
      </c>
      <c r="DM129" s="50">
        <v>3.8300000000000001E-2</v>
      </c>
      <c r="DN129" s="50">
        <v>7.9699999999999993E-2</v>
      </c>
      <c r="DO129" s="50">
        <v>1.21E-2</v>
      </c>
      <c r="DP129" s="50">
        <v>5.7200000000000001E-2</v>
      </c>
      <c r="DQ129" s="42">
        <v>0</v>
      </c>
      <c r="DR129" s="32">
        <v>0.3529411764705882</v>
      </c>
      <c r="DS129" s="30">
        <v>0</v>
      </c>
      <c r="DT129" s="34">
        <v>0.25</v>
      </c>
    </row>
    <row r="130" spans="1:124" ht="12" customHeight="1" x14ac:dyDescent="0.2">
      <c r="A130" s="1"/>
      <c r="B130" s="25"/>
      <c r="C130" s="47"/>
      <c r="D130" s="68">
        <v>1.8</v>
      </c>
      <c r="E130" s="85">
        <f t="shared" si="93"/>
        <v>2.8299999999999999E-2</v>
      </c>
      <c r="F130" s="85">
        <f t="shared" si="94"/>
        <v>3.9890000000000002E-2</v>
      </c>
      <c r="G130" s="85">
        <f t="shared" si="95"/>
        <v>8.1259999999999999E-2</v>
      </c>
      <c r="H130" s="85">
        <f t="shared" si="96"/>
        <v>1.542E-2</v>
      </c>
      <c r="I130" s="85">
        <f t="shared" si="97"/>
        <v>5.5960000000000003E-2</v>
      </c>
      <c r="J130" s="85">
        <f t="shared" si="98"/>
        <v>0</v>
      </c>
      <c r="K130" s="85">
        <f t="shared" si="99"/>
        <v>0.3611111111111111</v>
      </c>
      <c r="L130" s="85">
        <f t="shared" si="100"/>
        <v>0</v>
      </c>
      <c r="M130" s="85">
        <f t="shared" si="101"/>
        <v>0.25</v>
      </c>
      <c r="N130" s="1"/>
      <c r="P130" s="15"/>
      <c r="Q130" s="28"/>
      <c r="R130" s="31">
        <v>1.8</v>
      </c>
      <c r="S130" s="37">
        <v>2.8299999999999999E-2</v>
      </c>
      <c r="T130" s="32">
        <v>3.9890000000000002E-2</v>
      </c>
      <c r="U130" s="32">
        <v>8.1259999999999999E-2</v>
      </c>
      <c r="V130" s="32">
        <v>1.542E-2</v>
      </c>
      <c r="W130" s="32">
        <v>5.5960000000000003E-2</v>
      </c>
      <c r="X130" s="42">
        <v>0</v>
      </c>
      <c r="Y130" s="32">
        <v>0.3611111111111111</v>
      </c>
      <c r="Z130" s="30">
        <v>0</v>
      </c>
      <c r="AA130" s="34">
        <v>0.25</v>
      </c>
      <c r="AC130" s="15"/>
      <c r="AD130" s="28"/>
      <c r="AE130" s="31">
        <v>1.8</v>
      </c>
      <c r="AF130" s="37">
        <v>2.9399999999999999E-2</v>
      </c>
      <c r="AG130" s="32">
        <f>1/26</f>
        <v>3.8461538461538464E-2</v>
      </c>
      <c r="AH130" s="32">
        <f>1/12.3</f>
        <v>8.1300813008130079E-2</v>
      </c>
      <c r="AI130" s="32">
        <f>1/103.3</f>
        <v>9.6805421103581795E-3</v>
      </c>
      <c r="AJ130" s="32">
        <f t="shared" si="169"/>
        <v>5.7142857142857141E-2</v>
      </c>
      <c r="AK130" s="42">
        <v>0</v>
      </c>
      <c r="AL130" s="32">
        <v>0.3611111111111111</v>
      </c>
      <c r="AM130" s="30">
        <v>0</v>
      </c>
      <c r="AN130" s="34">
        <v>0.25</v>
      </c>
      <c r="AP130" s="15"/>
      <c r="AQ130" s="28"/>
      <c r="AR130" s="31">
        <v>1.8</v>
      </c>
      <c r="AS130" s="45">
        <f t="shared" si="161"/>
        <v>2.8223999999999999E-2</v>
      </c>
      <c r="AT130" s="32">
        <f>1/24.8</f>
        <v>4.0322580645161289E-2</v>
      </c>
      <c r="AU130" s="32">
        <f>1/12.3</f>
        <v>8.1300813008130079E-2</v>
      </c>
      <c r="AV130" s="32">
        <f>1/57.6</f>
        <v>1.7361111111111112E-2</v>
      </c>
      <c r="AW130" s="32">
        <f t="shared" si="170"/>
        <v>5.7142857142857141E-2</v>
      </c>
      <c r="AX130" s="42">
        <v>0</v>
      </c>
      <c r="AY130" s="32">
        <v>0.3611111111111111</v>
      </c>
      <c r="AZ130" s="30">
        <v>0</v>
      </c>
      <c r="BA130" s="34">
        <v>0.25</v>
      </c>
      <c r="BC130" s="25"/>
      <c r="BD130" s="47"/>
      <c r="BE130" s="53">
        <v>1.8</v>
      </c>
      <c r="BF130" s="49">
        <v>2.8343520000000007E-2</v>
      </c>
      <c r="BG130" s="50">
        <v>3.9199999999999999E-2</v>
      </c>
      <c r="BH130" s="50">
        <v>8.1199999999999994E-2</v>
      </c>
      <c r="BI130" s="50">
        <v>1.1340000000000001E-2</v>
      </c>
      <c r="BJ130" s="50">
        <v>5.7023999999999998E-2</v>
      </c>
      <c r="BK130" s="42">
        <v>0</v>
      </c>
      <c r="BL130" s="32">
        <v>0.3611111111111111</v>
      </c>
      <c r="BM130" s="30">
        <v>0</v>
      </c>
      <c r="BN130" s="34">
        <v>0.25</v>
      </c>
      <c r="BP130" s="15"/>
      <c r="BQ130" s="28"/>
      <c r="BR130" s="31">
        <v>1.8</v>
      </c>
      <c r="BS130" s="45">
        <f t="shared" si="162"/>
        <v>2.6298632991009284E-2</v>
      </c>
      <c r="BT130" s="78">
        <f t="shared" si="153"/>
        <v>3.5064843988012379E-2</v>
      </c>
      <c r="BU130" s="78">
        <f t="shared" si="154"/>
        <v>7.6085443918730858E-2</v>
      </c>
      <c r="BV130" s="78">
        <f t="shared" si="155"/>
        <v>1.0822482712349505E-2</v>
      </c>
      <c r="BW130" s="78">
        <f t="shared" si="156"/>
        <v>2.3483161703312008E-2</v>
      </c>
      <c r="BX130" s="42">
        <v>0</v>
      </c>
      <c r="BY130" s="32">
        <v>0.3611111111111111</v>
      </c>
      <c r="BZ130" s="30">
        <v>0</v>
      </c>
      <c r="CA130" s="34">
        <v>0.25</v>
      </c>
      <c r="CB130" s="37">
        <f t="shared" si="157"/>
        <v>0.91302532702477035</v>
      </c>
      <c r="CC130" s="37">
        <f t="shared" si="163"/>
        <v>8.697467297522965E-2</v>
      </c>
      <c r="CD130" s="35">
        <v>24</v>
      </c>
      <c r="CE130" s="35">
        <v>24</v>
      </c>
      <c r="CF130" s="37">
        <f t="shared" si="158"/>
        <v>0.92172279432229343</v>
      </c>
      <c r="CG130" s="37">
        <f t="shared" si="159"/>
        <v>0.92172279432229332</v>
      </c>
      <c r="CI130" s="15"/>
      <c r="CJ130" s="28"/>
      <c r="CK130" s="31">
        <v>1.8</v>
      </c>
      <c r="CL130" s="45">
        <f t="shared" si="160"/>
        <v>2.5246687671368912E-2</v>
      </c>
      <c r="CM130" s="78">
        <f t="shared" si="164"/>
        <v>3.7229340530482283E-2</v>
      </c>
      <c r="CN130" s="78">
        <v>7.6085443918730858E-2</v>
      </c>
      <c r="CO130" s="78">
        <f t="shared" si="165"/>
        <v>1.7835451509951982E-2</v>
      </c>
      <c r="CP130" s="78">
        <v>2.3483161703312008E-2</v>
      </c>
      <c r="CQ130" s="42">
        <v>0</v>
      </c>
      <c r="CR130" s="32">
        <v>0.3611111111111111</v>
      </c>
      <c r="CS130" s="30">
        <v>0</v>
      </c>
      <c r="CT130" s="34">
        <v>0.25</v>
      </c>
      <c r="CV130" s="25"/>
      <c r="CW130" s="47"/>
      <c r="CX130" s="53">
        <v>1.8</v>
      </c>
      <c r="CY130" s="45">
        <f t="shared" si="166"/>
        <v>2.8995928388746813E-2</v>
      </c>
      <c r="CZ130" s="78">
        <f t="shared" si="167"/>
        <v>3.8362148337595908E-2</v>
      </c>
      <c r="DA130" s="50">
        <v>8.1199999999999994E-2</v>
      </c>
      <c r="DB130" s="78">
        <f t="shared" si="168"/>
        <v>5.5856777493606159E-3</v>
      </c>
      <c r="DC130" s="50">
        <v>5.7200000000000001E-2</v>
      </c>
      <c r="DD130" s="42">
        <v>0</v>
      </c>
      <c r="DE130" s="32">
        <v>0.3611111111111111</v>
      </c>
      <c r="DF130" s="30">
        <v>0</v>
      </c>
      <c r="DG130" s="34">
        <v>0.25</v>
      </c>
      <c r="DI130" s="25"/>
      <c r="DJ130" s="47"/>
      <c r="DK130" s="53">
        <v>1.8</v>
      </c>
      <c r="DL130" s="49">
        <v>2.8500000000000001E-2</v>
      </c>
      <c r="DM130" s="50">
        <v>3.9199999999999999E-2</v>
      </c>
      <c r="DN130" s="50">
        <v>8.1199999999999994E-2</v>
      </c>
      <c r="DO130" s="50">
        <v>1.1299999999999999E-2</v>
      </c>
      <c r="DP130" s="50">
        <v>5.7200000000000001E-2</v>
      </c>
      <c r="DQ130" s="42">
        <v>0</v>
      </c>
      <c r="DR130" s="32">
        <v>0.3611111111111111</v>
      </c>
      <c r="DS130" s="30">
        <v>0</v>
      </c>
      <c r="DT130" s="34">
        <v>0.25</v>
      </c>
    </row>
    <row r="131" spans="1:124" ht="12" customHeight="1" x14ac:dyDescent="0.2">
      <c r="A131" s="1"/>
      <c r="B131" s="25"/>
      <c r="C131" s="47"/>
      <c r="D131" s="68">
        <v>1.9</v>
      </c>
      <c r="E131" s="85">
        <f t="shared" si="93"/>
        <v>2.8899999999999999E-2</v>
      </c>
      <c r="F131" s="85">
        <f t="shared" si="94"/>
        <v>4.061E-2</v>
      </c>
      <c r="G131" s="85">
        <f t="shared" si="95"/>
        <v>8.2220000000000001E-2</v>
      </c>
      <c r="H131" s="85">
        <f t="shared" si="96"/>
        <v>1.52E-2</v>
      </c>
      <c r="I131" s="85">
        <f t="shared" si="97"/>
        <v>5.5780000000000003E-2</v>
      </c>
      <c r="J131" s="85">
        <f t="shared" si="98"/>
        <v>0</v>
      </c>
      <c r="K131" s="85">
        <f t="shared" si="99"/>
        <v>0.36842105263157898</v>
      </c>
      <c r="L131" s="85">
        <f t="shared" si="100"/>
        <v>0</v>
      </c>
      <c r="M131" s="85">
        <f t="shared" si="101"/>
        <v>0.25</v>
      </c>
      <c r="N131" s="1"/>
      <c r="P131" s="15"/>
      <c r="Q131" s="28"/>
      <c r="R131" s="31">
        <v>1.9</v>
      </c>
      <c r="S131" s="37">
        <v>2.8899999999999999E-2</v>
      </c>
      <c r="T131" s="32">
        <v>4.061E-2</v>
      </c>
      <c r="U131" s="32">
        <v>8.2220000000000001E-2</v>
      </c>
      <c r="V131" s="32">
        <v>1.52E-2</v>
      </c>
      <c r="W131" s="32">
        <v>5.5780000000000003E-2</v>
      </c>
      <c r="X131" s="42">
        <v>0</v>
      </c>
      <c r="Y131" s="32">
        <v>0.36842105263157898</v>
      </c>
      <c r="Z131" s="30">
        <v>0</v>
      </c>
      <c r="AA131" s="34">
        <v>0.25</v>
      </c>
      <c r="AC131" s="15"/>
      <c r="AD131" s="28"/>
      <c r="AE131" s="31">
        <v>1.9</v>
      </c>
      <c r="AF131" s="37">
        <v>0.03</v>
      </c>
      <c r="AG131" s="32">
        <f>1/25.4</f>
        <v>3.937007874015748E-2</v>
      </c>
      <c r="AH131" s="32">
        <f>1/12.1</f>
        <v>8.2644628099173556E-2</v>
      </c>
      <c r="AI131" s="32">
        <f>1/104.6</f>
        <v>9.5602294455066923E-3</v>
      </c>
      <c r="AJ131" s="32">
        <f t="shared" si="169"/>
        <v>5.7142857142857141E-2</v>
      </c>
      <c r="AK131" s="42">
        <v>0</v>
      </c>
      <c r="AL131" s="32">
        <v>0.36842105263157898</v>
      </c>
      <c r="AM131" s="30">
        <v>0</v>
      </c>
      <c r="AN131" s="34">
        <v>0.25</v>
      </c>
      <c r="AP131" s="15"/>
      <c r="AQ131" s="28"/>
      <c r="AR131" s="31">
        <v>1.9</v>
      </c>
      <c r="AS131" s="45">
        <f t="shared" si="161"/>
        <v>2.8799999999999999E-2</v>
      </c>
      <c r="AT131" s="32">
        <f>1/24.2</f>
        <v>4.1322314049586778E-2</v>
      </c>
      <c r="AU131" s="32">
        <f>1/12.1</f>
        <v>8.2644628099173556E-2</v>
      </c>
      <c r="AV131" s="32">
        <f>1/57.4</f>
        <v>1.7421602787456445E-2</v>
      </c>
      <c r="AW131" s="32">
        <f t="shared" si="170"/>
        <v>5.7142857142857141E-2</v>
      </c>
      <c r="AX131" s="42">
        <v>0</v>
      </c>
      <c r="AY131" s="32">
        <v>0.36842105263157898</v>
      </c>
      <c r="AZ131" s="30">
        <v>0</v>
      </c>
      <c r="BA131" s="34">
        <v>0.25</v>
      </c>
      <c r="BC131" s="25"/>
      <c r="BD131" s="47"/>
      <c r="BE131" s="53">
        <v>1.9</v>
      </c>
      <c r="BF131" s="49">
        <v>2.8670619999999997E-2</v>
      </c>
      <c r="BG131" s="50">
        <v>3.9899999999999998E-2</v>
      </c>
      <c r="BH131" s="50">
        <v>8.2400000000000001E-2</v>
      </c>
      <c r="BI131" s="50">
        <v>1.0108000000000001E-2</v>
      </c>
      <c r="BJ131" s="50">
        <v>5.7037999999999998E-2</v>
      </c>
      <c r="BK131" s="42">
        <v>0</v>
      </c>
      <c r="BL131" s="32">
        <v>0.36842105263157898</v>
      </c>
      <c r="BM131" s="30">
        <v>0</v>
      </c>
      <c r="BN131" s="34">
        <v>0.25</v>
      </c>
      <c r="BP131" s="15"/>
      <c r="BQ131" s="28"/>
      <c r="BR131" s="31">
        <v>1.9</v>
      </c>
      <c r="BS131" s="45">
        <f t="shared" si="162"/>
        <v>2.6948891629733244E-2</v>
      </c>
      <c r="BT131" s="78">
        <f t="shared" si="153"/>
        <v>3.5931855506310992E-2</v>
      </c>
      <c r="BU131" s="78">
        <f t="shared" si="154"/>
        <v>7.7394569118901177E-2</v>
      </c>
      <c r="BV131" s="78">
        <f t="shared" si="155"/>
        <v>9.9534225779254887E-3</v>
      </c>
      <c r="BW131" s="78">
        <f t="shared" si="156"/>
        <v>2.1438938814100066E-2</v>
      </c>
      <c r="BX131" s="42">
        <v>0</v>
      </c>
      <c r="BY131" s="32">
        <v>0.36842105263157898</v>
      </c>
      <c r="BZ131" s="30">
        <v>0</v>
      </c>
      <c r="CA131" s="34">
        <v>0.25</v>
      </c>
      <c r="CB131" s="37">
        <f t="shared" si="157"/>
        <v>0.92873482942681418</v>
      </c>
      <c r="CC131" s="37">
        <f t="shared" si="163"/>
        <v>7.1265170573185821E-2</v>
      </c>
      <c r="CD131" s="35">
        <v>24</v>
      </c>
      <c r="CE131" s="35">
        <v>24</v>
      </c>
      <c r="CF131" s="37">
        <f t="shared" si="158"/>
        <v>0.9285368706196665</v>
      </c>
      <c r="CG131" s="37">
        <f t="shared" si="159"/>
        <v>0.92853687061966639</v>
      </c>
      <c r="CI131" s="15"/>
      <c r="CJ131" s="28"/>
      <c r="CK131" s="31">
        <v>1.9</v>
      </c>
      <c r="CL131" s="45">
        <f t="shared" si="160"/>
        <v>2.5870935964543915E-2</v>
      </c>
      <c r="CM131" s="78">
        <f t="shared" si="164"/>
        <v>3.7922540021896087E-2</v>
      </c>
      <c r="CN131" s="78">
        <v>7.7394569118901177E-2</v>
      </c>
      <c r="CO131" s="78">
        <f t="shared" si="165"/>
        <v>1.7139793679187686E-2</v>
      </c>
      <c r="CP131" s="78">
        <v>2.1438938814100066E-2</v>
      </c>
      <c r="CQ131" s="42">
        <v>0</v>
      </c>
      <c r="CR131" s="32">
        <v>0.36842105263157898</v>
      </c>
      <c r="CS131" s="30">
        <v>0</v>
      </c>
      <c r="CT131" s="34">
        <v>0.25</v>
      </c>
      <c r="CV131" s="25"/>
      <c r="CW131" s="47"/>
      <c r="CX131" s="53">
        <v>1.9</v>
      </c>
      <c r="CY131" s="45">
        <f t="shared" si="166"/>
        <v>2.9330557544757031E-2</v>
      </c>
      <c r="CZ131" s="78">
        <f t="shared" si="167"/>
        <v>3.9267314578005114E-2</v>
      </c>
      <c r="DA131" s="50">
        <v>8.2400000000000001E-2</v>
      </c>
      <c r="DB131" s="78">
        <f t="shared" si="168"/>
        <v>4.2179028132992335E-3</v>
      </c>
      <c r="DC131" s="50">
        <v>5.7200000000000001E-2</v>
      </c>
      <c r="DD131" s="42">
        <v>0</v>
      </c>
      <c r="DE131" s="32">
        <v>0.36842105263157898</v>
      </c>
      <c r="DF131" s="30">
        <v>0</v>
      </c>
      <c r="DG131" s="34">
        <v>0.25</v>
      </c>
      <c r="DI131" s="25"/>
      <c r="DJ131" s="47"/>
      <c r="DK131" s="53">
        <v>1.9</v>
      </c>
      <c r="DL131" s="49">
        <v>2.8999999999999998E-2</v>
      </c>
      <c r="DM131" s="50">
        <v>3.9900000000000005E-2</v>
      </c>
      <c r="DN131" s="50">
        <v>8.2400000000000001E-2</v>
      </c>
      <c r="DO131" s="50">
        <v>1.01E-2</v>
      </c>
      <c r="DP131" s="50">
        <v>5.7200000000000001E-2</v>
      </c>
      <c r="DQ131" s="42">
        <v>0</v>
      </c>
      <c r="DR131" s="32">
        <v>0.36842105263157898</v>
      </c>
      <c r="DS131" s="30">
        <v>0</v>
      </c>
      <c r="DT131" s="34">
        <v>0.25</v>
      </c>
    </row>
    <row r="132" spans="1:124" ht="12" customHeight="1" x14ac:dyDescent="0.2">
      <c r="A132" s="1"/>
      <c r="B132" s="25"/>
      <c r="C132" s="47"/>
      <c r="D132" s="68">
        <v>2</v>
      </c>
      <c r="E132" s="85">
        <f t="shared" si="93"/>
        <v>2.93E-2</v>
      </c>
      <c r="F132" s="85">
        <f t="shared" si="94"/>
        <v>4.1140000000000003E-2</v>
      </c>
      <c r="G132" s="85">
        <f t="shared" si="95"/>
        <v>8.2900000000000001E-2</v>
      </c>
      <c r="H132" s="85">
        <f t="shared" si="96"/>
        <v>1.519E-2</v>
      </c>
      <c r="I132" s="85">
        <f t="shared" si="97"/>
        <v>5.5590000000000001E-2</v>
      </c>
      <c r="J132" s="85">
        <f t="shared" si="98"/>
        <v>0</v>
      </c>
      <c r="K132" s="85">
        <f t="shared" si="99"/>
        <v>0.375</v>
      </c>
      <c r="L132" s="85">
        <f t="shared" si="100"/>
        <v>0</v>
      </c>
      <c r="M132" s="85">
        <f t="shared" si="101"/>
        <v>0.25</v>
      </c>
      <c r="N132" s="1"/>
      <c r="P132" s="15"/>
      <c r="Q132" s="28"/>
      <c r="R132" s="31">
        <v>2</v>
      </c>
      <c r="S132" s="37">
        <v>2.93E-2</v>
      </c>
      <c r="T132" s="32">
        <v>4.1140000000000003E-2</v>
      </c>
      <c r="U132" s="32">
        <v>8.2900000000000001E-2</v>
      </c>
      <c r="V132" s="32">
        <v>1.519E-2</v>
      </c>
      <c r="W132" s="32">
        <v>5.5590000000000001E-2</v>
      </c>
      <c r="X132" s="42">
        <v>0</v>
      </c>
      <c r="Y132" s="32">
        <v>0.375</v>
      </c>
      <c r="Z132" s="30">
        <v>0</v>
      </c>
      <c r="AA132" s="34">
        <v>0.25</v>
      </c>
      <c r="AC132" s="15"/>
      <c r="AD132" s="28"/>
      <c r="AE132" s="31">
        <v>2</v>
      </c>
      <c r="AF132" s="37">
        <v>3.04E-2</v>
      </c>
      <c r="AG132" s="32">
        <f>1/25</f>
        <v>0.04</v>
      </c>
      <c r="AH132" s="32">
        <f>1/12</f>
        <v>8.3333333333333329E-2</v>
      </c>
      <c r="AI132" s="32">
        <f>1/105</f>
        <v>9.5238095238095247E-3</v>
      </c>
      <c r="AJ132" s="32">
        <f t="shared" si="169"/>
        <v>5.7142857142857141E-2</v>
      </c>
      <c r="AK132" s="42">
        <v>0</v>
      </c>
      <c r="AL132" s="32">
        <v>0.375</v>
      </c>
      <c r="AM132" s="30">
        <v>0</v>
      </c>
      <c r="AN132" s="34">
        <v>0.25</v>
      </c>
      <c r="AP132" s="15"/>
      <c r="AQ132" s="28"/>
      <c r="AR132" s="31">
        <v>2</v>
      </c>
      <c r="AS132" s="45">
        <f t="shared" si="161"/>
        <v>2.9183999999999998E-2</v>
      </c>
      <c r="AT132" s="32">
        <f>1/24</f>
        <v>4.1666666666666664E-2</v>
      </c>
      <c r="AU132" s="32">
        <f>1/12</f>
        <v>8.3333333333333329E-2</v>
      </c>
      <c r="AV132" s="32">
        <f>1/57.1</f>
        <v>1.7513134851138354E-2</v>
      </c>
      <c r="AW132" s="32">
        <f t="shared" si="170"/>
        <v>5.7142857142857141E-2</v>
      </c>
      <c r="AX132" s="42">
        <v>0</v>
      </c>
      <c r="AY132" s="32">
        <v>0.375</v>
      </c>
      <c r="AZ132" s="30">
        <v>0</v>
      </c>
      <c r="BA132" s="34">
        <v>0.25</v>
      </c>
      <c r="BC132" s="25"/>
      <c r="BD132" s="47"/>
      <c r="BE132" s="53">
        <v>2</v>
      </c>
      <c r="BF132" s="49">
        <v>2.8799999999999999E-2</v>
      </c>
      <c r="BG132" s="50">
        <v>4.0500000000000001E-2</v>
      </c>
      <c r="BH132" s="50">
        <v>8.3299999999999999E-2</v>
      </c>
      <c r="BI132" s="50">
        <v>9.5999999999999992E-3</v>
      </c>
      <c r="BJ132" s="50">
        <v>5.7200000000000001E-2</v>
      </c>
      <c r="BK132" s="42">
        <v>0</v>
      </c>
      <c r="BL132" s="32">
        <v>0.375</v>
      </c>
      <c r="BM132" s="30">
        <v>0</v>
      </c>
      <c r="BN132" s="34">
        <v>0.25</v>
      </c>
      <c r="BP132" s="15"/>
      <c r="BQ132" s="28"/>
      <c r="BR132" s="31">
        <v>2</v>
      </c>
      <c r="BS132" s="45">
        <f t="shared" si="162"/>
        <v>2.7489427143406381E-2</v>
      </c>
      <c r="BT132" s="78">
        <f t="shared" si="153"/>
        <v>3.6652569524541843E-2</v>
      </c>
      <c r="BU132" s="78">
        <f t="shared" si="154"/>
        <v>7.8431372549019607E-2</v>
      </c>
      <c r="BV132" s="78">
        <f t="shared" si="155"/>
        <v>9.1631423811354626E-3</v>
      </c>
      <c r="BW132" s="78">
        <f t="shared" si="156"/>
        <v>1.9607843137254905E-2</v>
      </c>
      <c r="BX132" s="42">
        <v>0</v>
      </c>
      <c r="BY132" s="32">
        <v>0.375</v>
      </c>
      <c r="BZ132" s="30">
        <v>0</v>
      </c>
      <c r="CA132" s="34">
        <v>0.25</v>
      </c>
      <c r="CB132" s="37">
        <f t="shared" si="157"/>
        <v>0.94117647058823528</v>
      </c>
      <c r="CC132" s="37">
        <f t="shared" si="163"/>
        <v>5.8823529411764719E-2</v>
      </c>
      <c r="CD132" s="35">
        <v>24</v>
      </c>
      <c r="CE132" s="35">
        <v>24</v>
      </c>
      <c r="CF132" s="37">
        <f t="shared" si="158"/>
        <v>0.934640522875817</v>
      </c>
      <c r="CG132" s="37">
        <f t="shared" si="159"/>
        <v>0.934640522875817</v>
      </c>
      <c r="CI132" s="15"/>
      <c r="CJ132" s="28"/>
      <c r="CK132" s="31">
        <v>2</v>
      </c>
      <c r="CL132" s="45">
        <f t="shared" si="160"/>
        <v>2.6389850057670125E-2</v>
      </c>
      <c r="CM132" s="78">
        <f t="shared" si="164"/>
        <v>3.8485198000768939E-2</v>
      </c>
      <c r="CN132" s="78">
        <v>7.8431372549019607E-2</v>
      </c>
      <c r="CO132" s="78">
        <f t="shared" si="165"/>
        <v>1.649365628604383E-2</v>
      </c>
      <c r="CP132" s="78">
        <v>1.9607843137254905E-2</v>
      </c>
      <c r="CQ132" s="42">
        <v>0</v>
      </c>
      <c r="CR132" s="32">
        <v>0.375</v>
      </c>
      <c r="CS132" s="30">
        <v>0</v>
      </c>
      <c r="CT132" s="34">
        <v>0.25</v>
      </c>
      <c r="CV132" s="25"/>
      <c r="CW132" s="47"/>
      <c r="CX132" s="53">
        <v>2</v>
      </c>
      <c r="CY132" s="45">
        <f t="shared" si="166"/>
        <v>2.9462915601023019E-2</v>
      </c>
      <c r="CZ132" s="78">
        <f t="shared" si="167"/>
        <v>3.9959079283887478E-2</v>
      </c>
      <c r="DA132" s="50">
        <v>8.3299999999999999E-2</v>
      </c>
      <c r="DB132" s="78">
        <f t="shared" si="168"/>
        <v>3.6061381074168797E-3</v>
      </c>
      <c r="DC132" s="50">
        <v>5.7200000000000001E-2</v>
      </c>
      <c r="DD132" s="42">
        <v>0</v>
      </c>
      <c r="DE132" s="32">
        <v>0.375</v>
      </c>
      <c r="DF132" s="30">
        <v>0</v>
      </c>
      <c r="DG132" s="34">
        <v>0.25</v>
      </c>
      <c r="DI132" s="25"/>
      <c r="DJ132" s="47"/>
      <c r="DK132" s="53">
        <v>2</v>
      </c>
      <c r="DL132" s="49">
        <v>2.9600000000000001E-2</v>
      </c>
      <c r="DM132" s="50">
        <v>4.0500000000000001E-2</v>
      </c>
      <c r="DN132" s="50">
        <v>8.3299999999999999E-2</v>
      </c>
      <c r="DO132" s="50">
        <v>9.5999999999999992E-3</v>
      </c>
      <c r="DP132" s="50">
        <v>5.7200000000000001E-2</v>
      </c>
      <c r="DQ132" s="42">
        <v>0</v>
      </c>
      <c r="DR132" s="32">
        <v>0.375</v>
      </c>
      <c r="DS132" s="30">
        <v>0</v>
      </c>
      <c r="DT132" s="34">
        <v>0.25</v>
      </c>
    </row>
    <row r="133" spans="1:124" ht="12" customHeight="1" x14ac:dyDescent="0.2">
      <c r="A133" s="1"/>
      <c r="B133" s="54"/>
      <c r="C133" s="55"/>
      <c r="D133" s="22" t="s">
        <v>128</v>
      </c>
      <c r="E133" s="85">
        <f t="shared" si="93"/>
        <v>0.03</v>
      </c>
      <c r="F133" s="85">
        <f t="shared" si="94"/>
        <v>4.1666666666666664E-2</v>
      </c>
      <c r="G133" s="85">
        <f t="shared" si="95"/>
        <v>8.3333333333333329E-2</v>
      </c>
      <c r="H133" s="85">
        <f t="shared" si="96"/>
        <v>1.519E-2</v>
      </c>
      <c r="I133" s="85">
        <f t="shared" si="97"/>
        <v>5.5590000000000001E-2</v>
      </c>
      <c r="J133" s="85">
        <f t="shared" si="98"/>
        <v>0</v>
      </c>
      <c r="K133" s="85">
        <f t="shared" si="99"/>
        <v>0.5</v>
      </c>
      <c r="L133" s="85">
        <f t="shared" si="100"/>
        <v>0</v>
      </c>
      <c r="M133" s="85">
        <f t="shared" si="101"/>
        <v>0.25</v>
      </c>
      <c r="N133" s="1"/>
      <c r="P133" s="17"/>
      <c r="Q133" s="29"/>
      <c r="R133" s="22" t="s">
        <v>128</v>
      </c>
      <c r="S133" s="200">
        <v>0.03</v>
      </c>
      <c r="T133" s="90">
        <v>4.1666666666666664E-2</v>
      </c>
      <c r="U133" s="90">
        <v>8.3333333333333329E-2</v>
      </c>
      <c r="V133" s="90">
        <f>V132</f>
        <v>1.519E-2</v>
      </c>
      <c r="W133" s="92">
        <f>W132</f>
        <v>5.5590000000000001E-2</v>
      </c>
      <c r="X133" s="43">
        <v>0</v>
      </c>
      <c r="Y133" s="90">
        <v>0.5</v>
      </c>
      <c r="Z133" s="91">
        <v>0</v>
      </c>
      <c r="AA133" s="92">
        <v>0.25</v>
      </c>
      <c r="AC133" s="17"/>
      <c r="AD133" s="29"/>
      <c r="AE133" s="22" t="s">
        <v>128</v>
      </c>
      <c r="AF133" s="38">
        <v>3.125E-2</v>
      </c>
      <c r="AG133" s="90">
        <v>4.1666666666666664E-2</v>
      </c>
      <c r="AH133" s="90">
        <v>8.3333333333333329E-2</v>
      </c>
      <c r="AI133" s="90">
        <f>AI132</f>
        <v>9.5238095238095247E-3</v>
      </c>
      <c r="AJ133" s="92">
        <f>AJ132</f>
        <v>5.7142857142857141E-2</v>
      </c>
      <c r="AK133" s="43">
        <v>0</v>
      </c>
      <c r="AL133" s="90">
        <v>0.5</v>
      </c>
      <c r="AM133" s="91">
        <v>0</v>
      </c>
      <c r="AN133" s="92">
        <v>0.25</v>
      </c>
      <c r="AP133" s="17"/>
      <c r="AQ133" s="29"/>
      <c r="AR133" s="22" t="s">
        <v>128</v>
      </c>
      <c r="AS133" s="200">
        <v>0.03</v>
      </c>
      <c r="AT133" s="90">
        <v>4.1666666666666664E-2</v>
      </c>
      <c r="AU133" s="90">
        <v>8.3333333333333329E-2</v>
      </c>
      <c r="AV133" s="90">
        <f>AV132</f>
        <v>1.7513134851138354E-2</v>
      </c>
      <c r="AW133" s="92">
        <f>AW132</f>
        <v>5.7142857142857141E-2</v>
      </c>
      <c r="AX133" s="43">
        <v>0</v>
      </c>
      <c r="AY133" s="90">
        <v>0.5</v>
      </c>
      <c r="AZ133" s="91">
        <v>0</v>
      </c>
      <c r="BA133" s="92">
        <v>0.25</v>
      </c>
      <c r="BC133" s="54"/>
      <c r="BD133" s="55"/>
      <c r="BE133" s="22" t="s">
        <v>128</v>
      </c>
      <c r="BF133" s="200">
        <v>3.0546875000000001E-2</v>
      </c>
      <c r="BG133" s="90">
        <v>4.1666666666666664E-2</v>
      </c>
      <c r="BH133" s="90">
        <v>8.3333333333333329E-2</v>
      </c>
      <c r="BI133" s="93">
        <f>BI132</f>
        <v>9.5999999999999992E-3</v>
      </c>
      <c r="BJ133" s="99">
        <f>BJ132</f>
        <v>5.7200000000000001E-2</v>
      </c>
      <c r="BK133" s="43">
        <v>0</v>
      </c>
      <c r="BL133" s="90">
        <v>0.5</v>
      </c>
      <c r="BM133" s="91">
        <v>0</v>
      </c>
      <c r="BN133" s="92">
        <v>0.25</v>
      </c>
      <c r="BP133" s="17"/>
      <c r="BQ133" s="29"/>
      <c r="BR133" s="22" t="s">
        <v>128</v>
      </c>
      <c r="BS133" s="38">
        <v>3.125E-2</v>
      </c>
      <c r="BT133" s="90">
        <v>4.1666666666666664E-2</v>
      </c>
      <c r="BU133" s="90">
        <v>8.3333333333333329E-2</v>
      </c>
      <c r="BV133" s="90">
        <f>BV132</f>
        <v>9.1631423811354626E-3</v>
      </c>
      <c r="BW133" s="90">
        <f>BW132</f>
        <v>1.9607843137254905E-2</v>
      </c>
      <c r="BX133" s="43">
        <v>0</v>
      </c>
      <c r="BY133" s="90">
        <v>0.5</v>
      </c>
      <c r="BZ133" s="91">
        <v>0</v>
      </c>
      <c r="CA133" s="92">
        <v>0.25</v>
      </c>
      <c r="CB133" s="36"/>
      <c r="CC133" s="36"/>
      <c r="CD133" s="36"/>
      <c r="CE133" s="36"/>
      <c r="CF133" s="36"/>
      <c r="CG133" s="36"/>
      <c r="CI133" s="17"/>
      <c r="CJ133" s="29"/>
      <c r="CK133" s="22" t="s">
        <v>128</v>
      </c>
      <c r="CL133" s="200">
        <v>0.03</v>
      </c>
      <c r="CM133" s="90">
        <v>4.1666666666666664E-2</v>
      </c>
      <c r="CN133" s="90">
        <v>8.3333333333333329E-2</v>
      </c>
      <c r="CO133" s="93">
        <f>CO132</f>
        <v>1.649365628604383E-2</v>
      </c>
      <c r="CP133" s="99">
        <f>CP132</f>
        <v>1.9607843137254905E-2</v>
      </c>
      <c r="CQ133" s="43">
        <v>0</v>
      </c>
      <c r="CR133" s="90">
        <v>0.5</v>
      </c>
      <c r="CS133" s="91">
        <v>0</v>
      </c>
      <c r="CT133" s="92">
        <v>0.25</v>
      </c>
      <c r="CV133" s="54"/>
      <c r="CW133" s="55"/>
      <c r="CX133" s="22" t="s">
        <v>128</v>
      </c>
      <c r="CY133" s="38">
        <v>3.125E-2</v>
      </c>
      <c r="CZ133" s="90">
        <v>4.1666666666666664E-2</v>
      </c>
      <c r="DA133" s="90">
        <v>8.3333333333333329E-2</v>
      </c>
      <c r="DB133" s="93">
        <f>DB132</f>
        <v>3.6061381074168797E-3</v>
      </c>
      <c r="DC133" s="99">
        <f>DC132</f>
        <v>5.7200000000000001E-2</v>
      </c>
      <c r="DD133" s="43">
        <v>0</v>
      </c>
      <c r="DE133" s="90">
        <v>0.5</v>
      </c>
      <c r="DF133" s="91">
        <v>0</v>
      </c>
      <c r="DG133" s="92">
        <v>0.25</v>
      </c>
      <c r="DI133" s="54"/>
      <c r="DJ133" s="55"/>
      <c r="DK133" s="22" t="s">
        <v>128</v>
      </c>
      <c r="DL133" s="200">
        <v>3.0546875000000001E-2</v>
      </c>
      <c r="DM133" s="90">
        <v>4.1666666666666664E-2</v>
      </c>
      <c r="DN133" s="90">
        <v>8.3333333333333329E-2</v>
      </c>
      <c r="DO133" s="93">
        <f>DO132</f>
        <v>9.5999999999999992E-3</v>
      </c>
      <c r="DP133" s="99">
        <f>DP132</f>
        <v>5.7200000000000001E-2</v>
      </c>
      <c r="DQ133" s="43">
        <v>0</v>
      </c>
      <c r="DR133" s="90">
        <v>0.5</v>
      </c>
      <c r="DS133" s="91">
        <v>0</v>
      </c>
      <c r="DT133" s="92">
        <v>0.25</v>
      </c>
    </row>
    <row r="134" spans="1:124" ht="12" customHeight="1" x14ac:dyDescent="0.2">
      <c r="A134" s="1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1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16"/>
      <c r="AF134" s="16"/>
      <c r="AG134" s="16"/>
      <c r="AH134" s="16"/>
      <c r="AI134" s="16"/>
      <c r="AJ134" s="16"/>
      <c r="AK134" s="16"/>
    </row>
    <row r="135" spans="1:12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AC135" s="16"/>
      <c r="AD135" s="16"/>
      <c r="AE135" s="16"/>
      <c r="AF135" s="16"/>
      <c r="AG135" s="16"/>
      <c r="AH135" s="16"/>
      <c r="AI135" s="16"/>
      <c r="AJ135" s="16"/>
      <c r="AK135" s="16"/>
    </row>
    <row r="136" spans="1:124" x14ac:dyDescent="0.2">
      <c r="AC136" s="16"/>
      <c r="AD136" s="16"/>
      <c r="AE136" s="16"/>
      <c r="AF136" s="16"/>
      <c r="AG136" s="16"/>
      <c r="AH136" s="16"/>
      <c r="AI136" s="16"/>
      <c r="AJ136" s="16"/>
      <c r="AK136" s="16"/>
      <c r="BF136" s="32"/>
    </row>
    <row r="137" spans="1:124" x14ac:dyDescent="0.2">
      <c r="AC137" s="16"/>
      <c r="AD137" s="16"/>
      <c r="AE137" s="16"/>
      <c r="AF137" s="16"/>
      <c r="AG137" s="16"/>
      <c r="AH137" s="16"/>
      <c r="AI137" s="16"/>
      <c r="AJ137" s="16"/>
      <c r="AK137" s="16"/>
      <c r="BF137" s="32"/>
    </row>
    <row r="138" spans="1:124" x14ac:dyDescent="0.2">
      <c r="S138" s="201"/>
      <c r="AC138" s="16"/>
      <c r="AD138" s="16"/>
      <c r="AE138" s="16"/>
      <c r="AF138" s="16"/>
      <c r="AG138" s="16"/>
      <c r="AH138" s="16"/>
      <c r="AI138" s="16"/>
      <c r="AJ138" s="16"/>
      <c r="AK138" s="16"/>
    </row>
    <row r="139" spans="1:124" x14ac:dyDescent="0.2">
      <c r="AC139" s="16"/>
      <c r="AD139" s="16"/>
      <c r="AE139" s="16"/>
      <c r="AF139" s="16"/>
      <c r="AG139" s="16"/>
      <c r="AH139" s="16"/>
      <c r="AI139" s="16"/>
      <c r="AJ139" s="16"/>
      <c r="AK139" s="16"/>
    </row>
  </sheetData>
  <mergeCells count="118">
    <mergeCell ref="DI121:DJ121"/>
    <mergeCell ref="DI69:DJ69"/>
    <mergeCell ref="DI82:DJ82"/>
    <mergeCell ref="DI95:DJ95"/>
    <mergeCell ref="DI108:DJ108"/>
    <mergeCell ref="DI17:DJ17"/>
    <mergeCell ref="DI30:DJ30"/>
    <mergeCell ref="DI43:DJ43"/>
    <mergeCell ref="DI56:DJ56"/>
    <mergeCell ref="DI15:DT15"/>
    <mergeCell ref="DI16:DK16"/>
    <mergeCell ref="DM16:DP16"/>
    <mergeCell ref="DQ16:DT16"/>
    <mergeCell ref="P16:R16"/>
    <mergeCell ref="T16:W16"/>
    <mergeCell ref="X16:AA16"/>
    <mergeCell ref="BK16:BN16"/>
    <mergeCell ref="AP16:AR16"/>
    <mergeCell ref="AT16:AW16"/>
    <mergeCell ref="D2:E2"/>
    <mergeCell ref="I2:M2"/>
    <mergeCell ref="F9:I9"/>
    <mergeCell ref="J9:M9"/>
    <mergeCell ref="D9:D10"/>
    <mergeCell ref="AP69:AQ69"/>
    <mergeCell ref="AP82:AQ82"/>
    <mergeCell ref="AP95:AQ95"/>
    <mergeCell ref="AC17:AD17"/>
    <mergeCell ref="AC30:AD30"/>
    <mergeCell ref="AC43:AD43"/>
    <mergeCell ref="AP17:AQ17"/>
    <mergeCell ref="AP30:AQ30"/>
    <mergeCell ref="AP43:AQ43"/>
    <mergeCell ref="P56:Q56"/>
    <mergeCell ref="P69:Q69"/>
    <mergeCell ref="P82:Q82"/>
    <mergeCell ref="P17:Q17"/>
    <mergeCell ref="P30:Q30"/>
    <mergeCell ref="P43:Q43"/>
    <mergeCell ref="P95:Q95"/>
    <mergeCell ref="AC56:AD56"/>
    <mergeCell ref="AC69:AD69"/>
    <mergeCell ref="AC82:AD82"/>
    <mergeCell ref="AP121:AQ121"/>
    <mergeCell ref="AC15:AN15"/>
    <mergeCell ref="AG16:AJ16"/>
    <mergeCell ref="AK16:AN16"/>
    <mergeCell ref="AC16:AE16"/>
    <mergeCell ref="AC95:AD95"/>
    <mergeCell ref="AP108:AQ108"/>
    <mergeCell ref="AP56:AQ56"/>
    <mergeCell ref="F2:G2"/>
    <mergeCell ref="AC121:AD121"/>
    <mergeCell ref="P108:Q108"/>
    <mergeCell ref="P121:Q121"/>
    <mergeCell ref="AC108:AD108"/>
    <mergeCell ref="BC121:BD121"/>
    <mergeCell ref="BP17:BQ17"/>
    <mergeCell ref="BP30:BQ30"/>
    <mergeCell ref="BP43:BQ43"/>
    <mergeCell ref="BP56:BQ56"/>
    <mergeCell ref="BP69:BQ69"/>
    <mergeCell ref="BP82:BQ82"/>
    <mergeCell ref="BP95:BQ95"/>
    <mergeCell ref="BP108:BQ108"/>
    <mergeCell ref="BC56:BD56"/>
    <mergeCell ref="BC69:BD69"/>
    <mergeCell ref="BC82:BD82"/>
    <mergeCell ref="BC95:BD95"/>
    <mergeCell ref="BC108:BD108"/>
    <mergeCell ref="BC17:BD17"/>
    <mergeCell ref="BC30:BD30"/>
    <mergeCell ref="BC43:BD43"/>
    <mergeCell ref="BP121:BQ121"/>
    <mergeCell ref="CI15:CT15"/>
    <mergeCell ref="CI16:CK16"/>
    <mergeCell ref="CM16:CP16"/>
    <mergeCell ref="CQ16:CT16"/>
    <mergeCell ref="CI17:CJ17"/>
    <mergeCell ref="CI30:CJ30"/>
    <mergeCell ref="CI43:CJ43"/>
    <mergeCell ref="CI56:CJ56"/>
    <mergeCell ref="CI69:CJ69"/>
    <mergeCell ref="BX16:CA16"/>
    <mergeCell ref="BP15:CA15"/>
    <mergeCell ref="BP16:BR16"/>
    <mergeCell ref="BT16:BW16"/>
    <mergeCell ref="CV95:CW95"/>
    <mergeCell ref="CV108:CW108"/>
    <mergeCell ref="CI82:CJ82"/>
    <mergeCell ref="CI95:CJ95"/>
    <mergeCell ref="CI108:CJ108"/>
    <mergeCell ref="CV121:CW121"/>
    <mergeCell ref="CI121:CJ121"/>
    <mergeCell ref="CV16:CX16"/>
    <mergeCell ref="CZ16:DC16"/>
    <mergeCell ref="CV17:CW17"/>
    <mergeCell ref="CV30:CW30"/>
    <mergeCell ref="CV56:CW56"/>
    <mergeCell ref="CV69:CW69"/>
    <mergeCell ref="CV82:CW82"/>
    <mergeCell ref="L14:L15"/>
    <mergeCell ref="M14:M15"/>
    <mergeCell ref="CV43:CW43"/>
    <mergeCell ref="F14:F15"/>
    <mergeCell ref="G14:G15"/>
    <mergeCell ref="H14:H15"/>
    <mergeCell ref="I14:I15"/>
    <mergeCell ref="J14:J15"/>
    <mergeCell ref="K14:K15"/>
    <mergeCell ref="CV15:DG15"/>
    <mergeCell ref="DD16:DG16"/>
    <mergeCell ref="BC15:BN15"/>
    <mergeCell ref="P15:AA15"/>
    <mergeCell ref="AP15:BA15"/>
    <mergeCell ref="AX16:BA16"/>
    <mergeCell ref="BC16:BE16"/>
    <mergeCell ref="BG16:BJ16"/>
  </mergeCells>
  <phoneticPr fontId="25" type="noConversion"/>
  <conditionalFormatting sqref="H18:H133">
    <cfRule type="cellIs" dxfId="19" priority="1" stopIfTrue="1" operator="greaterThan">
      <formula>F18</formula>
    </cfRule>
  </conditionalFormatting>
  <printOptions horizontalCentered="1" verticalCentered="1"/>
  <pageMargins left="0.78740157480314965" right="0.78740157480314965" top="0.38" bottom="0.37" header="0.26" footer="0.28000000000000003"/>
  <pageSetup paperSize="9" scale="55" orientation="portrait" blackAndWhite="1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showGridLines="0" zoomScale="117" zoomScaleNormal="117" zoomScaleSheetLayoutView="150" workbookViewId="0">
      <selection activeCell="B20" sqref="B20"/>
    </sheetView>
  </sheetViews>
  <sheetFormatPr defaultRowHeight="12.75" x14ac:dyDescent="0.2"/>
  <cols>
    <col min="1" max="1" width="13.28515625" style="240" customWidth="1"/>
    <col min="2" max="5" width="10.7109375" style="210" customWidth="1"/>
    <col min="6" max="6" width="10.7109375" style="240" customWidth="1"/>
    <col min="7" max="7" width="108.28515625" style="241" customWidth="1"/>
    <col min="8" max="8" width="75.7109375" style="210" customWidth="1"/>
    <col min="9" max="9" width="6.140625" style="210" bestFit="1" customWidth="1"/>
    <col min="10" max="10" width="10.7109375" style="210" bestFit="1" customWidth="1"/>
    <col min="11" max="16384" width="9.140625" style="211"/>
  </cols>
  <sheetData>
    <row r="1" spans="1:12" ht="14.1" customHeight="1" x14ac:dyDescent="0.2">
      <c r="A1" s="206" t="s">
        <v>9</v>
      </c>
      <c r="B1" s="207"/>
      <c r="C1" s="207"/>
      <c r="D1" s="207"/>
      <c r="E1" s="207"/>
      <c r="F1" s="208"/>
      <c r="G1" s="208" t="s">
        <v>10</v>
      </c>
      <c r="H1" s="209" t="s">
        <v>92</v>
      </c>
    </row>
    <row r="2" spans="1:12" ht="14.1" customHeight="1" x14ac:dyDescent="0.2">
      <c r="A2" s="212" t="s">
        <v>188</v>
      </c>
      <c r="B2" s="213"/>
      <c r="C2" s="213"/>
      <c r="D2" s="213"/>
      <c r="E2" s="213"/>
      <c r="F2" s="214"/>
      <c r="G2" s="214" t="s">
        <v>189</v>
      </c>
      <c r="H2" s="215" t="s">
        <v>190</v>
      </c>
    </row>
    <row r="3" spans="1:12" s="220" customFormat="1" ht="14.1" customHeight="1" x14ac:dyDescent="0.2">
      <c r="A3" s="216" t="s">
        <v>648</v>
      </c>
      <c r="B3" s="217"/>
      <c r="C3" s="217"/>
      <c r="D3" s="217"/>
      <c r="E3" s="217"/>
      <c r="F3" s="180"/>
      <c r="G3" s="216"/>
      <c r="H3" s="217"/>
      <c r="I3" s="218"/>
      <c r="J3" s="218"/>
      <c r="K3" s="219"/>
      <c r="L3" s="219"/>
    </row>
    <row r="4" spans="1:12" s="220" customFormat="1" ht="14.1" customHeight="1" x14ac:dyDescent="0.2">
      <c r="A4" s="180" t="s">
        <v>511</v>
      </c>
      <c r="B4" s="221" t="s">
        <v>512</v>
      </c>
      <c r="C4" s="221" t="s">
        <v>512</v>
      </c>
      <c r="D4" s="221" t="s">
        <v>513</v>
      </c>
      <c r="E4" s="221" t="s">
        <v>513</v>
      </c>
      <c r="F4" s="180"/>
      <c r="G4" s="216"/>
      <c r="H4" s="217"/>
      <c r="I4" s="218"/>
      <c r="J4" s="218"/>
      <c r="K4" s="219"/>
      <c r="L4" s="219"/>
    </row>
    <row r="5" spans="1:12" s="220" customFormat="1" ht="14.1" customHeight="1" x14ac:dyDescent="0.2">
      <c r="A5" s="180" t="s">
        <v>619</v>
      </c>
      <c r="B5" s="229">
        <f>Principal!$AA$14</f>
        <v>2</v>
      </c>
      <c r="C5" s="229">
        <f>Principal!$AA$14</f>
        <v>2</v>
      </c>
      <c r="D5" s="229">
        <f>Principal!$AA$14</f>
        <v>2</v>
      </c>
      <c r="E5" s="229">
        <f>Principal!$AA$14</f>
        <v>2</v>
      </c>
      <c r="F5" s="180"/>
      <c r="G5" s="216"/>
      <c r="H5" s="217"/>
      <c r="I5" s="218"/>
      <c r="J5" s="218"/>
      <c r="K5" s="219"/>
      <c r="L5" s="219"/>
    </row>
    <row r="6" spans="1:12" s="220" customFormat="1" ht="14.1" customHeight="1" x14ac:dyDescent="0.2">
      <c r="A6" s="180" t="s">
        <v>645</v>
      </c>
      <c r="B6" s="221" t="s">
        <v>2</v>
      </c>
      <c r="C6" s="221" t="s">
        <v>95</v>
      </c>
      <c r="D6" s="221" t="s">
        <v>2</v>
      </c>
      <c r="E6" s="221" t="s">
        <v>95</v>
      </c>
      <c r="F6" s="180"/>
      <c r="G6" s="216"/>
      <c r="H6" s="217"/>
      <c r="I6" s="218"/>
      <c r="J6" s="218"/>
      <c r="K6" s="219"/>
      <c r="L6" s="219"/>
    </row>
    <row r="7" spans="1:12" s="220" customFormat="1" ht="14.1" customHeight="1" x14ac:dyDescent="0.2">
      <c r="A7" s="216" t="s">
        <v>191</v>
      </c>
      <c r="B7" s="221"/>
      <c r="C7" s="221"/>
      <c r="D7" s="221"/>
      <c r="E7" s="221"/>
      <c r="F7" s="180"/>
      <c r="G7" s="216"/>
      <c r="H7" s="221"/>
      <c r="I7" s="222"/>
      <c r="J7" s="222"/>
    </row>
    <row r="8" spans="1:12" ht="14.1" customHeight="1" x14ac:dyDescent="0.2">
      <c r="A8" s="159" t="s">
        <v>232</v>
      </c>
      <c r="B8" s="260">
        <f>Principal!$D$10</f>
        <v>25</v>
      </c>
      <c r="C8" s="260">
        <f>Principal!$D$10</f>
        <v>25</v>
      </c>
      <c r="D8" s="260">
        <f>Principal!$D$10</f>
        <v>25</v>
      </c>
      <c r="E8" s="260">
        <f>Principal!$D$10</f>
        <v>25</v>
      </c>
      <c r="F8" s="180" t="s">
        <v>192</v>
      </c>
      <c r="G8" s="216"/>
      <c r="H8" s="224" t="s">
        <v>193</v>
      </c>
    </row>
    <row r="9" spans="1:12" ht="14.1" customHeight="1" x14ac:dyDescent="0.2">
      <c r="A9" s="158" t="s">
        <v>12</v>
      </c>
      <c r="B9" s="233">
        <v>1.4</v>
      </c>
      <c r="C9" s="233">
        <v>1.4</v>
      </c>
      <c r="D9" s="233">
        <v>1.5</v>
      </c>
      <c r="E9" s="233">
        <v>1.5</v>
      </c>
      <c r="F9" s="180"/>
      <c r="G9" s="226" t="s">
        <v>642</v>
      </c>
      <c r="H9" s="224" t="s">
        <v>194</v>
      </c>
    </row>
    <row r="10" spans="1:12" ht="14.1" customHeight="1" x14ac:dyDescent="0.2">
      <c r="A10" s="159" t="s">
        <v>233</v>
      </c>
      <c r="B10" s="221">
        <f>B8/B9</f>
        <v>17.857142857142858</v>
      </c>
      <c r="C10" s="221">
        <f>C8/C9</f>
        <v>17.857142857142858</v>
      </c>
      <c r="D10" s="221">
        <f>D8/D9</f>
        <v>16.666666666666668</v>
      </c>
      <c r="E10" s="221">
        <f>E8/E9</f>
        <v>16.666666666666668</v>
      </c>
      <c r="F10" s="180" t="s">
        <v>192</v>
      </c>
      <c r="G10" s="205" t="s">
        <v>234</v>
      </c>
      <c r="H10" s="224" t="s">
        <v>195</v>
      </c>
    </row>
    <row r="11" spans="1:12" ht="14.1" customHeight="1" x14ac:dyDescent="0.2">
      <c r="A11" s="158" t="s">
        <v>139</v>
      </c>
      <c r="B11" s="227">
        <v>0.85</v>
      </c>
      <c r="C11" s="227">
        <v>0.85</v>
      </c>
      <c r="D11" s="227">
        <v>0.85</v>
      </c>
      <c r="E11" s="227">
        <v>0.85</v>
      </c>
      <c r="F11" s="180"/>
      <c r="G11" s="205">
        <v>0.85</v>
      </c>
      <c r="H11" s="217" t="s">
        <v>196</v>
      </c>
    </row>
    <row r="12" spans="1:12" ht="14.1" customHeight="1" x14ac:dyDescent="0.2">
      <c r="A12" s="158" t="s">
        <v>171</v>
      </c>
      <c r="B12" s="227">
        <v>0.8</v>
      </c>
      <c r="C12" s="227">
        <v>0.8</v>
      </c>
      <c r="D12" s="227">
        <v>0.8</v>
      </c>
      <c r="E12" s="227">
        <v>0.8</v>
      </c>
      <c r="F12" s="180"/>
      <c r="G12" s="228">
        <v>0.8</v>
      </c>
      <c r="H12" s="217" t="s">
        <v>235</v>
      </c>
    </row>
    <row r="13" spans="1:12" ht="14.1" customHeight="1" x14ac:dyDescent="0.2">
      <c r="A13" s="159" t="s">
        <v>330</v>
      </c>
      <c r="B13" s="221">
        <f>0.3*B8^(2/3)</f>
        <v>2.5649639200150443</v>
      </c>
      <c r="C13" s="221">
        <f>0.3*C8^(2/3)</f>
        <v>2.5649639200150443</v>
      </c>
      <c r="D13" s="221">
        <f>0.3*D8^(2/3)</f>
        <v>2.5649639200150443</v>
      </c>
      <c r="E13" s="221">
        <f>0.3*E8^(2/3)</f>
        <v>2.5649639200150443</v>
      </c>
      <c r="F13" s="180" t="s">
        <v>192</v>
      </c>
      <c r="G13" s="205" t="s">
        <v>331</v>
      </c>
      <c r="H13" s="224" t="s">
        <v>308</v>
      </c>
    </row>
    <row r="14" spans="1:12" ht="14.1" customHeight="1" x14ac:dyDescent="0.2">
      <c r="A14" s="216" t="s">
        <v>197</v>
      </c>
      <c r="B14" s="221"/>
      <c r="C14" s="221"/>
      <c r="D14" s="221"/>
      <c r="E14" s="221"/>
      <c r="F14" s="180"/>
      <c r="G14" s="216"/>
      <c r="H14" s="221"/>
    </row>
    <row r="15" spans="1:12" ht="14.1" customHeight="1" x14ac:dyDescent="0.2">
      <c r="A15" s="159" t="s">
        <v>236</v>
      </c>
      <c r="B15" s="260">
        <f>Principal!$D$14</f>
        <v>500</v>
      </c>
      <c r="C15" s="260">
        <f>Principal!$D$14</f>
        <v>500</v>
      </c>
      <c r="D15" s="260">
        <f>Principal!$D$14</f>
        <v>500</v>
      </c>
      <c r="E15" s="260">
        <f>Principal!$D$14</f>
        <v>500</v>
      </c>
      <c r="F15" s="180" t="s">
        <v>192</v>
      </c>
      <c r="G15" s="216"/>
      <c r="H15" s="224" t="s">
        <v>198</v>
      </c>
    </row>
    <row r="16" spans="1:12" ht="14.1" customHeight="1" x14ac:dyDescent="0.2">
      <c r="A16" s="158" t="s">
        <v>61</v>
      </c>
      <c r="B16" s="233">
        <v>1.1499999999999999</v>
      </c>
      <c r="C16" s="233">
        <v>1.1499999999999999</v>
      </c>
      <c r="D16" s="233">
        <v>1.1499999999999999</v>
      </c>
      <c r="E16" s="233">
        <v>1.1499999999999999</v>
      </c>
      <c r="F16" s="180"/>
      <c r="G16" s="228">
        <v>1.1499999999999999</v>
      </c>
      <c r="H16" s="224" t="s">
        <v>199</v>
      </c>
    </row>
    <row r="17" spans="1:10" ht="14.1" customHeight="1" x14ac:dyDescent="0.2">
      <c r="A17" s="159" t="s">
        <v>237</v>
      </c>
      <c r="B17" s="227">
        <f>B15/B16</f>
        <v>434.78260869565219</v>
      </c>
      <c r="C17" s="227">
        <f>C15/C16</f>
        <v>434.78260869565219</v>
      </c>
      <c r="D17" s="227">
        <f>D15/D16</f>
        <v>434.78260869565219</v>
      </c>
      <c r="E17" s="227">
        <f>E15/E16</f>
        <v>434.78260869565219</v>
      </c>
      <c r="F17" s="180" t="s">
        <v>192</v>
      </c>
      <c r="G17" s="205" t="s">
        <v>238</v>
      </c>
      <c r="H17" s="224" t="s">
        <v>200</v>
      </c>
    </row>
    <row r="18" spans="1:10" ht="14.1" customHeight="1" x14ac:dyDescent="0.2">
      <c r="A18" s="159" t="s">
        <v>239</v>
      </c>
      <c r="B18" s="223">
        <v>210000</v>
      </c>
      <c r="C18" s="223">
        <v>210000</v>
      </c>
      <c r="D18" s="223">
        <v>200000</v>
      </c>
      <c r="E18" s="223">
        <v>200000</v>
      </c>
      <c r="F18" s="180" t="s">
        <v>192</v>
      </c>
      <c r="G18" s="230" t="s">
        <v>523</v>
      </c>
      <c r="H18" s="224" t="s">
        <v>201</v>
      </c>
    </row>
    <row r="19" spans="1:10" ht="14.1" customHeight="1" x14ac:dyDescent="0.2">
      <c r="A19" s="158" t="s">
        <v>152</v>
      </c>
      <c r="B19" s="231">
        <f>B17/B18</f>
        <v>2.070393374741201E-3</v>
      </c>
      <c r="C19" s="231">
        <f>C17/C18</f>
        <v>2.070393374741201E-3</v>
      </c>
      <c r="D19" s="231">
        <f>D17/D18</f>
        <v>2.1739130434782609E-3</v>
      </c>
      <c r="E19" s="231">
        <f>E17/E18</f>
        <v>2.1739130434782609E-3</v>
      </c>
      <c r="F19" s="180"/>
      <c r="G19" s="205" t="s">
        <v>240</v>
      </c>
      <c r="H19" s="224" t="s">
        <v>202</v>
      </c>
    </row>
    <row r="20" spans="1:10" ht="14.1" customHeight="1" x14ac:dyDescent="0.2">
      <c r="A20" s="158" t="s">
        <v>241</v>
      </c>
      <c r="B20" s="371">
        <f>IF((3.5/1000)*(B43-B31)/B43=0,0.00000000001,(3.5/1000)*(B43-B31)/B43)</f>
        <v>1.1666666666666668E-3</v>
      </c>
      <c r="C20" s="371">
        <f>IF((3.5/1000)*(C43-C31)/C43=0,0.00000000001,(3.5/1000)*(C43-C31)/C43)</f>
        <v>1.1666666666666668E-3</v>
      </c>
      <c r="D20" s="371">
        <f>IF((3.5/1000)*(D43-D31)/D43=0,0.00000000001,(3.5/1000)*(D43-D31)/D43)</f>
        <v>9.0740740740740734E-4</v>
      </c>
      <c r="E20" s="371">
        <f>IF((3.5/1000)*(E43-E31)/E43=0,0.00000000001,(3.5/1000)*(E43-E31)/E43)</f>
        <v>9.0740740740740734E-4</v>
      </c>
      <c r="F20" s="180"/>
      <c r="G20" s="205" t="s">
        <v>242</v>
      </c>
      <c r="H20" s="224" t="s">
        <v>203</v>
      </c>
    </row>
    <row r="21" spans="1:10" ht="14.1" customHeight="1" x14ac:dyDescent="0.2">
      <c r="A21" s="158" t="s">
        <v>243</v>
      </c>
      <c r="B21" s="227">
        <f>IF(B20&lt;=B19,B18*B20,B17)</f>
        <v>245.00000000000003</v>
      </c>
      <c r="C21" s="227">
        <f>IF(C20&lt;=C19,C18*C20,C17)</f>
        <v>245.00000000000003</v>
      </c>
      <c r="D21" s="227">
        <f>IF(D20&lt;=D19,D18*D20,D17)</f>
        <v>181.48148148148147</v>
      </c>
      <c r="E21" s="227">
        <f>IF(E20&lt;=E19,E18*E20,E17)</f>
        <v>181.48148148148147</v>
      </c>
      <c r="F21" s="180" t="s">
        <v>192</v>
      </c>
      <c r="G21" s="205" t="s">
        <v>244</v>
      </c>
      <c r="H21" s="224" t="s">
        <v>204</v>
      </c>
    </row>
    <row r="22" spans="1:10" s="232" customFormat="1" ht="14.1" customHeight="1" x14ac:dyDescent="0.2">
      <c r="A22" s="216" t="s">
        <v>205</v>
      </c>
      <c r="B22" s="217"/>
      <c r="C22" s="217"/>
      <c r="D22" s="217"/>
      <c r="E22" s="217"/>
      <c r="F22" s="180"/>
      <c r="G22" s="216"/>
      <c r="H22" s="217"/>
      <c r="I22" s="218"/>
      <c r="J22" s="218"/>
    </row>
    <row r="23" spans="1:10" s="232" customFormat="1" ht="14.1" customHeight="1" x14ac:dyDescent="0.2">
      <c r="A23" s="159" t="s">
        <v>319</v>
      </c>
      <c r="B23" s="180" t="str">
        <f>IF(Principal!$AA$10=1,"R","T")</f>
        <v>R</v>
      </c>
      <c r="C23" s="180" t="str">
        <f>IF(Principal!$AA$10=1,"R","T")</f>
        <v>R</v>
      </c>
      <c r="D23" s="180" t="str">
        <f>IF(Principal!$AA$10=1,"R","T")</f>
        <v>R</v>
      </c>
      <c r="E23" s="180" t="str">
        <f>IF(Principal!$AA$10=1,"R","T")</f>
        <v>R</v>
      </c>
      <c r="F23" s="180"/>
      <c r="G23" s="216"/>
      <c r="H23" s="217"/>
      <c r="I23" s="218"/>
      <c r="J23" s="218"/>
    </row>
    <row r="24" spans="1:10" ht="14.1" customHeight="1" x14ac:dyDescent="0.2">
      <c r="A24" s="180" t="s">
        <v>279</v>
      </c>
      <c r="B24" s="233">
        <v>100</v>
      </c>
      <c r="C24" s="233">
        <v>100</v>
      </c>
      <c r="D24" s="233">
        <v>100</v>
      </c>
      <c r="E24" s="233">
        <v>100</v>
      </c>
      <c r="F24" s="180" t="s">
        <v>19</v>
      </c>
      <c r="G24" s="216"/>
      <c r="H24" s="224" t="s">
        <v>267</v>
      </c>
    </row>
    <row r="25" spans="1:10" ht="14.1" customHeight="1" x14ac:dyDescent="0.2">
      <c r="A25" s="180" t="s">
        <v>280</v>
      </c>
      <c r="B25" s="261">
        <f>Principal!$R$19</f>
        <v>100</v>
      </c>
      <c r="C25" s="261">
        <f>Principal!$R$19</f>
        <v>100</v>
      </c>
      <c r="D25" s="261">
        <f>Principal!$R$19</f>
        <v>100</v>
      </c>
      <c r="E25" s="261">
        <f>Principal!$R$19</f>
        <v>100</v>
      </c>
      <c r="F25" s="180" t="s">
        <v>19</v>
      </c>
      <c r="G25" s="216"/>
      <c r="H25" s="224" t="s">
        <v>268</v>
      </c>
    </row>
    <row r="26" spans="1:10" ht="14.1" customHeight="1" x14ac:dyDescent="0.2">
      <c r="A26" s="180" t="s">
        <v>139</v>
      </c>
      <c r="B26" s="260">
        <f>Principal!$R$12</f>
        <v>12</v>
      </c>
      <c r="C26" s="260">
        <f>Principal!$R$12</f>
        <v>12</v>
      </c>
      <c r="D26" s="260">
        <f>Principal!$R$12</f>
        <v>12</v>
      </c>
      <c r="E26" s="260">
        <f>Principal!$R$12</f>
        <v>12</v>
      </c>
      <c r="F26" s="180" t="s">
        <v>19</v>
      </c>
      <c r="G26" s="216"/>
      <c r="H26" s="224" t="s">
        <v>269</v>
      </c>
    </row>
    <row r="27" spans="1:10" ht="14.1" customHeight="1" x14ac:dyDescent="0.2">
      <c r="A27" s="180" t="s">
        <v>281</v>
      </c>
      <c r="B27" s="260">
        <f>Principal!$AA$8</f>
        <v>12</v>
      </c>
      <c r="C27" s="260">
        <f>Principal!$AA$8</f>
        <v>12</v>
      </c>
      <c r="D27" s="260">
        <f>Principal!$AA$8</f>
        <v>12</v>
      </c>
      <c r="E27" s="260">
        <f>Principal!$AA$8</f>
        <v>12</v>
      </c>
      <c r="F27" s="180" t="s">
        <v>19</v>
      </c>
      <c r="G27" s="216"/>
      <c r="H27" s="224" t="s">
        <v>270</v>
      </c>
    </row>
    <row r="28" spans="1:10" ht="14.1" customHeight="1" x14ac:dyDescent="0.2">
      <c r="A28" s="180" t="s">
        <v>448</v>
      </c>
      <c r="B28" s="261">
        <f>Principal!$R$20+1</f>
        <v>3</v>
      </c>
      <c r="C28" s="261">
        <f>Principal!$R$20+1</f>
        <v>3</v>
      </c>
      <c r="D28" s="261">
        <f>Principal!$R$20+1</f>
        <v>3</v>
      </c>
      <c r="E28" s="261">
        <f>Principal!$R$20+1</f>
        <v>3</v>
      </c>
      <c r="F28" s="180" t="s">
        <v>19</v>
      </c>
      <c r="G28" s="216"/>
      <c r="H28" s="216" t="s">
        <v>449</v>
      </c>
    </row>
    <row r="29" spans="1:10" ht="14.1" customHeight="1" x14ac:dyDescent="0.2">
      <c r="A29" s="180" t="s">
        <v>209</v>
      </c>
      <c r="B29" s="261">
        <f>Principal!$R$20+1</f>
        <v>3</v>
      </c>
      <c r="C29" s="261">
        <f>Principal!$R$20+1</f>
        <v>3</v>
      </c>
      <c r="D29" s="261">
        <f>Principal!$R$20+1</f>
        <v>3</v>
      </c>
      <c r="E29" s="261">
        <f>Principal!$R$20+1</f>
        <v>3</v>
      </c>
      <c r="F29" s="180" t="s">
        <v>19</v>
      </c>
      <c r="G29" s="216"/>
      <c r="H29" s="224" t="s">
        <v>450</v>
      </c>
    </row>
    <row r="30" spans="1:10" ht="14.1" customHeight="1" x14ac:dyDescent="0.2">
      <c r="A30" s="180" t="s">
        <v>14</v>
      </c>
      <c r="B30" s="225">
        <f>B26-B28</f>
        <v>9</v>
      </c>
      <c r="C30" s="225">
        <f>C26-C28</f>
        <v>9</v>
      </c>
      <c r="D30" s="225">
        <f>D26-D28</f>
        <v>9</v>
      </c>
      <c r="E30" s="225">
        <f>E26-E28</f>
        <v>9</v>
      </c>
      <c r="F30" s="180" t="s">
        <v>19</v>
      </c>
      <c r="G30" s="216" t="s">
        <v>456</v>
      </c>
      <c r="H30" s="224" t="s">
        <v>208</v>
      </c>
    </row>
    <row r="31" spans="1:10" ht="14.1" customHeight="1" x14ac:dyDescent="0.2">
      <c r="A31" s="180" t="s">
        <v>209</v>
      </c>
      <c r="B31" s="227">
        <f>B29</f>
        <v>3</v>
      </c>
      <c r="C31" s="227">
        <f>C29</f>
        <v>3</v>
      </c>
      <c r="D31" s="227">
        <f>D29</f>
        <v>3</v>
      </c>
      <c r="E31" s="227">
        <f>E29</f>
        <v>3</v>
      </c>
      <c r="F31" s="180" t="s">
        <v>19</v>
      </c>
      <c r="G31" s="216" t="s">
        <v>209</v>
      </c>
      <c r="H31" s="224" t="s">
        <v>450</v>
      </c>
    </row>
    <row r="32" spans="1:10" ht="14.1" customHeight="1" x14ac:dyDescent="0.2">
      <c r="A32" s="180" t="s">
        <v>245</v>
      </c>
      <c r="B32" s="229">
        <f>(B24-B25)*B27+B25*B26</f>
        <v>1200</v>
      </c>
      <c r="C32" s="229">
        <f>(C24-C25)*C27+C25*C26</f>
        <v>1200</v>
      </c>
      <c r="D32" s="229">
        <f>(D24-D25)*D27+D25*D26</f>
        <v>1200</v>
      </c>
      <c r="E32" s="229">
        <f>(E24-E25)*E27+E25*E26</f>
        <v>1200</v>
      </c>
      <c r="F32" s="180" t="s">
        <v>246</v>
      </c>
      <c r="G32" s="216" t="s">
        <v>282</v>
      </c>
      <c r="H32" s="224" t="s">
        <v>211</v>
      </c>
    </row>
    <row r="33" spans="1:10" s="220" customFormat="1" ht="14.1" customHeight="1" x14ac:dyDescent="0.2">
      <c r="A33" s="216" t="s">
        <v>212</v>
      </c>
      <c r="B33" s="221"/>
      <c r="C33" s="221"/>
      <c r="D33" s="221"/>
      <c r="E33" s="221"/>
      <c r="F33" s="180"/>
      <c r="G33" s="216"/>
      <c r="H33" s="221"/>
      <c r="I33" s="222"/>
      <c r="J33" s="222"/>
    </row>
    <row r="34" spans="1:10" s="220" customFormat="1" ht="14.1" customHeight="1" x14ac:dyDescent="0.2">
      <c r="A34" s="158" t="s">
        <v>50</v>
      </c>
      <c r="B34" s="233">
        <v>1.4</v>
      </c>
      <c r="C34" s="233">
        <v>1.4</v>
      </c>
      <c r="D34" s="233">
        <v>1.35</v>
      </c>
      <c r="E34" s="233">
        <v>1.35</v>
      </c>
      <c r="F34" s="180"/>
      <c r="G34" s="216"/>
      <c r="H34" s="221"/>
      <c r="I34" s="222"/>
      <c r="J34" s="222"/>
    </row>
    <row r="35" spans="1:10" s="220" customFormat="1" ht="14.1" customHeight="1" x14ac:dyDescent="0.2">
      <c r="A35" s="158" t="s">
        <v>51</v>
      </c>
      <c r="B35" s="233">
        <v>1.4</v>
      </c>
      <c r="C35" s="233">
        <v>1.4</v>
      </c>
      <c r="D35" s="233">
        <v>1.5</v>
      </c>
      <c r="E35" s="233">
        <v>1.5</v>
      </c>
      <c r="F35" s="180"/>
      <c r="G35" s="216"/>
      <c r="H35" s="221"/>
      <c r="I35" s="222"/>
      <c r="J35" s="222"/>
    </row>
    <row r="36" spans="1:10" s="220" customFormat="1" ht="14.1" customHeight="1" x14ac:dyDescent="0.2">
      <c r="A36" s="180" t="s">
        <v>659</v>
      </c>
      <c r="B36" s="261">
        <f>Principal!$E$35</f>
        <v>8.4549850000000006</v>
      </c>
      <c r="C36" s="261">
        <f>Principal!$G$35</f>
        <v>5.8288999999999991</v>
      </c>
      <c r="D36" s="261">
        <f>Principal!$E$35</f>
        <v>8.4549850000000006</v>
      </c>
      <c r="E36" s="261">
        <f>Principal!$G$35</f>
        <v>5.8288999999999991</v>
      </c>
      <c r="F36" s="180" t="s">
        <v>213</v>
      </c>
      <c r="G36" s="216"/>
      <c r="H36" s="221"/>
      <c r="I36" s="222"/>
      <c r="J36" s="222"/>
    </row>
    <row r="37" spans="1:10" s="220" customFormat="1" ht="14.1" customHeight="1" x14ac:dyDescent="0.2">
      <c r="A37" s="180" t="s">
        <v>660</v>
      </c>
      <c r="B37" s="261">
        <f>Principal!$E$36</f>
        <v>0</v>
      </c>
      <c r="C37" s="261">
        <f>Principal!$G$36</f>
        <v>0</v>
      </c>
      <c r="D37" s="261">
        <f>Principal!$E$36</f>
        <v>0</v>
      </c>
      <c r="E37" s="261">
        <f>Principal!$G$36</f>
        <v>0</v>
      </c>
      <c r="F37" s="180" t="s">
        <v>213</v>
      </c>
      <c r="G37" s="216"/>
      <c r="H37" s="221"/>
      <c r="I37" s="222"/>
      <c r="J37" s="222"/>
    </row>
    <row r="38" spans="1:10" ht="14.1" customHeight="1" x14ac:dyDescent="0.2">
      <c r="A38" s="159" t="s">
        <v>247</v>
      </c>
      <c r="B38" s="227">
        <f>B34*B36+B35*B37</f>
        <v>11.836978999999999</v>
      </c>
      <c r="C38" s="227">
        <f>C34*C36+C35*C37</f>
        <v>8.1604599999999987</v>
      </c>
      <c r="D38" s="227">
        <f>D34*D36+D35*D37</f>
        <v>11.414229750000002</v>
      </c>
      <c r="E38" s="227">
        <f>E34*E36+E35*E37</f>
        <v>7.8690149999999992</v>
      </c>
      <c r="F38" s="180" t="s">
        <v>213</v>
      </c>
      <c r="G38" s="205"/>
      <c r="H38" s="224" t="s">
        <v>214</v>
      </c>
    </row>
    <row r="39" spans="1:10" ht="14.1" customHeight="1" x14ac:dyDescent="0.2">
      <c r="A39" s="205" t="s">
        <v>271</v>
      </c>
      <c r="B39" s="242"/>
      <c r="C39" s="242"/>
      <c r="D39" s="242"/>
      <c r="E39" s="242"/>
      <c r="F39" s="180"/>
      <c r="G39" s="205"/>
      <c r="H39" s="224"/>
    </row>
    <row r="40" spans="1:10" ht="14.1" customHeight="1" x14ac:dyDescent="0.2">
      <c r="A40" s="159" t="s">
        <v>248</v>
      </c>
      <c r="B40" s="227">
        <f>IF(B8&lt;=35,0.5*B30,0.4*B30)</f>
        <v>4.5</v>
      </c>
      <c r="C40" s="227">
        <f>IF(C8&lt;=35,0.5*C30,0.4*C30)</f>
        <v>4.5</v>
      </c>
      <c r="D40" s="227">
        <f>IF(D8&lt;=50,0.45*D30,0.35*D30)</f>
        <v>4.05</v>
      </c>
      <c r="E40" s="227">
        <f>IF(E8&lt;=50,0.45*E30,0.35*E30)</f>
        <v>4.05</v>
      </c>
      <c r="F40" s="180" t="s">
        <v>19</v>
      </c>
      <c r="G40" s="205" t="s">
        <v>643</v>
      </c>
      <c r="H40" s="224" t="s">
        <v>215</v>
      </c>
    </row>
    <row r="41" spans="1:10" ht="14.1" customHeight="1" x14ac:dyDescent="0.2">
      <c r="A41" s="159" t="s">
        <v>249</v>
      </c>
      <c r="B41" s="227">
        <f>0.0035*B30/(0.0035+B19)</f>
        <v>5.6548968593198286</v>
      </c>
      <c r="C41" s="227">
        <f>0.0035*C30/(0.0035+C19)</f>
        <v>5.6548968593198286</v>
      </c>
      <c r="D41" s="227">
        <f>0.0035*D30/(0.0035+D19)</f>
        <v>5.5517241379310347</v>
      </c>
      <c r="E41" s="227">
        <f>0.0035*E30/(0.0035+E19)</f>
        <v>5.5517241379310347</v>
      </c>
      <c r="F41" s="180" t="s">
        <v>19</v>
      </c>
      <c r="G41" s="205" t="s">
        <v>250</v>
      </c>
      <c r="H41" s="224" t="s">
        <v>216</v>
      </c>
    </row>
    <row r="42" spans="1:10" ht="14.1" customHeight="1" x14ac:dyDescent="0.2">
      <c r="A42" s="159" t="s">
        <v>251</v>
      </c>
      <c r="B42" s="234" t="s">
        <v>217</v>
      </c>
      <c r="C42" s="234" t="s">
        <v>217</v>
      </c>
      <c r="D42" s="234" t="s">
        <v>217</v>
      </c>
      <c r="E42" s="234" t="s">
        <v>217</v>
      </c>
      <c r="F42" s="180"/>
      <c r="G42" s="205" t="s">
        <v>252</v>
      </c>
      <c r="H42" s="224" t="s">
        <v>272</v>
      </c>
    </row>
    <row r="43" spans="1:10" ht="14.1" customHeight="1" x14ac:dyDescent="0.2">
      <c r="A43" s="159" t="s">
        <v>251</v>
      </c>
      <c r="B43" s="227">
        <f>IF(B42="xduc",B40,B41)</f>
        <v>4.5</v>
      </c>
      <c r="C43" s="227">
        <f>IF(C42="xduc",C40,C41)</f>
        <v>4.5</v>
      </c>
      <c r="D43" s="227">
        <f>IF(D42="xduc",D40,D41)</f>
        <v>4.05</v>
      </c>
      <c r="E43" s="227">
        <f>IF(E42="xduc",E40,E41)</f>
        <v>4.05</v>
      </c>
      <c r="F43" s="180" t="s">
        <v>19</v>
      </c>
      <c r="G43" s="205" t="s">
        <v>253</v>
      </c>
      <c r="H43" s="224" t="s">
        <v>218</v>
      </c>
    </row>
    <row r="44" spans="1:10" ht="14.1" customHeight="1" x14ac:dyDescent="0.2">
      <c r="A44" s="205" t="s">
        <v>634</v>
      </c>
      <c r="B44" s="227"/>
      <c r="C44" s="227"/>
      <c r="D44" s="227"/>
      <c r="E44" s="227"/>
      <c r="F44" s="180"/>
      <c r="G44" s="205"/>
      <c r="H44" s="224"/>
    </row>
    <row r="45" spans="1:10" ht="14.1" customHeight="1" x14ac:dyDescent="0.2">
      <c r="A45" s="159" t="s">
        <v>286</v>
      </c>
      <c r="B45" s="225">
        <f>(B24-B25)*B27*B11*(B10/10)*(B30-0.5*B27)/100</f>
        <v>0</v>
      </c>
      <c r="C45" s="225">
        <f>(C24-C25)*C27*C11*(C10/10)*(C30-0.5*C27)/100</f>
        <v>0</v>
      </c>
      <c r="D45" s="225">
        <f>(D24-D25)*D27*D11*(D10/10)*(D30-0.5*D27)/100</f>
        <v>0</v>
      </c>
      <c r="E45" s="225">
        <f>(E24-E25)*E27*E11*(E10/10)*(E30-0.5*E27)/100</f>
        <v>0</v>
      </c>
      <c r="F45" s="180" t="s">
        <v>213</v>
      </c>
      <c r="G45" s="205" t="s">
        <v>287</v>
      </c>
      <c r="H45" s="224" t="s">
        <v>632</v>
      </c>
    </row>
    <row r="46" spans="1:10" ht="14.1" customHeight="1" x14ac:dyDescent="0.2">
      <c r="A46" s="159" t="s">
        <v>288</v>
      </c>
      <c r="B46" s="227">
        <f>(B24-B25)*B27*B11*B10/B17</f>
        <v>0</v>
      </c>
      <c r="C46" s="227">
        <f>(C24-C25)*C27*C11*C10/C17</f>
        <v>0</v>
      </c>
      <c r="D46" s="227">
        <f>(D24-D25)*D27*D11*D10/D17</f>
        <v>0</v>
      </c>
      <c r="E46" s="227">
        <f>(E24-E25)*E27*E11*E10/E17</f>
        <v>0</v>
      </c>
      <c r="F46" s="180" t="s">
        <v>246</v>
      </c>
      <c r="G46" s="205" t="s">
        <v>289</v>
      </c>
      <c r="H46" s="224" t="s">
        <v>633</v>
      </c>
    </row>
    <row r="47" spans="1:10" ht="14.1" customHeight="1" x14ac:dyDescent="0.2">
      <c r="A47" s="159" t="s">
        <v>292</v>
      </c>
      <c r="B47" s="225">
        <f>B25*B12*B43*B11*(B10/10)*(B30-0.5*B12*B43)/100</f>
        <v>39.342857142857149</v>
      </c>
      <c r="C47" s="225">
        <f>C25*C12*C43*C11*(C10/10)*(C30-0.5*C12*C43)/100</f>
        <v>39.342857142857149</v>
      </c>
      <c r="D47" s="225">
        <f>D25*D12*D43*D11*(D10/10)*(D30-0.5*D12*D43)/100</f>
        <v>33.874200000000002</v>
      </c>
      <c r="E47" s="225">
        <f>E25*E12*E43*E11*(E10/10)*(E30-0.5*E12*E43)/100</f>
        <v>33.874200000000002</v>
      </c>
      <c r="F47" s="180" t="s">
        <v>213</v>
      </c>
      <c r="G47" s="205" t="s">
        <v>293</v>
      </c>
      <c r="H47" s="224" t="s">
        <v>274</v>
      </c>
    </row>
    <row r="48" spans="1:10" ht="14.1" customHeight="1" x14ac:dyDescent="0.2">
      <c r="A48" s="159" t="s">
        <v>294</v>
      </c>
      <c r="B48" s="227">
        <f>B25*B12*B43*B11*B10/B17</f>
        <v>12.567857142857143</v>
      </c>
      <c r="C48" s="227">
        <f>C25*C12*C43*C11*C10/C17</f>
        <v>12.567857142857143</v>
      </c>
      <c r="D48" s="227">
        <f>D25*D12*D43*D11*D10/D17</f>
        <v>10.557</v>
      </c>
      <c r="E48" s="227">
        <f>E25*E12*E43*E11*E10/E17</f>
        <v>10.557</v>
      </c>
      <c r="F48" s="180" t="s">
        <v>246</v>
      </c>
      <c r="G48" s="205" t="s">
        <v>295</v>
      </c>
      <c r="H48" s="224" t="s">
        <v>275</v>
      </c>
    </row>
    <row r="49" spans="1:8" ht="14.1" customHeight="1" x14ac:dyDescent="0.2">
      <c r="A49" s="159" t="s">
        <v>254</v>
      </c>
      <c r="B49" s="225">
        <f t="shared" ref="B49:E50" si="0">B45+B47</f>
        <v>39.342857142857149</v>
      </c>
      <c r="C49" s="225">
        <f t="shared" si="0"/>
        <v>39.342857142857149</v>
      </c>
      <c r="D49" s="225">
        <f t="shared" si="0"/>
        <v>33.874200000000002</v>
      </c>
      <c r="E49" s="225">
        <f t="shared" si="0"/>
        <v>33.874200000000002</v>
      </c>
      <c r="F49" s="180" t="s">
        <v>213</v>
      </c>
      <c r="G49" s="205" t="s">
        <v>296</v>
      </c>
      <c r="H49" s="224" t="s">
        <v>219</v>
      </c>
    </row>
    <row r="50" spans="1:8" ht="14.1" customHeight="1" x14ac:dyDescent="0.2">
      <c r="A50" s="159" t="s">
        <v>172</v>
      </c>
      <c r="B50" s="227">
        <f t="shared" si="0"/>
        <v>12.567857142857143</v>
      </c>
      <c r="C50" s="227">
        <f t="shared" si="0"/>
        <v>12.567857142857143</v>
      </c>
      <c r="D50" s="227">
        <f t="shared" si="0"/>
        <v>10.557</v>
      </c>
      <c r="E50" s="227">
        <f t="shared" si="0"/>
        <v>10.557</v>
      </c>
      <c r="F50" s="180" t="s">
        <v>246</v>
      </c>
      <c r="G50" s="205" t="s">
        <v>297</v>
      </c>
      <c r="H50" s="224" t="s">
        <v>220</v>
      </c>
    </row>
    <row r="51" spans="1:8" ht="14.1" customHeight="1" x14ac:dyDescent="0.2">
      <c r="A51" s="159" t="s">
        <v>255</v>
      </c>
      <c r="B51" s="227">
        <f>B38/B49</f>
        <v>0.30086729484386343</v>
      </c>
      <c r="C51" s="227">
        <f>C38/C49</f>
        <v>0.20741909949164844</v>
      </c>
      <c r="D51" s="227">
        <f>D38/D49</f>
        <v>0.33695938944683568</v>
      </c>
      <c r="E51" s="227">
        <f>E38/E49</f>
        <v>0.23230113183484771</v>
      </c>
      <c r="F51" s="180"/>
      <c r="G51" s="205" t="s">
        <v>255</v>
      </c>
      <c r="H51" s="205" t="s">
        <v>256</v>
      </c>
    </row>
    <row r="52" spans="1:8" ht="14.1" customHeight="1" x14ac:dyDescent="0.2">
      <c r="A52" s="205" t="s">
        <v>283</v>
      </c>
      <c r="B52" s="227"/>
      <c r="C52" s="227"/>
      <c r="D52" s="227"/>
      <c r="E52" s="227"/>
      <c r="F52" s="180"/>
      <c r="G52" s="205"/>
      <c r="H52" s="224"/>
    </row>
    <row r="53" spans="1:8" ht="14.1" customHeight="1" x14ac:dyDescent="0.2">
      <c r="A53" s="158" t="s">
        <v>257</v>
      </c>
      <c r="B53" s="227">
        <f>MAX(B38-B49,0)</f>
        <v>0</v>
      </c>
      <c r="C53" s="227">
        <f>MAX(C38-C49,0)</f>
        <v>0</v>
      </c>
      <c r="D53" s="227">
        <f>MAX(D38-D49,0)</f>
        <v>0</v>
      </c>
      <c r="E53" s="227">
        <f>MAX(E38-E49,0)</f>
        <v>0</v>
      </c>
      <c r="F53" s="180" t="s">
        <v>213</v>
      </c>
      <c r="G53" s="205" t="s">
        <v>258</v>
      </c>
      <c r="H53" s="217" t="s">
        <v>222</v>
      </c>
    </row>
    <row r="54" spans="1:8" ht="14.1" customHeight="1" x14ac:dyDescent="0.2">
      <c r="A54" s="159" t="s">
        <v>223</v>
      </c>
      <c r="B54" s="243" t="str">
        <f>IF(B38&lt;=B49,"simples","dupla")</f>
        <v>simples</v>
      </c>
      <c r="C54" s="243" t="str">
        <f>IF(C38&lt;=C49,"simples","dupla")</f>
        <v>simples</v>
      </c>
      <c r="D54" s="243" t="str">
        <f>IF(D38&lt;=D49,"simples","dupla")</f>
        <v>simples</v>
      </c>
      <c r="E54" s="243" t="str">
        <f>IF(E38&lt;=E49,"simples","dupla")</f>
        <v>simples</v>
      </c>
      <c r="F54" s="159"/>
      <c r="G54" s="205" t="s">
        <v>259</v>
      </c>
      <c r="H54" s="235" t="s">
        <v>224</v>
      </c>
    </row>
    <row r="55" spans="1:8" ht="14.1" customHeight="1" x14ac:dyDescent="0.2">
      <c r="A55" s="180" t="s">
        <v>225</v>
      </c>
      <c r="B55" s="227">
        <f>IF(B54="simples",(B30/B12)*(1-(1-2*B38*100/(B24*B30^2*B11*B10/10))^(1/2)),B43)</f>
        <v>1.1409817925949373</v>
      </c>
      <c r="C55" s="227">
        <f>IF(C54="simples",(C30/C12)*(1-(1-2*C38*100/(C24*C30^2*C11*C10/10))^(1/2)),C43)</f>
        <v>0.77328520283307078</v>
      </c>
      <c r="D55" s="227">
        <f>IF(D54="simples",(D30/D12)*(1-(1-2*D38*100/(D24*D30^2*D11*D10/10))^(1/2)),D43)</f>
        <v>1.1810352060373748</v>
      </c>
      <c r="E55" s="227">
        <f>IF(E54="simples",(E30/E12)*(1-(1-2*E38*100/(E24*E30^2*E11*E10/10))^(1/2)),E43)</f>
        <v>0.79991011156025604</v>
      </c>
      <c r="F55" s="180" t="s">
        <v>19</v>
      </c>
      <c r="G55" s="205" t="s">
        <v>284</v>
      </c>
      <c r="H55" s="224" t="s">
        <v>226</v>
      </c>
    </row>
    <row r="56" spans="1:8" ht="14.1" customHeight="1" x14ac:dyDescent="0.2">
      <c r="A56" s="236" t="s">
        <v>260</v>
      </c>
      <c r="B56" s="227">
        <f>B12*B55</f>
        <v>0.91278543407594981</v>
      </c>
      <c r="C56" s="227">
        <f>C12*C55</f>
        <v>0.61862816226645667</v>
      </c>
      <c r="D56" s="227">
        <f>D12*D55</f>
        <v>0.94482816482989984</v>
      </c>
      <c r="E56" s="227">
        <f>E12*E55</f>
        <v>0.63992808924820488</v>
      </c>
      <c r="F56" s="180" t="s">
        <v>19</v>
      </c>
      <c r="G56" s="237" t="s">
        <v>260</v>
      </c>
      <c r="H56" s="224"/>
    </row>
    <row r="57" spans="1:8" ht="14.1" customHeight="1" x14ac:dyDescent="0.2">
      <c r="A57" s="159" t="s">
        <v>261</v>
      </c>
      <c r="B57" s="227">
        <f>B53*100/((B21/10)*(B30-B31))</f>
        <v>0</v>
      </c>
      <c r="C57" s="227">
        <f>C53*100/((C21/10)*(C30-C31))</f>
        <v>0</v>
      </c>
      <c r="D57" s="227">
        <f>D53*100/((D21/10)*(D30-D31))</f>
        <v>0</v>
      </c>
      <c r="E57" s="227">
        <f>E53*100/((E21/10)*(E30-E31))</f>
        <v>0</v>
      </c>
      <c r="F57" s="180" t="s">
        <v>246</v>
      </c>
      <c r="G57" s="239" t="s">
        <v>262</v>
      </c>
      <c r="H57" s="224" t="s">
        <v>227</v>
      </c>
    </row>
    <row r="58" spans="1:8" ht="14.1" customHeight="1" x14ac:dyDescent="0.2">
      <c r="A58" s="159" t="s">
        <v>635</v>
      </c>
      <c r="B58" s="227">
        <f>IF(B54="simples",B24*B12*B55*B11*B10/B17,B50+B57*B21/B17)</f>
        <v>3.1865991493187171</v>
      </c>
      <c r="C58" s="227">
        <f>IF(C54="simples",C24*C12*C55*C11*C10/C17,C50+C57*C21/C17)</f>
        <v>2.1596751021980762</v>
      </c>
      <c r="D58" s="227">
        <f>IF(D54="simples",D24*D12*D55*D11*D10/D17,D50+D57*D21/D17)</f>
        <v>3.0785651037374238</v>
      </c>
      <c r="E58" s="227">
        <f>IF(E54="simples",E24*E12*E55*E11*E10/E17,E50+E57*E21/E17)</f>
        <v>2.0850990241337342</v>
      </c>
      <c r="F58" s="180" t="s">
        <v>246</v>
      </c>
      <c r="G58" s="205" t="s">
        <v>637</v>
      </c>
      <c r="H58" s="224" t="s">
        <v>636</v>
      </c>
    </row>
    <row r="59" spans="1:8" ht="14.1" customHeight="1" x14ac:dyDescent="0.2">
      <c r="A59" s="159" t="s">
        <v>173</v>
      </c>
      <c r="B59" s="227">
        <f>B80*B32</f>
        <v>1.206</v>
      </c>
      <c r="C59" s="282">
        <f>IF(C5=2,C80*C32,MAX(C80*C32,0.9,0.2*B58))</f>
        <v>1.206</v>
      </c>
      <c r="D59" s="227">
        <f>D79*D25*D30</f>
        <v>1.2004031145670409</v>
      </c>
      <c r="E59" s="282">
        <f>IF(E5=2,E79*E25*E30,MAX(E79*E25*E30,0.2*D58))</f>
        <v>1.2004031145670409</v>
      </c>
      <c r="F59" s="180" t="s">
        <v>246</v>
      </c>
      <c r="G59" s="205" t="s">
        <v>646</v>
      </c>
      <c r="H59" s="224" t="s">
        <v>228</v>
      </c>
    </row>
    <row r="60" spans="1:8" ht="14.1" customHeight="1" x14ac:dyDescent="0.2">
      <c r="A60" s="159"/>
      <c r="B60" s="227"/>
      <c r="C60" s="227"/>
      <c r="D60" s="227"/>
      <c r="E60" s="227"/>
      <c r="F60" s="180"/>
      <c r="G60" s="205" t="s">
        <v>647</v>
      </c>
      <c r="H60" s="224"/>
    </row>
    <row r="61" spans="1:8" ht="14.1" customHeight="1" x14ac:dyDescent="0.2">
      <c r="A61" s="205" t="s">
        <v>285</v>
      </c>
      <c r="B61" s="238"/>
      <c r="C61" s="238"/>
      <c r="D61" s="238"/>
      <c r="E61" s="238"/>
      <c r="F61" s="180"/>
      <c r="G61" s="216"/>
      <c r="H61" s="216"/>
    </row>
    <row r="62" spans="1:8" ht="14.1" customHeight="1" x14ac:dyDescent="0.2">
      <c r="A62" s="159" t="s">
        <v>290</v>
      </c>
      <c r="B62" s="225">
        <f>B38-B45</f>
        <v>11.836978999999999</v>
      </c>
      <c r="C62" s="225">
        <f>C38-C45</f>
        <v>8.1604599999999987</v>
      </c>
      <c r="D62" s="225">
        <f>D38-D45</f>
        <v>11.414229750000002</v>
      </c>
      <c r="E62" s="225">
        <f>E38-E45</f>
        <v>7.8690149999999992</v>
      </c>
      <c r="F62" s="180" t="s">
        <v>213</v>
      </c>
      <c r="G62" s="216" t="s">
        <v>291</v>
      </c>
      <c r="H62" s="224" t="s">
        <v>273</v>
      </c>
    </row>
    <row r="63" spans="1:8" ht="14.1" customHeight="1" x14ac:dyDescent="0.2">
      <c r="A63" s="158" t="s">
        <v>298</v>
      </c>
      <c r="B63" s="227">
        <f>MAX(B62-B47,0)</f>
        <v>0</v>
      </c>
      <c r="C63" s="227">
        <f>MAX(C62-C47,0)</f>
        <v>0</v>
      </c>
      <c r="D63" s="227">
        <f>MAX(D62-D47,0)</f>
        <v>0</v>
      </c>
      <c r="E63" s="227">
        <f>MAX(E62-E47,0)</f>
        <v>0</v>
      </c>
      <c r="F63" s="180" t="s">
        <v>213</v>
      </c>
      <c r="G63" s="205" t="s">
        <v>299</v>
      </c>
      <c r="H63" s="217" t="s">
        <v>222</v>
      </c>
    </row>
    <row r="64" spans="1:8" ht="14.1" customHeight="1" x14ac:dyDescent="0.2">
      <c r="A64" s="159" t="s">
        <v>223</v>
      </c>
      <c r="B64" s="243" t="str">
        <f>IF(B38&lt;=B49,"simples","dupla")</f>
        <v>simples</v>
      </c>
      <c r="C64" s="243" t="str">
        <f>IF(C38&lt;=C49,"simples","dupla")</f>
        <v>simples</v>
      </c>
      <c r="D64" s="243" t="str">
        <f>IF(D38&lt;=D49,"simples","dupla")</f>
        <v>simples</v>
      </c>
      <c r="E64" s="243" t="str">
        <f>IF(E38&lt;=E49,"simples","dupla")</f>
        <v>simples</v>
      </c>
      <c r="F64" s="159"/>
      <c r="G64" s="205" t="s">
        <v>259</v>
      </c>
      <c r="H64" s="235" t="s">
        <v>224</v>
      </c>
    </row>
    <row r="65" spans="1:8" ht="14.1" customHeight="1" x14ac:dyDescent="0.2">
      <c r="A65" s="180" t="s">
        <v>225</v>
      </c>
      <c r="B65" s="227">
        <f>IF(B64="simples",(B30/B12)*(1-(1-2*B62*100/(B25*B30^2*B11*B10/10))^(1/2)),B43)</f>
        <v>1.1409817925949373</v>
      </c>
      <c r="C65" s="227">
        <f>IF(C64="simples",(C30/C12)*(1-(1-2*C62*100/(C25*C30^2*C11*C10/10))^(1/2)),C43)</f>
        <v>0.77328520283307078</v>
      </c>
      <c r="D65" s="227">
        <f>IF(D64="simples",(D30/D12)*(1-(1-2*D62*100/(D25*D30^2*D11*D10/10))^(1/2)),D43)</f>
        <v>1.1810352060373748</v>
      </c>
      <c r="E65" s="227">
        <f>IF(E64="simples",(E30/E12)*(1-(1-2*E62*100/(E25*E30^2*E11*E10/10))^(1/2)),E43)</f>
        <v>0.79991011156025604</v>
      </c>
      <c r="F65" s="180" t="s">
        <v>19</v>
      </c>
      <c r="G65" s="205" t="s">
        <v>300</v>
      </c>
      <c r="H65" s="224" t="s">
        <v>226</v>
      </c>
    </row>
    <row r="66" spans="1:8" ht="14.1" customHeight="1" x14ac:dyDescent="0.2">
      <c r="A66" s="236" t="s">
        <v>260</v>
      </c>
      <c r="B66" s="227">
        <f>B12*B65</f>
        <v>0.91278543407594981</v>
      </c>
      <c r="C66" s="227">
        <f>C12*C65</f>
        <v>0.61862816226645667</v>
      </c>
      <c r="D66" s="227">
        <f>D12*D65</f>
        <v>0.94482816482989984</v>
      </c>
      <c r="E66" s="227">
        <f>E12*E65</f>
        <v>0.63992808924820488</v>
      </c>
      <c r="F66" s="180" t="s">
        <v>19</v>
      </c>
      <c r="G66" s="237" t="s">
        <v>260</v>
      </c>
      <c r="H66" s="224"/>
    </row>
    <row r="67" spans="1:8" ht="14.1" customHeight="1" x14ac:dyDescent="0.2">
      <c r="A67" s="159" t="s">
        <v>261</v>
      </c>
      <c r="B67" s="227">
        <f>B63*100/((B21/10)*(B30-B31))</f>
        <v>0</v>
      </c>
      <c r="C67" s="227">
        <f>C63*100/((C21/10)*(C30-C31))</f>
        <v>0</v>
      </c>
      <c r="D67" s="227">
        <f>D63*100/((D21/10)*(D30-D31))</f>
        <v>0</v>
      </c>
      <c r="E67" s="227">
        <f>E63*100/((E21/10)*(E30-E31))</f>
        <v>0</v>
      </c>
      <c r="F67" s="180" t="s">
        <v>246</v>
      </c>
      <c r="G67" s="239" t="s">
        <v>301</v>
      </c>
      <c r="H67" s="224" t="s">
        <v>227</v>
      </c>
    </row>
    <row r="68" spans="1:8" ht="14.1" customHeight="1" x14ac:dyDescent="0.2">
      <c r="A68" s="159" t="s">
        <v>635</v>
      </c>
      <c r="B68" s="227">
        <f>IF(B64="simples",B46+B25*B12*B65*B11*B10/B17,B50+B67*B21/B17)</f>
        <v>3.1865991493187171</v>
      </c>
      <c r="C68" s="227">
        <f>IF(C64="simples",C46+C25*C12*C65*C11*C10/C17,C50+C67*C21/C17)</f>
        <v>2.1596751021980762</v>
      </c>
      <c r="D68" s="227">
        <f>IF(D64="simples",D46+D25*D12*D65*D11*D10/D17,D50+D67*D21/D17)</f>
        <v>3.0785651037374238</v>
      </c>
      <c r="E68" s="227">
        <f>IF(E64="simples",E46+E25*E12*E65*E11*E10/E17,E50+E67*E21/E17)</f>
        <v>2.0850990241337342</v>
      </c>
      <c r="F68" s="180" t="s">
        <v>246</v>
      </c>
      <c r="G68" s="205" t="s">
        <v>638</v>
      </c>
      <c r="H68" s="224" t="s">
        <v>636</v>
      </c>
    </row>
    <row r="69" spans="1:8" ht="14.1" customHeight="1" x14ac:dyDescent="0.2">
      <c r="A69" s="159" t="s">
        <v>173</v>
      </c>
      <c r="B69" s="227">
        <f>B80*B32</f>
        <v>1.206</v>
      </c>
      <c r="C69" s="282">
        <f>IF(C5=2,C80*C32,MAX(C80*C32,0.9,0.2*B68))</f>
        <v>1.206</v>
      </c>
      <c r="D69" s="227">
        <f>D79*D25*D30</f>
        <v>1.2004031145670409</v>
      </c>
      <c r="E69" s="282">
        <f>IF(E5=2,E79*E25*E30,MAX(E79*E25*E30,0.2*D58))</f>
        <v>1.2004031145670409</v>
      </c>
      <c r="F69" s="180" t="s">
        <v>246</v>
      </c>
      <c r="G69" s="205" t="s">
        <v>646</v>
      </c>
      <c r="H69" s="224" t="s">
        <v>228</v>
      </c>
    </row>
    <row r="70" spans="1:8" ht="14.1" customHeight="1" x14ac:dyDescent="0.2">
      <c r="A70" s="159"/>
      <c r="B70" s="227"/>
      <c r="C70" s="227"/>
      <c r="D70" s="227"/>
      <c r="E70" s="227"/>
      <c r="F70" s="180"/>
      <c r="G70" s="205" t="s">
        <v>647</v>
      </c>
      <c r="H70" s="224"/>
    </row>
    <row r="71" spans="1:8" ht="14.1" customHeight="1" x14ac:dyDescent="0.2">
      <c r="A71" s="205" t="s">
        <v>649</v>
      </c>
      <c r="B71" s="227"/>
      <c r="C71" s="227"/>
      <c r="D71" s="227"/>
      <c r="E71" s="227"/>
      <c r="F71" s="180"/>
      <c r="G71" s="205"/>
      <c r="H71" s="205"/>
    </row>
    <row r="72" spans="1:8" ht="14.1" customHeight="1" x14ac:dyDescent="0.2">
      <c r="A72" s="159" t="s">
        <v>302</v>
      </c>
      <c r="B72" s="225">
        <f>B24*B27*B11*(B10/10)*(B30-0.5*B27)/100</f>
        <v>54.642857142857146</v>
      </c>
      <c r="C72" s="225">
        <f>C24*C27*C11*(C10/10)*(C30-0.5*C27)/100</f>
        <v>54.642857142857146</v>
      </c>
      <c r="D72" s="225">
        <f>D24*D27*D11*(D10/10)*(D30-0.5*D27)/100</f>
        <v>51</v>
      </c>
      <c r="E72" s="225">
        <f>E24*E27*E11*(E10/10)*(E30-0.5*E27)/100</f>
        <v>51</v>
      </c>
      <c r="F72" s="180" t="s">
        <v>213</v>
      </c>
      <c r="G72" s="205" t="s">
        <v>303</v>
      </c>
      <c r="H72" s="224" t="s">
        <v>277</v>
      </c>
    </row>
    <row r="73" spans="1:8" ht="14.1" customHeight="1" x14ac:dyDescent="0.2">
      <c r="A73" s="159" t="s">
        <v>278</v>
      </c>
      <c r="B73" s="242" t="str">
        <f>IF(B38&lt;=B72,"T1","T2")</f>
        <v>T1</v>
      </c>
      <c r="C73" s="242" t="str">
        <f>IF(C38&lt;=C72,"T1","T2")</f>
        <v>T1</v>
      </c>
      <c r="D73" s="242" t="str">
        <f>IF(D38&lt;=D72,"T1","T2")</f>
        <v>T1</v>
      </c>
      <c r="E73" s="242" t="str">
        <f>IF(E38&lt;=E72,"T1","T2")</f>
        <v>T1</v>
      </c>
      <c r="F73" s="180"/>
      <c r="G73" s="205" t="s">
        <v>304</v>
      </c>
      <c r="H73" s="224"/>
    </row>
    <row r="74" spans="1:8" ht="14.1" customHeight="1" x14ac:dyDescent="0.2">
      <c r="A74" s="216" t="s">
        <v>221</v>
      </c>
      <c r="B74" s="227"/>
      <c r="C74" s="227"/>
      <c r="D74" s="227"/>
      <c r="E74" s="227"/>
      <c r="F74" s="180"/>
      <c r="G74" s="205"/>
      <c r="H74" s="205"/>
    </row>
    <row r="75" spans="1:8" ht="14.1" customHeight="1" x14ac:dyDescent="0.2">
      <c r="A75" s="159" t="s">
        <v>223</v>
      </c>
      <c r="B75" s="238" t="str">
        <f>IF(B73="T1",B54,B64)</f>
        <v>simples</v>
      </c>
      <c r="C75" s="238" t="str">
        <f>IF(C73="T1",C54,C64)</f>
        <v>simples</v>
      </c>
      <c r="D75" s="238" t="str">
        <f>IF(D73="T1",D54,D64)</f>
        <v>simples</v>
      </c>
      <c r="E75" s="238" t="str">
        <f>IF(E73="T1",E54,E64)</f>
        <v>simples</v>
      </c>
      <c r="F75" s="180"/>
      <c r="G75" s="205" t="s">
        <v>259</v>
      </c>
      <c r="H75" s="205"/>
    </row>
    <row r="76" spans="1:8" ht="14.1" customHeight="1" x14ac:dyDescent="0.2">
      <c r="A76" s="159" t="s">
        <v>225</v>
      </c>
      <c r="B76" s="227">
        <f>IF(B73="T1",B55,B65)</f>
        <v>1.1409817925949373</v>
      </c>
      <c r="C76" s="227">
        <f>IF(C73="T1",C55,C65)</f>
        <v>0.77328520283307078</v>
      </c>
      <c r="D76" s="227">
        <f>IF(D73="T1",D55,D65)</f>
        <v>1.1810352060373748</v>
      </c>
      <c r="E76" s="227">
        <f>IF(E73="T1",E55,E65)</f>
        <v>0.79991011156025604</v>
      </c>
      <c r="F76" s="180" t="s">
        <v>19</v>
      </c>
      <c r="G76" s="205" t="s">
        <v>305</v>
      </c>
      <c r="H76" s="224" t="s">
        <v>226</v>
      </c>
    </row>
    <row r="77" spans="1:8" ht="14.1" customHeight="1" x14ac:dyDescent="0.2">
      <c r="A77" s="236" t="s">
        <v>260</v>
      </c>
      <c r="B77" s="227">
        <f>B12*B76</f>
        <v>0.91278543407594981</v>
      </c>
      <c r="C77" s="227">
        <f>C12*C76</f>
        <v>0.61862816226645667</v>
      </c>
      <c r="D77" s="227">
        <f>D12*D76</f>
        <v>0.94482816482989984</v>
      </c>
      <c r="E77" s="227">
        <f>E12*E76</f>
        <v>0.63992808924820488</v>
      </c>
      <c r="F77" s="180" t="s">
        <v>19</v>
      </c>
      <c r="G77" s="237" t="s">
        <v>260</v>
      </c>
      <c r="H77" s="224"/>
    </row>
    <row r="78" spans="1:8" ht="14.1" customHeight="1" x14ac:dyDescent="0.2">
      <c r="A78" s="159" t="s">
        <v>261</v>
      </c>
      <c r="B78" s="238">
        <f>IF(B73="T1",B57,B67)</f>
        <v>0</v>
      </c>
      <c r="C78" s="238">
        <f>IF(C73="T1",C57,C67)</f>
        <v>0</v>
      </c>
      <c r="D78" s="238">
        <f>IF(D73="T1",D57,D67)</f>
        <v>0</v>
      </c>
      <c r="E78" s="238">
        <f>IF(E73="T1",E57,E67)</f>
        <v>0</v>
      </c>
      <c r="F78" s="180" t="s">
        <v>246</v>
      </c>
      <c r="G78" s="205" t="s">
        <v>306</v>
      </c>
      <c r="H78" s="224" t="s">
        <v>227</v>
      </c>
    </row>
    <row r="79" spans="1:8" ht="14.1" customHeight="1" x14ac:dyDescent="0.2">
      <c r="A79" s="158" t="s">
        <v>622</v>
      </c>
      <c r="B79" s="335">
        <f>MAX(0.15/100,IF(B23="R",0.035,0.024)*B10/B17)</f>
        <v>1.5E-3</v>
      </c>
      <c r="C79" s="335">
        <f>MAX(0.15/100,IF(C23="R",0.035,0.024)*C10/C17)</f>
        <v>1.5E-3</v>
      </c>
      <c r="D79" s="335">
        <f>MAX(0.13/100,0.26*D13/D15)</f>
        <v>1.3337812384078232E-3</v>
      </c>
      <c r="E79" s="335">
        <f>MAX(0.13/100,0.26*E13/E15)</f>
        <v>1.3337812384078232E-3</v>
      </c>
      <c r="F79" s="180"/>
      <c r="G79" s="205" t="s">
        <v>644</v>
      </c>
      <c r="H79" s="224" t="s">
        <v>621</v>
      </c>
    </row>
    <row r="80" spans="1:8" ht="14.1" customHeight="1" x14ac:dyDescent="0.2">
      <c r="A80" s="158" t="s">
        <v>620</v>
      </c>
      <c r="B80" s="335">
        <f>IF(B5=2,0.67,1)*B79</f>
        <v>1.005E-3</v>
      </c>
      <c r="C80" s="335">
        <f>IF(C5=2,0.67,0.5)*C79</f>
        <v>1.005E-3</v>
      </c>
      <c r="D80" s="335" t="s">
        <v>526</v>
      </c>
      <c r="E80" s="335" t="s">
        <v>526</v>
      </c>
      <c r="F80" s="180"/>
      <c r="G80" s="205" t="s">
        <v>651</v>
      </c>
      <c r="H80" s="224" t="s">
        <v>621</v>
      </c>
    </row>
    <row r="81" spans="1:8" ht="14.1" customHeight="1" x14ac:dyDescent="0.2">
      <c r="A81" s="159" t="s">
        <v>173</v>
      </c>
      <c r="B81" s="227">
        <f>IF(B73="T1",B59,B69)</f>
        <v>1.206</v>
      </c>
      <c r="C81" s="227">
        <f>IF(C73="T1",C59,C69)</f>
        <v>1.206</v>
      </c>
      <c r="D81" s="227">
        <f>IF(D73="T1",D59,D69)</f>
        <v>1.2004031145670409</v>
      </c>
      <c r="E81" s="227">
        <f>IF(E73="T1",E59,E69)</f>
        <v>1.2004031145670409</v>
      </c>
      <c r="F81" s="180" t="s">
        <v>246</v>
      </c>
      <c r="G81" s="205" t="s">
        <v>640</v>
      </c>
      <c r="H81" s="224" t="s">
        <v>228</v>
      </c>
    </row>
    <row r="82" spans="1:8" ht="14.1" customHeight="1" x14ac:dyDescent="0.2">
      <c r="A82" s="159" t="s">
        <v>138</v>
      </c>
      <c r="B82" s="238">
        <f>IF(B73="T1",MAX(B58,B81),MAX(B68,C81))</f>
        <v>3.1865991493187171</v>
      </c>
      <c r="C82" s="238">
        <f>IF(C73="T1",C58,C68)</f>
        <v>2.1596751021980762</v>
      </c>
      <c r="D82" s="238">
        <f>IF(D73="T1",MAX(D58,D81),MAX(D68,E81))</f>
        <v>3.0785651037374238</v>
      </c>
      <c r="E82" s="238">
        <f>IF(E73="T1",E58,E68)</f>
        <v>2.0850990241337342</v>
      </c>
      <c r="F82" s="180" t="s">
        <v>246</v>
      </c>
      <c r="G82" s="205" t="s">
        <v>639</v>
      </c>
      <c r="H82" s="224" t="s">
        <v>229</v>
      </c>
    </row>
    <row r="83" spans="1:8" ht="14.1" customHeight="1" x14ac:dyDescent="0.2">
      <c r="A83" s="180" t="s">
        <v>263</v>
      </c>
      <c r="B83" s="227">
        <f>B78+B82</f>
        <v>3.1865991493187171</v>
      </c>
      <c r="C83" s="227">
        <f>C78+C82</f>
        <v>2.1596751021980762</v>
      </c>
      <c r="D83" s="227">
        <f>D78+D82</f>
        <v>3.0785651037374238</v>
      </c>
      <c r="E83" s="227">
        <f>E78+E82</f>
        <v>2.0850990241337342</v>
      </c>
      <c r="F83" s="180" t="s">
        <v>246</v>
      </c>
      <c r="G83" s="216" t="s">
        <v>263</v>
      </c>
      <c r="H83" s="217" t="s">
        <v>230</v>
      </c>
    </row>
    <row r="84" spans="1:8" ht="14.1" customHeight="1" x14ac:dyDescent="0.2">
      <c r="A84" s="159" t="s">
        <v>264</v>
      </c>
      <c r="B84" s="227">
        <f>(4/100)*B32</f>
        <v>48</v>
      </c>
      <c r="C84" s="227">
        <f>(4/100)*C32</f>
        <v>48</v>
      </c>
      <c r="D84" s="227">
        <f>(4/100)*D32</f>
        <v>48</v>
      </c>
      <c r="E84" s="227">
        <f>(4/100)*E32</f>
        <v>48</v>
      </c>
      <c r="F84" s="180" t="s">
        <v>246</v>
      </c>
      <c r="G84" s="205" t="s">
        <v>307</v>
      </c>
      <c r="H84" s="224" t="s">
        <v>231</v>
      </c>
    </row>
    <row r="85" spans="1:8" ht="14.1" customHeight="1" x14ac:dyDescent="0.2">
      <c r="A85" s="180" t="s">
        <v>265</v>
      </c>
      <c r="B85" s="238">
        <f>B83/B84</f>
        <v>6.6387482277473278E-2</v>
      </c>
      <c r="C85" s="238">
        <f>C83/C84</f>
        <v>4.4993231295793253E-2</v>
      </c>
      <c r="D85" s="238">
        <f>D83/D84</f>
        <v>6.4136772994529662E-2</v>
      </c>
      <c r="E85" s="238">
        <f>E83/E84</f>
        <v>4.3439563002786126E-2</v>
      </c>
      <c r="F85" s="180"/>
      <c r="G85" s="216" t="s">
        <v>265</v>
      </c>
      <c r="H85" s="216" t="s">
        <v>266</v>
      </c>
    </row>
    <row r="86" spans="1:8" ht="14.1" customHeight="1" x14ac:dyDescent="0.2">
      <c r="A86" s="211"/>
      <c r="B86" s="211"/>
      <c r="C86" s="211"/>
      <c r="D86" s="211"/>
      <c r="E86" s="211"/>
      <c r="F86" s="211"/>
      <c r="G86" s="211"/>
      <c r="H86" s="211"/>
    </row>
    <row r="87" spans="1:8" ht="14.1" customHeight="1" x14ac:dyDescent="0.2">
      <c r="A87" s="211"/>
      <c r="B87" s="211"/>
      <c r="C87" s="211"/>
      <c r="D87" s="211"/>
      <c r="E87" s="211"/>
      <c r="F87" s="211"/>
      <c r="G87" s="211"/>
      <c r="H87" s="211"/>
    </row>
    <row r="88" spans="1:8" ht="14.1" customHeight="1" x14ac:dyDescent="0.2">
      <c r="A88" s="211"/>
      <c r="B88" s="211"/>
      <c r="C88" s="211"/>
      <c r="D88" s="211"/>
      <c r="E88" s="211"/>
      <c r="F88" s="211"/>
      <c r="G88" s="211"/>
      <c r="H88" s="211"/>
    </row>
    <row r="89" spans="1:8" ht="14.1" customHeight="1" x14ac:dyDescent="0.2">
      <c r="A89" s="211"/>
      <c r="B89" s="211"/>
      <c r="C89" s="211"/>
      <c r="D89" s="211"/>
      <c r="E89" s="211"/>
      <c r="F89" s="211"/>
      <c r="G89" s="211"/>
      <c r="H89" s="211"/>
    </row>
    <row r="90" spans="1:8" ht="14.1" customHeight="1" x14ac:dyDescent="0.2">
      <c r="A90" s="211"/>
      <c r="B90" s="211"/>
      <c r="C90" s="211"/>
      <c r="D90" s="211"/>
      <c r="E90" s="211"/>
      <c r="F90" s="211"/>
      <c r="G90" s="211"/>
      <c r="H90" s="211"/>
    </row>
    <row r="91" spans="1:8" ht="15" customHeight="1" x14ac:dyDescent="0.2"/>
    <row r="92" spans="1:8" ht="15" customHeight="1" x14ac:dyDescent="0.2"/>
    <row r="93" spans="1:8" ht="15" customHeight="1" x14ac:dyDescent="0.2"/>
    <row r="94" spans="1:8" ht="15" customHeight="1" x14ac:dyDescent="0.2"/>
    <row r="95" spans="1:8" ht="15" customHeight="1" x14ac:dyDescent="0.2"/>
    <row r="96" spans="1:8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</sheetData>
  <phoneticPr fontId="25" type="noConversion"/>
  <conditionalFormatting sqref="F61">
    <cfRule type="expression" dxfId="18" priority="1" stopIfTrue="1">
      <formula>B61&gt;1</formula>
    </cfRule>
  </conditionalFormatting>
  <conditionalFormatting sqref="B53:E60 B79:E80">
    <cfRule type="expression" dxfId="17" priority="2" stopIfTrue="1">
      <formula>B$73="T2"</formula>
    </cfRule>
  </conditionalFormatting>
  <conditionalFormatting sqref="B62:E70">
    <cfRule type="expression" dxfId="16" priority="3" stopIfTrue="1">
      <formula>B$73="T1"</formula>
    </cfRule>
  </conditionalFormatting>
  <conditionalFormatting sqref="B71:E71">
    <cfRule type="expression" dxfId="15" priority="4" stopIfTrue="1">
      <formula>$B$73="T1"</formula>
    </cfRule>
  </conditionalFormatting>
  <conditionalFormatting sqref="B61:E61">
    <cfRule type="cellIs" dxfId="14" priority="5" stopIfTrue="1" operator="greaterThan">
      <formula>1</formula>
    </cfRule>
  </conditionalFormatting>
  <dataValidations disablePrompts="1" count="1">
    <dataValidation type="list" allowBlank="1" showInputMessage="1" showErrorMessage="1" sqref="B42:E42">
      <formula1>"xduc,x34"</formula1>
    </dataValidation>
  </dataValidations>
  <printOptions horizontalCentered="1" verticalCentered="1"/>
  <pageMargins left="0" right="0.11811023622047245" top="0.56999999999999995" bottom="0.46" header="0.51181102362204722" footer="0.4"/>
  <pageSetup paperSize="9" scale="75" orientation="landscape" blackAndWhite="1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1"/>
  <sheetViews>
    <sheetView showGridLines="0" topLeftCell="A10" zoomScale="117" zoomScaleNormal="117" zoomScaleSheetLayoutView="150" workbookViewId="0">
      <selection activeCell="B20" sqref="B20:E20"/>
    </sheetView>
  </sheetViews>
  <sheetFormatPr defaultRowHeight="12.75" x14ac:dyDescent="0.2"/>
  <cols>
    <col min="1" max="1" width="12.85546875" style="240" customWidth="1"/>
    <col min="2" max="5" width="10.7109375" style="210" customWidth="1"/>
    <col min="6" max="6" width="10.7109375" style="240" customWidth="1"/>
    <col min="7" max="7" width="81.42578125" style="241" customWidth="1"/>
    <col min="8" max="8" width="75.7109375" style="210" customWidth="1"/>
    <col min="9" max="9" width="6.140625" style="210" bestFit="1" customWidth="1"/>
    <col min="10" max="10" width="10.7109375" style="210" bestFit="1" customWidth="1"/>
    <col min="11" max="16384" width="9.140625" style="211"/>
  </cols>
  <sheetData>
    <row r="1" spans="1:12" ht="14.1" customHeight="1" x14ac:dyDescent="0.2">
      <c r="A1" s="206" t="s">
        <v>9</v>
      </c>
      <c r="B1" s="207"/>
      <c r="C1" s="207"/>
      <c r="D1" s="207"/>
      <c r="E1" s="207"/>
      <c r="F1" s="208"/>
      <c r="G1" s="208" t="s">
        <v>10</v>
      </c>
      <c r="H1" s="209" t="s">
        <v>92</v>
      </c>
    </row>
    <row r="2" spans="1:12" ht="14.1" customHeight="1" x14ac:dyDescent="0.2">
      <c r="A2" s="212" t="s">
        <v>188</v>
      </c>
      <c r="B2" s="213"/>
      <c r="C2" s="213"/>
      <c r="D2" s="213"/>
      <c r="E2" s="213"/>
      <c r="F2" s="214"/>
      <c r="G2" s="214" t="s">
        <v>189</v>
      </c>
      <c r="H2" s="215" t="s">
        <v>190</v>
      </c>
    </row>
    <row r="3" spans="1:12" s="220" customFormat="1" ht="14.1" customHeight="1" x14ac:dyDescent="0.2">
      <c r="A3" s="216" t="s">
        <v>656</v>
      </c>
      <c r="B3" s="217"/>
      <c r="C3" s="217"/>
      <c r="D3" s="217"/>
      <c r="E3" s="217"/>
      <c r="F3" s="180"/>
      <c r="G3" s="216"/>
      <c r="H3" s="217"/>
      <c r="I3" s="218"/>
      <c r="J3" s="218"/>
      <c r="K3" s="219"/>
      <c r="L3" s="219"/>
    </row>
    <row r="4" spans="1:12" s="220" customFormat="1" ht="14.1" customHeight="1" x14ac:dyDescent="0.2">
      <c r="A4" s="180" t="s">
        <v>511</v>
      </c>
      <c r="B4" s="221" t="s">
        <v>512</v>
      </c>
      <c r="C4" s="221" t="s">
        <v>512</v>
      </c>
      <c r="D4" s="221" t="s">
        <v>513</v>
      </c>
      <c r="E4" s="221" t="s">
        <v>513</v>
      </c>
      <c r="F4" s="180"/>
      <c r="G4" s="216"/>
      <c r="H4" s="217"/>
      <c r="I4" s="218"/>
      <c r="J4" s="218"/>
      <c r="K4" s="219"/>
      <c r="L4" s="219"/>
    </row>
    <row r="5" spans="1:12" s="220" customFormat="1" ht="14.1" customHeight="1" x14ac:dyDescent="0.2">
      <c r="A5" s="180" t="s">
        <v>619</v>
      </c>
      <c r="B5" s="229">
        <f>Principal!$AA$14</f>
        <v>2</v>
      </c>
      <c r="C5" s="229">
        <f>Principal!$AA$14</f>
        <v>2</v>
      </c>
      <c r="D5" s="229">
        <f>Principal!$AA$14</f>
        <v>2</v>
      </c>
      <c r="E5" s="229">
        <f>Principal!$AA$14</f>
        <v>2</v>
      </c>
      <c r="F5" s="180"/>
      <c r="G5" s="216"/>
      <c r="H5" s="217"/>
      <c r="I5" s="218"/>
      <c r="J5" s="218"/>
      <c r="K5" s="219"/>
      <c r="L5" s="219"/>
    </row>
    <row r="6" spans="1:12" s="220" customFormat="1" ht="14.1" customHeight="1" x14ac:dyDescent="0.3">
      <c r="A6" s="180" t="s">
        <v>645</v>
      </c>
      <c r="B6" s="221" t="s">
        <v>134</v>
      </c>
      <c r="C6" s="221" t="s">
        <v>135</v>
      </c>
      <c r="D6" s="221" t="s">
        <v>134</v>
      </c>
      <c r="E6" s="221" t="s">
        <v>135</v>
      </c>
      <c r="F6" s="180"/>
      <c r="G6" s="216"/>
      <c r="H6" s="217"/>
      <c r="I6" s="218"/>
      <c r="J6" s="218"/>
      <c r="K6" s="219"/>
      <c r="L6" s="219"/>
    </row>
    <row r="7" spans="1:12" s="220" customFormat="1" ht="14.1" customHeight="1" x14ac:dyDescent="0.2">
      <c r="A7" s="216" t="s">
        <v>191</v>
      </c>
      <c r="B7" s="221"/>
      <c r="C7" s="221"/>
      <c r="D7" s="221"/>
      <c r="E7" s="221"/>
      <c r="F7" s="180"/>
      <c r="G7" s="216"/>
      <c r="H7" s="221"/>
      <c r="I7" s="222"/>
      <c r="J7" s="222"/>
    </row>
    <row r="8" spans="1:12" ht="14.1" customHeight="1" x14ac:dyDescent="0.2">
      <c r="A8" s="159" t="s">
        <v>232</v>
      </c>
      <c r="B8" s="260">
        <f>Principal!$D$10</f>
        <v>25</v>
      </c>
      <c r="C8" s="260">
        <f>Principal!$D$10</f>
        <v>25</v>
      </c>
      <c r="D8" s="260">
        <f>Principal!$D$10</f>
        <v>25</v>
      </c>
      <c r="E8" s="260">
        <f>Principal!$D$10</f>
        <v>25</v>
      </c>
      <c r="F8" s="180" t="s">
        <v>192</v>
      </c>
      <c r="G8" s="216"/>
      <c r="H8" s="224" t="s">
        <v>193</v>
      </c>
    </row>
    <row r="9" spans="1:12" ht="14.1" customHeight="1" x14ac:dyDescent="0.2">
      <c r="A9" s="158" t="s">
        <v>12</v>
      </c>
      <c r="B9" s="233">
        <v>1.4</v>
      </c>
      <c r="C9" s="233">
        <v>1.4</v>
      </c>
      <c r="D9" s="233">
        <v>1.5</v>
      </c>
      <c r="E9" s="233">
        <v>1.5</v>
      </c>
      <c r="F9" s="180"/>
      <c r="G9" s="226" t="s">
        <v>642</v>
      </c>
      <c r="H9" s="224" t="s">
        <v>194</v>
      </c>
    </row>
    <row r="10" spans="1:12" ht="14.1" customHeight="1" x14ac:dyDescent="0.2">
      <c r="A10" s="159" t="s">
        <v>233</v>
      </c>
      <c r="B10" s="221">
        <f>B8/B9</f>
        <v>17.857142857142858</v>
      </c>
      <c r="C10" s="221">
        <f>C8/C9</f>
        <v>17.857142857142858</v>
      </c>
      <c r="D10" s="221">
        <f>D8/D9</f>
        <v>16.666666666666668</v>
      </c>
      <c r="E10" s="221">
        <f>E8/E9</f>
        <v>16.666666666666668</v>
      </c>
      <c r="F10" s="180" t="s">
        <v>192</v>
      </c>
      <c r="G10" s="205" t="s">
        <v>234</v>
      </c>
      <c r="H10" s="224" t="s">
        <v>195</v>
      </c>
    </row>
    <row r="11" spans="1:12" ht="14.1" customHeight="1" x14ac:dyDescent="0.2">
      <c r="A11" s="158" t="s">
        <v>139</v>
      </c>
      <c r="B11" s="227">
        <v>0.85</v>
      </c>
      <c r="C11" s="227">
        <v>0.85</v>
      </c>
      <c r="D11" s="227">
        <v>0.85</v>
      </c>
      <c r="E11" s="227">
        <v>0.85</v>
      </c>
      <c r="F11" s="180"/>
      <c r="G11" s="205">
        <v>0.85</v>
      </c>
      <c r="H11" s="217" t="s">
        <v>196</v>
      </c>
    </row>
    <row r="12" spans="1:12" ht="14.1" customHeight="1" x14ac:dyDescent="0.2">
      <c r="A12" s="158" t="s">
        <v>171</v>
      </c>
      <c r="B12" s="227">
        <v>0.8</v>
      </c>
      <c r="C12" s="227">
        <v>0.8</v>
      </c>
      <c r="D12" s="227">
        <v>0.8</v>
      </c>
      <c r="E12" s="227">
        <v>0.8</v>
      </c>
      <c r="F12" s="180"/>
      <c r="G12" s="228">
        <v>0.8</v>
      </c>
      <c r="H12" s="217" t="s">
        <v>235</v>
      </c>
    </row>
    <row r="13" spans="1:12" ht="14.1" customHeight="1" x14ac:dyDescent="0.2">
      <c r="A13" s="159" t="s">
        <v>330</v>
      </c>
      <c r="B13" s="221">
        <f>0.3*B8^(2/3)</f>
        <v>2.5649639200150443</v>
      </c>
      <c r="C13" s="221">
        <f>0.3*C8^(2/3)</f>
        <v>2.5649639200150443</v>
      </c>
      <c r="D13" s="221">
        <f>0.3*D8^(2/3)</f>
        <v>2.5649639200150443</v>
      </c>
      <c r="E13" s="221">
        <f>0.3*E8^(2/3)</f>
        <v>2.5649639200150443</v>
      </c>
      <c r="F13" s="180" t="s">
        <v>192</v>
      </c>
      <c r="G13" s="205" t="s">
        <v>331</v>
      </c>
      <c r="H13" s="224" t="s">
        <v>308</v>
      </c>
    </row>
    <row r="14" spans="1:12" ht="14.1" customHeight="1" x14ac:dyDescent="0.2">
      <c r="A14" s="216" t="s">
        <v>197</v>
      </c>
      <c r="B14" s="221"/>
      <c r="C14" s="221"/>
      <c r="D14" s="221"/>
      <c r="E14" s="221"/>
      <c r="F14" s="180"/>
      <c r="G14" s="216"/>
      <c r="H14" s="221"/>
    </row>
    <row r="15" spans="1:12" ht="14.1" customHeight="1" x14ac:dyDescent="0.2">
      <c r="A15" s="159" t="s">
        <v>236</v>
      </c>
      <c r="B15" s="260">
        <f>Principal!$D$14</f>
        <v>500</v>
      </c>
      <c r="C15" s="260">
        <f>Principal!$D$14</f>
        <v>500</v>
      </c>
      <c r="D15" s="260">
        <f>Principal!$D$14</f>
        <v>500</v>
      </c>
      <c r="E15" s="260">
        <f>Principal!$D$14</f>
        <v>500</v>
      </c>
      <c r="F15" s="180" t="s">
        <v>192</v>
      </c>
      <c r="G15" s="216"/>
      <c r="H15" s="224" t="s">
        <v>198</v>
      </c>
    </row>
    <row r="16" spans="1:12" ht="14.1" customHeight="1" x14ac:dyDescent="0.2">
      <c r="A16" s="158" t="s">
        <v>61</v>
      </c>
      <c r="B16" s="233">
        <v>1.1499999999999999</v>
      </c>
      <c r="C16" s="233">
        <v>1.1499999999999999</v>
      </c>
      <c r="D16" s="233">
        <v>1.1499999999999999</v>
      </c>
      <c r="E16" s="233">
        <v>1.1499999999999999</v>
      </c>
      <c r="F16" s="180"/>
      <c r="G16" s="228">
        <v>1.1499999999999999</v>
      </c>
      <c r="H16" s="224" t="s">
        <v>199</v>
      </c>
    </row>
    <row r="17" spans="1:10" ht="14.1" customHeight="1" x14ac:dyDescent="0.2">
      <c r="A17" s="159" t="s">
        <v>237</v>
      </c>
      <c r="B17" s="227">
        <f>B15/B16</f>
        <v>434.78260869565219</v>
      </c>
      <c r="C17" s="227">
        <f>C15/C16</f>
        <v>434.78260869565219</v>
      </c>
      <c r="D17" s="227">
        <f>D15/D16</f>
        <v>434.78260869565219</v>
      </c>
      <c r="E17" s="227">
        <f>E15/E16</f>
        <v>434.78260869565219</v>
      </c>
      <c r="F17" s="180" t="s">
        <v>192</v>
      </c>
      <c r="G17" s="205" t="s">
        <v>238</v>
      </c>
      <c r="H17" s="224" t="s">
        <v>200</v>
      </c>
    </row>
    <row r="18" spans="1:10" ht="14.1" customHeight="1" x14ac:dyDescent="0.2">
      <c r="A18" s="159" t="s">
        <v>239</v>
      </c>
      <c r="B18" s="223">
        <v>210000</v>
      </c>
      <c r="C18" s="223">
        <v>210000</v>
      </c>
      <c r="D18" s="223">
        <v>200000</v>
      </c>
      <c r="E18" s="223">
        <v>200000</v>
      </c>
      <c r="F18" s="180" t="s">
        <v>192</v>
      </c>
      <c r="G18" s="230" t="s">
        <v>523</v>
      </c>
      <c r="H18" s="224" t="s">
        <v>201</v>
      </c>
    </row>
    <row r="19" spans="1:10" ht="14.1" customHeight="1" x14ac:dyDescent="0.2">
      <c r="A19" s="158" t="s">
        <v>152</v>
      </c>
      <c r="B19" s="231">
        <f>B17/B18</f>
        <v>2.070393374741201E-3</v>
      </c>
      <c r="C19" s="231">
        <f>C17/C18</f>
        <v>2.070393374741201E-3</v>
      </c>
      <c r="D19" s="231">
        <f>D17/D18</f>
        <v>2.1739130434782609E-3</v>
      </c>
      <c r="E19" s="231">
        <f>E17/E18</f>
        <v>2.1739130434782609E-3</v>
      </c>
      <c r="F19" s="180"/>
      <c r="G19" s="205" t="s">
        <v>240</v>
      </c>
      <c r="H19" s="224" t="s">
        <v>202</v>
      </c>
    </row>
    <row r="20" spans="1:10" ht="14.1" customHeight="1" x14ac:dyDescent="0.2">
      <c r="A20" s="158" t="s">
        <v>241</v>
      </c>
      <c r="B20" s="371">
        <f>IF((3.5/1000)*(B43-B31)/B43=0,0.00000000001,(3.5/1000)*(B43-B31)/B43)</f>
        <v>1.1666666666666668E-3</v>
      </c>
      <c r="C20" s="371">
        <f>IF((3.5/1000)*(C43-C31)/C43=0,0.00000000001,(3.5/1000)*(C43-C31)/C43)</f>
        <v>1.1666666666666668E-3</v>
      </c>
      <c r="D20" s="371">
        <f>IF((3.5/1000)*(D43-D31)/D43=0,0.00000000001,(3.5/1000)*(D43-D31)/D43)</f>
        <v>9.0740740740740734E-4</v>
      </c>
      <c r="E20" s="371">
        <f>IF((3.5/1000)*(E43-E31)/E43=0,0.00000000001,(3.5/1000)*(E43-E31)/E43)</f>
        <v>9.0740740740740734E-4</v>
      </c>
      <c r="F20" s="180"/>
      <c r="G20" s="205" t="s">
        <v>242</v>
      </c>
      <c r="H20" s="224" t="s">
        <v>203</v>
      </c>
    </row>
    <row r="21" spans="1:10" ht="14.1" customHeight="1" x14ac:dyDescent="0.2">
      <c r="A21" s="158" t="s">
        <v>243</v>
      </c>
      <c r="B21" s="227">
        <f>IF(B20&lt;=B19,B18*B20,B17)</f>
        <v>245.00000000000003</v>
      </c>
      <c r="C21" s="227">
        <f>IF(C20&lt;=C19,C18*C20,C17)</f>
        <v>245.00000000000003</v>
      </c>
      <c r="D21" s="227">
        <f>IF(D20&lt;=D19,D18*D20,D17)</f>
        <v>181.48148148148147</v>
      </c>
      <c r="E21" s="227">
        <f>IF(E20&lt;=E19,E18*E20,E17)</f>
        <v>181.48148148148147</v>
      </c>
      <c r="F21" s="180" t="s">
        <v>192</v>
      </c>
      <c r="G21" s="205" t="s">
        <v>244</v>
      </c>
      <c r="H21" s="224" t="s">
        <v>204</v>
      </c>
    </row>
    <row r="22" spans="1:10" s="232" customFormat="1" ht="14.1" customHeight="1" x14ac:dyDescent="0.2">
      <c r="A22" s="216" t="s">
        <v>205</v>
      </c>
      <c r="B22" s="217"/>
      <c r="C22" s="217"/>
      <c r="D22" s="217"/>
      <c r="E22" s="217"/>
      <c r="F22" s="180"/>
      <c r="G22" s="216"/>
      <c r="H22" s="217"/>
      <c r="I22" s="218"/>
      <c r="J22" s="218"/>
    </row>
    <row r="23" spans="1:10" s="232" customFormat="1" ht="14.1" customHeight="1" x14ac:dyDescent="0.2">
      <c r="A23" s="159" t="s">
        <v>319</v>
      </c>
      <c r="B23" s="180" t="str">
        <f>IF(Principal!$AA$10=1,"R","T")</f>
        <v>R</v>
      </c>
      <c r="C23" s="180" t="str">
        <f>IF(Principal!$AA$10=1,"R","T")</f>
        <v>R</v>
      </c>
      <c r="D23" s="180" t="str">
        <f>IF(Principal!$AA$10=1,"R","T")</f>
        <v>R</v>
      </c>
      <c r="E23" s="180" t="str">
        <f>IF(Principal!$AA$10=1,"R","T")</f>
        <v>R</v>
      </c>
      <c r="F23" s="180"/>
      <c r="G23" s="216"/>
      <c r="H23" s="217"/>
      <c r="I23" s="218"/>
      <c r="J23" s="218"/>
    </row>
    <row r="24" spans="1:10" ht="14.1" customHeight="1" x14ac:dyDescent="0.2">
      <c r="A24" s="180" t="s">
        <v>279</v>
      </c>
      <c r="B24" s="233">
        <v>100</v>
      </c>
      <c r="C24" s="233">
        <v>100</v>
      </c>
      <c r="D24" s="233">
        <v>100</v>
      </c>
      <c r="E24" s="233">
        <v>100</v>
      </c>
      <c r="F24" s="180" t="s">
        <v>19</v>
      </c>
      <c r="G24" s="216"/>
      <c r="H24" s="224" t="s">
        <v>267</v>
      </c>
    </row>
    <row r="25" spans="1:10" ht="14.1" customHeight="1" x14ac:dyDescent="0.2">
      <c r="A25" s="180" t="s">
        <v>280</v>
      </c>
      <c r="B25" s="261">
        <f>Principal!$R$19</f>
        <v>100</v>
      </c>
      <c r="C25" s="261">
        <f>Principal!$R$19</f>
        <v>100</v>
      </c>
      <c r="D25" s="261">
        <f>Principal!$R$19</f>
        <v>100</v>
      </c>
      <c r="E25" s="261">
        <f>Principal!$R$19</f>
        <v>100</v>
      </c>
      <c r="F25" s="180" t="s">
        <v>19</v>
      </c>
      <c r="G25" s="216"/>
      <c r="H25" s="224" t="s">
        <v>268</v>
      </c>
    </row>
    <row r="26" spans="1:10" ht="14.1" customHeight="1" x14ac:dyDescent="0.2">
      <c r="A26" s="180" t="s">
        <v>139</v>
      </c>
      <c r="B26" s="260">
        <f>Principal!$R$12</f>
        <v>12</v>
      </c>
      <c r="C26" s="260">
        <f>Principal!$R$12</f>
        <v>12</v>
      </c>
      <c r="D26" s="260">
        <f>Principal!$R$12</f>
        <v>12</v>
      </c>
      <c r="E26" s="260">
        <f>Principal!$R$12</f>
        <v>12</v>
      </c>
      <c r="F26" s="180" t="s">
        <v>19</v>
      </c>
      <c r="G26" s="216"/>
      <c r="H26" s="224" t="s">
        <v>269</v>
      </c>
    </row>
    <row r="27" spans="1:10" ht="14.1" customHeight="1" x14ac:dyDescent="0.2">
      <c r="A27" s="180" t="s">
        <v>281</v>
      </c>
      <c r="B27" s="260">
        <f>Principal!$AA$8</f>
        <v>12</v>
      </c>
      <c r="C27" s="260">
        <f>Principal!$AA$8</f>
        <v>12</v>
      </c>
      <c r="D27" s="260">
        <f>Principal!$AA$8</f>
        <v>12</v>
      </c>
      <c r="E27" s="260">
        <f>Principal!$AA$8</f>
        <v>12</v>
      </c>
      <c r="F27" s="180" t="s">
        <v>19</v>
      </c>
      <c r="G27" s="216"/>
      <c r="H27" s="224" t="s">
        <v>270</v>
      </c>
    </row>
    <row r="28" spans="1:10" ht="14.1" customHeight="1" x14ac:dyDescent="0.2">
      <c r="A28" s="180" t="s">
        <v>448</v>
      </c>
      <c r="B28" s="261">
        <f>Principal!$R$20+1</f>
        <v>3</v>
      </c>
      <c r="C28" s="261">
        <f>Principal!$R$20+1</f>
        <v>3</v>
      </c>
      <c r="D28" s="261">
        <f>Principal!$R$20+1</f>
        <v>3</v>
      </c>
      <c r="E28" s="261">
        <f>Principal!$R$20+1</f>
        <v>3</v>
      </c>
      <c r="F28" s="180" t="s">
        <v>19</v>
      </c>
      <c r="G28" s="216"/>
      <c r="H28" s="216" t="s">
        <v>449</v>
      </c>
    </row>
    <row r="29" spans="1:10" ht="14.1" customHeight="1" x14ac:dyDescent="0.2">
      <c r="A29" s="180" t="s">
        <v>209</v>
      </c>
      <c r="B29" s="261">
        <f>Principal!$R$20+1</f>
        <v>3</v>
      </c>
      <c r="C29" s="261">
        <f>Principal!$R$20+1</f>
        <v>3</v>
      </c>
      <c r="D29" s="261">
        <f>Principal!$R$20+1</f>
        <v>3</v>
      </c>
      <c r="E29" s="261">
        <f>Principal!$R$20+1</f>
        <v>3</v>
      </c>
      <c r="F29" s="180" t="s">
        <v>19</v>
      </c>
      <c r="G29" s="216"/>
      <c r="H29" s="224" t="s">
        <v>450</v>
      </c>
    </row>
    <row r="30" spans="1:10" ht="14.1" customHeight="1" x14ac:dyDescent="0.2">
      <c r="A30" s="180" t="s">
        <v>14</v>
      </c>
      <c r="B30" s="225">
        <f>B26-B28</f>
        <v>9</v>
      </c>
      <c r="C30" s="225">
        <f>C26-C28</f>
        <v>9</v>
      </c>
      <c r="D30" s="225">
        <f>D26-D28</f>
        <v>9</v>
      </c>
      <c r="E30" s="225">
        <f>E26-E28</f>
        <v>9</v>
      </c>
      <c r="F30" s="180" t="s">
        <v>19</v>
      </c>
      <c r="G30" s="216" t="s">
        <v>456</v>
      </c>
      <c r="H30" s="224" t="s">
        <v>208</v>
      </c>
    </row>
    <row r="31" spans="1:10" ht="14.1" customHeight="1" x14ac:dyDescent="0.2">
      <c r="A31" s="180" t="s">
        <v>209</v>
      </c>
      <c r="B31" s="227">
        <f>B29</f>
        <v>3</v>
      </c>
      <c r="C31" s="227">
        <f>C29</f>
        <v>3</v>
      </c>
      <c r="D31" s="227">
        <f>D29</f>
        <v>3</v>
      </c>
      <c r="E31" s="227">
        <f>E29</f>
        <v>3</v>
      </c>
      <c r="F31" s="180" t="s">
        <v>19</v>
      </c>
      <c r="G31" s="216" t="s">
        <v>209</v>
      </c>
      <c r="H31" s="224" t="s">
        <v>450</v>
      </c>
    </row>
    <row r="32" spans="1:10" ht="14.1" customHeight="1" x14ac:dyDescent="0.2">
      <c r="A32" s="180" t="s">
        <v>245</v>
      </c>
      <c r="B32" s="229">
        <f>(B24-B25)*B27+B25*B26</f>
        <v>1200</v>
      </c>
      <c r="C32" s="229">
        <f>(C24-C25)*C27+C25*C26</f>
        <v>1200</v>
      </c>
      <c r="D32" s="229">
        <f>(D24-D25)*D27+D25*D26</f>
        <v>1200</v>
      </c>
      <c r="E32" s="229">
        <f>(E24-E25)*E27+E25*E26</f>
        <v>1200</v>
      </c>
      <c r="F32" s="180" t="s">
        <v>246</v>
      </c>
      <c r="G32" s="216" t="s">
        <v>282</v>
      </c>
      <c r="H32" s="224" t="s">
        <v>211</v>
      </c>
    </row>
    <row r="33" spans="1:10" s="220" customFormat="1" ht="14.1" customHeight="1" x14ac:dyDescent="0.2">
      <c r="A33" s="216" t="s">
        <v>212</v>
      </c>
      <c r="B33" s="221"/>
      <c r="C33" s="221"/>
      <c r="D33" s="221"/>
      <c r="E33" s="221"/>
      <c r="F33" s="180"/>
      <c r="G33" s="216"/>
      <c r="H33" s="221"/>
      <c r="I33" s="222"/>
      <c r="J33" s="222"/>
    </row>
    <row r="34" spans="1:10" s="220" customFormat="1" ht="14.1" customHeight="1" x14ac:dyDescent="0.2">
      <c r="A34" s="158" t="s">
        <v>50</v>
      </c>
      <c r="B34" s="233">
        <v>1.4</v>
      </c>
      <c r="C34" s="233">
        <v>1.4</v>
      </c>
      <c r="D34" s="233">
        <v>1.35</v>
      </c>
      <c r="E34" s="233">
        <v>1.35</v>
      </c>
      <c r="F34" s="180"/>
      <c r="G34" s="216"/>
      <c r="H34" s="221"/>
      <c r="I34" s="222"/>
      <c r="J34" s="222"/>
    </row>
    <row r="35" spans="1:10" s="220" customFormat="1" ht="14.1" customHeight="1" x14ac:dyDescent="0.2">
      <c r="A35" s="158" t="s">
        <v>51</v>
      </c>
      <c r="B35" s="233">
        <v>1.4</v>
      </c>
      <c r="C35" s="233">
        <v>1.4</v>
      </c>
      <c r="D35" s="233">
        <v>1.5</v>
      </c>
      <c r="E35" s="233">
        <v>1.5</v>
      </c>
      <c r="F35" s="180"/>
      <c r="G35" s="216"/>
      <c r="H35" s="221"/>
      <c r="I35" s="222"/>
      <c r="J35" s="222"/>
    </row>
    <row r="36" spans="1:10" s="220" customFormat="1" ht="14.1" customHeight="1" x14ac:dyDescent="0.2">
      <c r="A36" s="180" t="s">
        <v>659</v>
      </c>
      <c r="B36" s="261">
        <f>Principal!$F$35</f>
        <v>0</v>
      </c>
      <c r="C36" s="261">
        <f>Principal!$H$35</f>
        <v>14.660800000000002</v>
      </c>
      <c r="D36" s="261">
        <f>Principal!$F$35</f>
        <v>0</v>
      </c>
      <c r="E36" s="261">
        <f>Principal!$H$35</f>
        <v>14.660800000000002</v>
      </c>
      <c r="F36" s="180" t="s">
        <v>213</v>
      </c>
      <c r="G36" s="216"/>
      <c r="H36" s="221"/>
      <c r="I36" s="222"/>
      <c r="J36" s="222"/>
    </row>
    <row r="37" spans="1:10" s="220" customFormat="1" ht="14.1" customHeight="1" x14ac:dyDescent="0.2">
      <c r="A37" s="180" t="s">
        <v>660</v>
      </c>
      <c r="B37" s="261">
        <f>Principal!$F$36</f>
        <v>0</v>
      </c>
      <c r="C37" s="261">
        <f>Principal!$H$36</f>
        <v>0</v>
      </c>
      <c r="D37" s="261">
        <f>Principal!$F$36</f>
        <v>0</v>
      </c>
      <c r="E37" s="261">
        <f>Principal!$H$36</f>
        <v>0</v>
      </c>
      <c r="F37" s="180" t="s">
        <v>213</v>
      </c>
      <c r="G37" s="216"/>
      <c r="H37" s="221"/>
      <c r="I37" s="222"/>
      <c r="J37" s="222"/>
    </row>
    <row r="38" spans="1:10" ht="14.1" customHeight="1" x14ac:dyDescent="0.2">
      <c r="A38" s="159" t="s">
        <v>247</v>
      </c>
      <c r="B38" s="227">
        <f>B34*B36+B35*B37</f>
        <v>0</v>
      </c>
      <c r="C38" s="227">
        <f>C34*C36+C35*C37</f>
        <v>20.525120000000001</v>
      </c>
      <c r="D38" s="227">
        <f>D34*D36+D35*D37</f>
        <v>0</v>
      </c>
      <c r="E38" s="227">
        <f>E34*E36+E35*E37</f>
        <v>19.792080000000002</v>
      </c>
      <c r="F38" s="180" t="s">
        <v>213</v>
      </c>
      <c r="G38" s="205"/>
      <c r="H38" s="224" t="s">
        <v>214</v>
      </c>
    </row>
    <row r="39" spans="1:10" ht="14.1" customHeight="1" x14ac:dyDescent="0.2">
      <c r="A39" s="205" t="s">
        <v>271</v>
      </c>
      <c r="B39" s="242"/>
      <c r="C39" s="242"/>
      <c r="D39" s="242"/>
      <c r="E39" s="242"/>
      <c r="F39" s="180"/>
      <c r="G39" s="205"/>
      <c r="H39" s="224"/>
    </row>
    <row r="40" spans="1:10" ht="14.1" customHeight="1" x14ac:dyDescent="0.2">
      <c r="A40" s="159" t="s">
        <v>248</v>
      </c>
      <c r="B40" s="227">
        <f>IF(B8&lt;=35,0.5*B30,0.4*B30)</f>
        <v>4.5</v>
      </c>
      <c r="C40" s="227">
        <f>IF(C8&lt;=35,0.5*C30,0.4*C30)</f>
        <v>4.5</v>
      </c>
      <c r="D40" s="227">
        <f>IF(D8&lt;=50,0.45*D30,0.35*D30)</f>
        <v>4.05</v>
      </c>
      <c r="E40" s="227">
        <f>IF(E8&lt;=50,0.45*E30,0.35*E30)</f>
        <v>4.05</v>
      </c>
      <c r="F40" s="180" t="s">
        <v>19</v>
      </c>
      <c r="G40" s="205" t="s">
        <v>643</v>
      </c>
      <c r="H40" s="224" t="s">
        <v>215</v>
      </c>
    </row>
    <row r="41" spans="1:10" ht="14.1" customHeight="1" x14ac:dyDescent="0.2">
      <c r="A41" s="159" t="s">
        <v>249</v>
      </c>
      <c r="B41" s="227">
        <f>0.0035*B30/(0.0035+B19)</f>
        <v>5.6548968593198286</v>
      </c>
      <c r="C41" s="227">
        <f>0.0035*C30/(0.0035+C19)</f>
        <v>5.6548968593198286</v>
      </c>
      <c r="D41" s="227">
        <f>0.0035*D30/(0.0035+D19)</f>
        <v>5.5517241379310347</v>
      </c>
      <c r="E41" s="227">
        <f>0.0035*E30/(0.0035+E19)</f>
        <v>5.5517241379310347</v>
      </c>
      <c r="F41" s="180" t="s">
        <v>19</v>
      </c>
      <c r="G41" s="205" t="s">
        <v>250</v>
      </c>
      <c r="H41" s="224" t="s">
        <v>216</v>
      </c>
    </row>
    <row r="42" spans="1:10" ht="14.1" customHeight="1" x14ac:dyDescent="0.2">
      <c r="A42" s="159" t="s">
        <v>251</v>
      </c>
      <c r="B42" s="234" t="s">
        <v>217</v>
      </c>
      <c r="C42" s="234" t="s">
        <v>217</v>
      </c>
      <c r="D42" s="234" t="s">
        <v>217</v>
      </c>
      <c r="E42" s="234" t="s">
        <v>217</v>
      </c>
      <c r="F42" s="180"/>
      <c r="G42" s="205" t="s">
        <v>252</v>
      </c>
      <c r="H42" s="224" t="s">
        <v>272</v>
      </c>
    </row>
    <row r="43" spans="1:10" ht="14.1" customHeight="1" x14ac:dyDescent="0.2">
      <c r="A43" s="159" t="s">
        <v>251</v>
      </c>
      <c r="B43" s="227">
        <f>IF(B42="xduc",B40,B41)</f>
        <v>4.5</v>
      </c>
      <c r="C43" s="227">
        <f>IF(C42="xduc",C40,C41)</f>
        <v>4.5</v>
      </c>
      <c r="D43" s="227">
        <f>IF(D42="xduc",D40,D41)</f>
        <v>4.05</v>
      </c>
      <c r="E43" s="227">
        <f>IF(E42="xduc",E40,E41)</f>
        <v>4.05</v>
      </c>
      <c r="F43" s="180" t="s">
        <v>19</v>
      </c>
      <c r="G43" s="205" t="s">
        <v>253</v>
      </c>
      <c r="H43" s="224" t="s">
        <v>218</v>
      </c>
    </row>
    <row r="44" spans="1:10" ht="14.1" customHeight="1" x14ac:dyDescent="0.2">
      <c r="A44" s="205" t="s">
        <v>634</v>
      </c>
      <c r="B44" s="227"/>
      <c r="C44" s="227"/>
      <c r="D44" s="227"/>
      <c r="E44" s="227"/>
      <c r="F44" s="180"/>
      <c r="G44" s="205"/>
      <c r="H44" s="224"/>
    </row>
    <row r="45" spans="1:10" ht="14.1" customHeight="1" x14ac:dyDescent="0.2">
      <c r="A45" s="159" t="s">
        <v>254</v>
      </c>
      <c r="B45" s="287">
        <f>B25*B12*B43*B11*(B10/10)*(B30-0.5*B12*B43)/100</f>
        <v>39.342857142857149</v>
      </c>
      <c r="C45" s="287">
        <f>C25*C12*C43*C11*(C10/10)*(C30-0.5*C12*C43)/100</f>
        <v>39.342857142857149</v>
      </c>
      <c r="D45" s="287">
        <f>D25*D12*D43*D11*(D10/10)*(D30-0.5*D12*D43)/100</f>
        <v>33.874200000000002</v>
      </c>
      <c r="E45" s="287">
        <f>E25*E12*E43*E11*(E10/10)*(E30-0.5*E12*E43)/100</f>
        <v>33.874200000000002</v>
      </c>
      <c r="F45" s="180" t="s">
        <v>213</v>
      </c>
      <c r="G45" s="286" t="s">
        <v>293</v>
      </c>
      <c r="H45" s="224" t="s">
        <v>219</v>
      </c>
    </row>
    <row r="46" spans="1:10" ht="14.1" customHeight="1" x14ac:dyDescent="0.2">
      <c r="A46" s="159" t="s">
        <v>255</v>
      </c>
      <c r="B46" s="227">
        <f>B38/B45</f>
        <v>0</v>
      </c>
      <c r="C46" s="227">
        <f>C38/C45</f>
        <v>0.5216987654320987</v>
      </c>
      <c r="D46" s="227">
        <f>D38/D45</f>
        <v>0</v>
      </c>
      <c r="E46" s="227">
        <f>E38/E45</f>
        <v>0.58428184281842821</v>
      </c>
      <c r="F46" s="180"/>
      <c r="G46" s="205" t="s">
        <v>255</v>
      </c>
      <c r="H46" s="205" t="s">
        <v>256</v>
      </c>
    </row>
    <row r="47" spans="1:10" ht="14.1" customHeight="1" x14ac:dyDescent="0.2">
      <c r="A47" s="159" t="s">
        <v>172</v>
      </c>
      <c r="B47" s="282">
        <f>B25*B12*B43*B11*B10/B17</f>
        <v>12.567857142857143</v>
      </c>
      <c r="C47" s="282">
        <f>C25*C12*C43*C11*C10/C17</f>
        <v>12.567857142857143</v>
      </c>
      <c r="D47" s="282">
        <f>D25*D12*D43*D11*D10/D17</f>
        <v>10.557</v>
      </c>
      <c r="E47" s="282">
        <f>E25*E12*E43*E11*E10/E17</f>
        <v>10.557</v>
      </c>
      <c r="F47" s="180" t="s">
        <v>246</v>
      </c>
      <c r="G47" s="286" t="s">
        <v>295</v>
      </c>
      <c r="H47" s="224" t="s">
        <v>220</v>
      </c>
    </row>
    <row r="48" spans="1:10" ht="14.1" customHeight="1" x14ac:dyDescent="0.2">
      <c r="A48" s="216" t="s">
        <v>221</v>
      </c>
      <c r="B48" s="227"/>
      <c r="C48" s="227"/>
      <c r="D48" s="227"/>
      <c r="E48" s="227"/>
      <c r="F48" s="180"/>
      <c r="G48" s="205"/>
      <c r="H48" s="224"/>
    </row>
    <row r="49" spans="1:8" ht="14.1" customHeight="1" x14ac:dyDescent="0.2">
      <c r="A49" s="158" t="s">
        <v>257</v>
      </c>
      <c r="B49" s="227">
        <f>MAX(B38-B45,0)</f>
        <v>0</v>
      </c>
      <c r="C49" s="227">
        <f>MAX(C38-C45,0)</f>
        <v>0</v>
      </c>
      <c r="D49" s="227">
        <f>MAX(D38-D45,0)</f>
        <v>0</v>
      </c>
      <c r="E49" s="227">
        <f>MAX(E38-E45,0)</f>
        <v>0</v>
      </c>
      <c r="F49" s="180" t="s">
        <v>213</v>
      </c>
      <c r="G49" s="205" t="s">
        <v>258</v>
      </c>
      <c r="H49" s="217" t="s">
        <v>222</v>
      </c>
    </row>
    <row r="50" spans="1:8" ht="14.1" customHeight="1" x14ac:dyDescent="0.2">
      <c r="A50" s="159" t="s">
        <v>223</v>
      </c>
      <c r="B50" s="204" t="str">
        <f>IF(B38&lt;=B45,"simples","dupla")</f>
        <v>simples</v>
      </c>
      <c r="C50" s="204" t="str">
        <f>IF(C38&lt;=C45,"simples","dupla")</f>
        <v>simples</v>
      </c>
      <c r="D50" s="204" t="str">
        <f>IF(D38&lt;=D45,"simples","dupla")</f>
        <v>simples</v>
      </c>
      <c r="E50" s="204" t="str">
        <f>IF(E38&lt;=E45,"simples","dupla")</f>
        <v>simples</v>
      </c>
      <c r="F50" s="159"/>
      <c r="G50" s="205" t="s">
        <v>259</v>
      </c>
      <c r="H50" s="235" t="s">
        <v>224</v>
      </c>
    </row>
    <row r="51" spans="1:8" ht="13.5" customHeight="1" x14ac:dyDescent="0.2">
      <c r="A51" s="180" t="s">
        <v>225</v>
      </c>
      <c r="B51" s="282">
        <f>IF(B50="simples",(B30/B12)*(1-(1-2*B38*100/(B25*B30^2*B11*B10/10))^(1/2)),B43)</f>
        <v>0</v>
      </c>
      <c r="C51" s="282">
        <f>IF(C50="simples",(C30/C12)*(1-(1-2*C38*100/(C25*C30^2*C11*C10/10))^(1/2)),C43)</f>
        <v>2.0682300181283129</v>
      </c>
      <c r="D51" s="282">
        <f>IF(D50="simples",(D30/D12)*(1-(1-2*D38*100/(D25*D30^2*D11*D10/10))^(1/2)),D43)</f>
        <v>0</v>
      </c>
      <c r="E51" s="282">
        <f>IF(E50="simples",(E30/E12)*(1-(1-2*E38*100/(E25*E30^2*E11*E10/10))^(1/2)),E43)</f>
        <v>2.1448640866816264</v>
      </c>
      <c r="F51" s="180" t="s">
        <v>19</v>
      </c>
      <c r="G51" s="286" t="s">
        <v>472</v>
      </c>
      <c r="H51" s="224" t="s">
        <v>226</v>
      </c>
    </row>
    <row r="52" spans="1:8" ht="14.1" customHeight="1" x14ac:dyDescent="0.2">
      <c r="A52" s="236" t="s">
        <v>260</v>
      </c>
      <c r="B52" s="227">
        <f>B12*B51</f>
        <v>0</v>
      </c>
      <c r="C52" s="227">
        <f>C12*C51</f>
        <v>1.6545840145026505</v>
      </c>
      <c r="D52" s="227">
        <f>D12*D51</f>
        <v>0</v>
      </c>
      <c r="E52" s="227">
        <f>E12*E51</f>
        <v>1.7158912693453012</v>
      </c>
      <c r="F52" s="180" t="s">
        <v>19</v>
      </c>
      <c r="G52" s="237" t="s">
        <v>260</v>
      </c>
      <c r="H52" s="224"/>
    </row>
    <row r="53" spans="1:8" ht="14.1" customHeight="1" x14ac:dyDescent="0.2">
      <c r="A53" s="159" t="s">
        <v>261</v>
      </c>
      <c r="B53" s="227">
        <f>B49*100/((B21/10)*(B30-B31))</f>
        <v>0</v>
      </c>
      <c r="C53" s="227">
        <f>C49*100/((C21/10)*(C30-C31))</f>
        <v>0</v>
      </c>
      <c r="D53" s="227">
        <f>D49*100/((D21/10)*(D30-D31))</f>
        <v>0</v>
      </c>
      <c r="E53" s="227">
        <f>E49*100/((E21/10)*(E30-E31))</f>
        <v>0</v>
      </c>
      <c r="F53" s="180" t="s">
        <v>246</v>
      </c>
      <c r="G53" s="239" t="s">
        <v>262</v>
      </c>
      <c r="H53" s="224" t="s">
        <v>227</v>
      </c>
    </row>
    <row r="54" spans="1:8" ht="14.1" customHeight="1" x14ac:dyDescent="0.2">
      <c r="A54" s="159" t="s">
        <v>635</v>
      </c>
      <c r="B54" s="282">
        <f>IF(B50="simples",B25*B12*B51*B11*B10/B17,B47+B53*B21/B17)</f>
        <v>0</v>
      </c>
      <c r="C54" s="282">
        <f>IF(C50="simples",C25*C12*C51*C11*C10/C17,C47+C53*C21/C17)</f>
        <v>5.7762709792012163</v>
      </c>
      <c r="D54" s="282">
        <f>IF(D50="simples",D25*D12*D51*D11*D10/D17,D47+D53*D21/D17)</f>
        <v>0</v>
      </c>
      <c r="E54" s="282">
        <f>IF(E50="simples",E25*E12*E51*E11*E10/E17,E47+E53*E21/E17)</f>
        <v>5.5909457192834395</v>
      </c>
      <c r="F54" s="180" t="s">
        <v>246</v>
      </c>
      <c r="G54" s="286" t="s">
        <v>641</v>
      </c>
      <c r="H54" s="224" t="s">
        <v>636</v>
      </c>
    </row>
    <row r="55" spans="1:8" ht="14.1" customHeight="1" x14ac:dyDescent="0.2">
      <c r="A55" s="158" t="s">
        <v>622</v>
      </c>
      <c r="B55" s="336">
        <f>MAX(0.15/100,IF(B23="R",0.035,0.031)*B10/B17)</f>
        <v>1.5E-3</v>
      </c>
      <c r="C55" s="336">
        <f>MAX(0.15/100,IF(C23="R",0.035,0.031)*C10/C17)</f>
        <v>1.5E-3</v>
      </c>
      <c r="D55" s="336">
        <f>MAX(0.13/100,0.26*D13/D15)</f>
        <v>1.3337812384078232E-3</v>
      </c>
      <c r="E55" s="336">
        <f>MAX(0.13/100,0.26*E13/E15)</f>
        <v>1.3337812384078232E-3</v>
      </c>
      <c r="F55" s="180"/>
      <c r="G55" s="286" t="s">
        <v>650</v>
      </c>
      <c r="H55" s="224" t="s">
        <v>621</v>
      </c>
    </row>
    <row r="56" spans="1:8" ht="14.1" customHeight="1" x14ac:dyDescent="0.2">
      <c r="A56" s="159" t="s">
        <v>173</v>
      </c>
      <c r="B56" s="282">
        <f>B55*B32</f>
        <v>1.8</v>
      </c>
      <c r="C56" s="282">
        <f>C55*C32</f>
        <v>1.8</v>
      </c>
      <c r="D56" s="282">
        <f>D55*D25*D30</f>
        <v>1.2004031145670409</v>
      </c>
      <c r="E56" s="282">
        <f>E55*E25*E30</f>
        <v>1.2004031145670409</v>
      </c>
      <c r="F56" s="180" t="s">
        <v>246</v>
      </c>
      <c r="G56" s="286" t="s">
        <v>654</v>
      </c>
      <c r="H56" s="224" t="s">
        <v>228</v>
      </c>
    </row>
    <row r="57" spans="1:8" ht="14.1" customHeight="1" x14ac:dyDescent="0.2">
      <c r="A57" s="159" t="s">
        <v>138</v>
      </c>
      <c r="B57" s="282">
        <f>MAX(B54,B56)</f>
        <v>1.8</v>
      </c>
      <c r="C57" s="282">
        <f>MAX(C54,C56)</f>
        <v>5.7762709792012163</v>
      </c>
      <c r="D57" s="282">
        <f>MAX(D54,D56)</f>
        <v>1.2004031145670409</v>
      </c>
      <c r="E57" s="282">
        <f>MAX(E54,E56)</f>
        <v>5.5909457192834395</v>
      </c>
      <c r="F57" s="180" t="s">
        <v>246</v>
      </c>
      <c r="G57" s="286" t="s">
        <v>655</v>
      </c>
      <c r="H57" s="224" t="s">
        <v>229</v>
      </c>
    </row>
    <row r="58" spans="1:8" ht="14.1" customHeight="1" x14ac:dyDescent="0.2">
      <c r="A58" s="180" t="s">
        <v>263</v>
      </c>
      <c r="B58" s="227">
        <f>B57+B53</f>
        <v>1.8</v>
      </c>
      <c r="C58" s="227">
        <f>C57+C53</f>
        <v>5.7762709792012163</v>
      </c>
      <c r="D58" s="227">
        <f>D57+D53</f>
        <v>1.2004031145670409</v>
      </c>
      <c r="E58" s="227">
        <f>E57+E53</f>
        <v>5.5909457192834395</v>
      </c>
      <c r="F58" s="180" t="s">
        <v>246</v>
      </c>
      <c r="G58" s="216" t="s">
        <v>263</v>
      </c>
      <c r="H58" s="217" t="s">
        <v>230</v>
      </c>
    </row>
    <row r="59" spans="1:8" ht="14.1" customHeight="1" x14ac:dyDescent="0.2">
      <c r="A59" s="159" t="s">
        <v>264</v>
      </c>
      <c r="B59" s="227">
        <f>(4/100)*B32</f>
        <v>48</v>
      </c>
      <c r="C59" s="227">
        <f>(4/100)*C32</f>
        <v>48</v>
      </c>
      <c r="D59" s="227">
        <f>(4/100)*D32</f>
        <v>48</v>
      </c>
      <c r="E59" s="227">
        <f>(4/100)*E32</f>
        <v>48</v>
      </c>
      <c r="F59" s="180" t="s">
        <v>246</v>
      </c>
      <c r="G59" s="205" t="s">
        <v>307</v>
      </c>
      <c r="H59" s="224" t="s">
        <v>231</v>
      </c>
    </row>
    <row r="60" spans="1:8" ht="14.1" customHeight="1" x14ac:dyDescent="0.2">
      <c r="A60" s="180" t="s">
        <v>265</v>
      </c>
      <c r="B60" s="238">
        <f>B58/B59</f>
        <v>3.7499999999999999E-2</v>
      </c>
      <c r="C60" s="238">
        <f>C58/C59</f>
        <v>0.12033897873335868</v>
      </c>
      <c r="D60" s="238">
        <f>D58/D59</f>
        <v>2.5008398220146683E-2</v>
      </c>
      <c r="E60" s="238">
        <f>E58/E59</f>
        <v>0.11647803581840499</v>
      </c>
      <c r="F60" s="180"/>
      <c r="G60" s="216" t="s">
        <v>265</v>
      </c>
      <c r="H60" s="216" t="s">
        <v>266</v>
      </c>
    </row>
    <row r="61" spans="1:8" ht="14.1" customHeight="1" x14ac:dyDescent="0.2">
      <c r="A61" s="211"/>
      <c r="B61" s="211"/>
      <c r="C61" s="211"/>
      <c r="D61" s="211"/>
      <c r="E61" s="211"/>
      <c r="F61" s="211"/>
      <c r="G61" s="211"/>
      <c r="H61" s="211"/>
    </row>
    <row r="62" spans="1:8" ht="14.1" customHeight="1" x14ac:dyDescent="0.2">
      <c r="A62" s="211"/>
      <c r="B62" s="211"/>
      <c r="C62" s="211"/>
      <c r="D62" s="211"/>
      <c r="E62" s="211"/>
      <c r="F62" s="211"/>
      <c r="G62" s="211"/>
      <c r="H62" s="211"/>
    </row>
    <row r="63" spans="1:8" ht="14.1" customHeight="1" x14ac:dyDescent="0.2">
      <c r="A63" s="211"/>
      <c r="B63" s="211"/>
      <c r="C63" s="211"/>
      <c r="D63" s="211"/>
      <c r="E63" s="211"/>
      <c r="F63" s="211"/>
      <c r="G63" s="211"/>
      <c r="H63" s="211"/>
    </row>
    <row r="64" spans="1:8" ht="14.1" customHeight="1" x14ac:dyDescent="0.2">
      <c r="A64" s="211"/>
      <c r="B64" s="211"/>
      <c r="C64" s="211"/>
      <c r="D64" s="211"/>
      <c r="E64" s="211"/>
      <c r="F64" s="211"/>
      <c r="G64" s="211"/>
      <c r="H64" s="211"/>
    </row>
    <row r="65" spans="1:8" ht="14.1" customHeight="1" x14ac:dyDescent="0.2">
      <c r="A65" s="211"/>
      <c r="B65" s="211"/>
      <c r="C65" s="211"/>
      <c r="D65" s="211"/>
      <c r="E65" s="211"/>
      <c r="F65" s="211"/>
      <c r="G65" s="211"/>
      <c r="H65" s="211"/>
    </row>
    <row r="66" spans="1:8" ht="15" customHeight="1" x14ac:dyDescent="0.2"/>
    <row r="67" spans="1:8" ht="15" customHeight="1" x14ac:dyDescent="0.2"/>
    <row r="68" spans="1:8" ht="15" customHeight="1" x14ac:dyDescent="0.2"/>
    <row r="69" spans="1:8" ht="15" customHeight="1" x14ac:dyDescent="0.2"/>
    <row r="70" spans="1:8" ht="15" customHeight="1" x14ac:dyDescent="0.2"/>
    <row r="71" spans="1:8" ht="15" customHeight="1" x14ac:dyDescent="0.2"/>
    <row r="72" spans="1:8" ht="15" customHeight="1" x14ac:dyDescent="0.2"/>
    <row r="73" spans="1:8" ht="15" customHeight="1" x14ac:dyDescent="0.2"/>
    <row r="74" spans="1:8" ht="15" customHeight="1" x14ac:dyDescent="0.2"/>
    <row r="75" spans="1:8" ht="15" customHeight="1" x14ac:dyDescent="0.2"/>
    <row r="76" spans="1:8" ht="15" customHeight="1" x14ac:dyDescent="0.2"/>
    <row r="77" spans="1:8" ht="15" customHeight="1" x14ac:dyDescent="0.2"/>
    <row r="78" spans="1:8" ht="15" customHeight="1" x14ac:dyDescent="0.2"/>
    <row r="79" spans="1:8" ht="15" customHeight="1" x14ac:dyDescent="0.2"/>
    <row r="80" spans="1:8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</sheetData>
  <phoneticPr fontId="25" type="noConversion"/>
  <dataValidations disablePrompts="1" count="1">
    <dataValidation type="list" allowBlank="1" showInputMessage="1" showErrorMessage="1" sqref="B42:E42">
      <formula1>"xduc,x34"</formula1>
    </dataValidation>
  </dataValidations>
  <printOptions horizontalCentered="1" verticalCentered="1"/>
  <pageMargins left="0" right="0.11811023622047245" top="0.56999999999999995" bottom="0.46" header="0.51181102362204722" footer="0.4"/>
  <pageSetup paperSize="9" scale="75" orientation="landscape" blackAndWhite="1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2"/>
  <sheetViews>
    <sheetView showGridLines="0" topLeftCell="A28" zoomScale="117" zoomScaleNormal="117" zoomScaleSheetLayoutView="150" workbookViewId="0">
      <selection activeCell="L26" sqref="L26"/>
    </sheetView>
  </sheetViews>
  <sheetFormatPr defaultRowHeight="12.75" x14ac:dyDescent="0.2"/>
  <cols>
    <col min="1" max="1" width="13.85546875" style="240" customWidth="1"/>
    <col min="2" max="11" width="10.7109375" style="210" customWidth="1"/>
    <col min="12" max="12" width="10.7109375" style="240" customWidth="1"/>
    <col min="13" max="13" width="77.7109375" style="241" customWidth="1"/>
    <col min="14" max="14" width="71.5703125" style="210" bestFit="1" customWidth="1"/>
    <col min="15" max="15" width="6.140625" style="210" bestFit="1" customWidth="1"/>
    <col min="16" max="16" width="10.7109375" style="210" bestFit="1" customWidth="1"/>
    <col min="17" max="16384" width="9.140625" style="211"/>
  </cols>
  <sheetData>
    <row r="1" spans="1:18" ht="14.1" customHeight="1" x14ac:dyDescent="0.2">
      <c r="A1" s="206" t="s">
        <v>9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8"/>
      <c r="M1" s="208" t="s">
        <v>10</v>
      </c>
      <c r="N1" s="209" t="s">
        <v>92</v>
      </c>
    </row>
    <row r="2" spans="1:18" ht="14.1" customHeight="1" x14ac:dyDescent="0.2">
      <c r="A2" s="212" t="s">
        <v>188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4"/>
      <c r="M2" s="214" t="s">
        <v>189</v>
      </c>
      <c r="N2" s="215" t="s">
        <v>190</v>
      </c>
    </row>
    <row r="3" spans="1:18" s="220" customFormat="1" ht="14.1" customHeight="1" x14ac:dyDescent="0.2">
      <c r="A3" s="216" t="s">
        <v>421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180"/>
      <c r="M3" s="216"/>
      <c r="N3" s="217"/>
      <c r="O3" s="218"/>
      <c r="P3" s="218"/>
      <c r="Q3" s="219"/>
      <c r="R3" s="219"/>
    </row>
    <row r="4" spans="1:18" s="220" customFormat="1" ht="14.1" customHeight="1" x14ac:dyDescent="0.2">
      <c r="A4" s="180" t="s">
        <v>511</v>
      </c>
      <c r="B4" s="221" t="s">
        <v>512</v>
      </c>
      <c r="C4" s="221" t="s">
        <v>512</v>
      </c>
      <c r="D4" s="221" t="s">
        <v>512</v>
      </c>
      <c r="E4" s="221" t="s">
        <v>512</v>
      </c>
      <c r="F4" s="221" t="s">
        <v>513</v>
      </c>
      <c r="G4" s="221" t="s">
        <v>513</v>
      </c>
      <c r="H4" s="221" t="s">
        <v>513</v>
      </c>
      <c r="I4" s="221" t="s">
        <v>513</v>
      </c>
      <c r="J4" s="221" t="s">
        <v>512</v>
      </c>
      <c r="K4" s="221" t="s">
        <v>513</v>
      </c>
      <c r="L4" s="180"/>
      <c r="M4" s="216"/>
      <c r="N4" s="217" t="s">
        <v>540</v>
      </c>
      <c r="O4" s="218"/>
      <c r="P4" s="218"/>
      <c r="Q4" s="219"/>
      <c r="R4" s="219"/>
    </row>
    <row r="5" spans="1:18" s="220" customFormat="1" ht="14.1" customHeight="1" x14ac:dyDescent="0.2">
      <c r="A5" s="180" t="s">
        <v>319</v>
      </c>
      <c r="B5" s="165" t="s">
        <v>2</v>
      </c>
      <c r="C5" s="165" t="s">
        <v>134</v>
      </c>
      <c r="D5" s="165" t="s">
        <v>95</v>
      </c>
      <c r="E5" s="165" t="s">
        <v>135</v>
      </c>
      <c r="F5" s="165" t="s">
        <v>2</v>
      </c>
      <c r="G5" s="165" t="s">
        <v>134</v>
      </c>
      <c r="H5" s="165" t="s">
        <v>95</v>
      </c>
      <c r="I5" s="165" t="s">
        <v>135</v>
      </c>
      <c r="J5" s="165" t="s">
        <v>135</v>
      </c>
      <c r="K5" s="165" t="s">
        <v>2</v>
      </c>
      <c r="L5" s="180"/>
      <c r="M5" s="216"/>
      <c r="N5" s="217" t="s">
        <v>452</v>
      </c>
      <c r="O5" s="218"/>
      <c r="P5" s="218"/>
      <c r="Q5" s="219"/>
      <c r="R5" s="219"/>
    </row>
    <row r="6" spans="1:18" s="220" customFormat="1" ht="14.1" customHeight="1" x14ac:dyDescent="0.2">
      <c r="A6" s="216" t="s">
        <v>191</v>
      </c>
      <c r="B6" s="221"/>
      <c r="C6" s="221"/>
      <c r="D6" s="221"/>
      <c r="E6" s="221"/>
      <c r="F6" s="221"/>
      <c r="G6" s="221"/>
      <c r="H6" s="221"/>
      <c r="I6" s="221"/>
      <c r="J6" s="257" t="s">
        <v>587</v>
      </c>
      <c r="K6" s="257" t="s">
        <v>587</v>
      </c>
      <c r="L6" s="180"/>
      <c r="M6" s="216"/>
      <c r="N6" s="221"/>
      <c r="O6" s="222"/>
      <c r="P6" s="222"/>
    </row>
    <row r="7" spans="1:18" ht="14.1" customHeight="1" x14ac:dyDescent="0.2">
      <c r="A7" s="159" t="s">
        <v>232</v>
      </c>
      <c r="B7" s="260">
        <f>Principal!$D$10</f>
        <v>25</v>
      </c>
      <c r="C7" s="260">
        <f>Principal!$D$10</f>
        <v>25</v>
      </c>
      <c r="D7" s="260">
        <f>Principal!$D$10</f>
        <v>25</v>
      </c>
      <c r="E7" s="260">
        <f>Principal!$D$10</f>
        <v>25</v>
      </c>
      <c r="F7" s="260">
        <f>Principal!$D$10</f>
        <v>25</v>
      </c>
      <c r="G7" s="260">
        <f>Principal!$D$10</f>
        <v>25</v>
      </c>
      <c r="H7" s="260">
        <f>Principal!$D$10</f>
        <v>25</v>
      </c>
      <c r="I7" s="260">
        <f>Principal!$D$10</f>
        <v>25</v>
      </c>
      <c r="J7" s="223">
        <v>25</v>
      </c>
      <c r="K7" s="223">
        <v>25</v>
      </c>
      <c r="L7" s="180" t="s">
        <v>192</v>
      </c>
      <c r="M7" s="216"/>
      <c r="N7" s="224" t="s">
        <v>193</v>
      </c>
    </row>
    <row r="8" spans="1:18" ht="14.1" customHeight="1" x14ac:dyDescent="0.2">
      <c r="A8" s="158" t="s">
        <v>12</v>
      </c>
      <c r="B8" s="233">
        <v>1.4</v>
      </c>
      <c r="C8" s="233">
        <v>1.4</v>
      </c>
      <c r="D8" s="233">
        <v>1.4</v>
      </c>
      <c r="E8" s="233">
        <v>1.4</v>
      </c>
      <c r="F8" s="233">
        <v>1.5</v>
      </c>
      <c r="G8" s="233">
        <v>1.5</v>
      </c>
      <c r="H8" s="233">
        <v>1.5</v>
      </c>
      <c r="I8" s="233">
        <v>1.5</v>
      </c>
      <c r="J8" s="233">
        <v>1.4</v>
      </c>
      <c r="K8" s="233">
        <v>1.5</v>
      </c>
      <c r="L8" s="180"/>
      <c r="M8" s="226"/>
      <c r="N8" s="224" t="s">
        <v>194</v>
      </c>
    </row>
    <row r="9" spans="1:18" ht="14.1" customHeight="1" x14ac:dyDescent="0.2">
      <c r="A9" s="159" t="s">
        <v>233</v>
      </c>
      <c r="B9" s="221">
        <f t="shared" ref="B9:I9" si="0">B7/B8</f>
        <v>17.857142857142858</v>
      </c>
      <c r="C9" s="221">
        <f t="shared" si="0"/>
        <v>17.857142857142858</v>
      </c>
      <c r="D9" s="221">
        <f t="shared" si="0"/>
        <v>17.857142857142858</v>
      </c>
      <c r="E9" s="221">
        <f t="shared" si="0"/>
        <v>17.857142857142858</v>
      </c>
      <c r="F9" s="221">
        <f t="shared" si="0"/>
        <v>16.666666666666668</v>
      </c>
      <c r="G9" s="221">
        <f t="shared" si="0"/>
        <v>16.666666666666668</v>
      </c>
      <c r="H9" s="221">
        <f t="shared" si="0"/>
        <v>16.666666666666668</v>
      </c>
      <c r="I9" s="221">
        <f t="shared" si="0"/>
        <v>16.666666666666668</v>
      </c>
      <c r="J9" s="221">
        <f>J7/J8</f>
        <v>17.857142857142858</v>
      </c>
      <c r="K9" s="221">
        <f>K7/K8</f>
        <v>16.666666666666668</v>
      </c>
      <c r="L9" s="180" t="s">
        <v>192</v>
      </c>
      <c r="M9" s="205" t="s">
        <v>234</v>
      </c>
      <c r="N9" s="224" t="s">
        <v>195</v>
      </c>
    </row>
    <row r="10" spans="1:18" ht="14.1" customHeight="1" x14ac:dyDescent="0.2">
      <c r="A10" s="159" t="s">
        <v>330</v>
      </c>
      <c r="B10" s="221">
        <f t="shared" ref="B10:I10" si="1">0.3*B7^(2/3)</f>
        <v>2.5649639200150443</v>
      </c>
      <c r="C10" s="221">
        <f t="shared" si="1"/>
        <v>2.5649639200150443</v>
      </c>
      <c r="D10" s="221">
        <f t="shared" si="1"/>
        <v>2.5649639200150443</v>
      </c>
      <c r="E10" s="221">
        <f t="shared" si="1"/>
        <v>2.5649639200150443</v>
      </c>
      <c r="F10" s="221">
        <f t="shared" si="1"/>
        <v>2.5649639200150443</v>
      </c>
      <c r="G10" s="221">
        <f t="shared" si="1"/>
        <v>2.5649639200150443</v>
      </c>
      <c r="H10" s="221">
        <f t="shared" si="1"/>
        <v>2.5649639200150443</v>
      </c>
      <c r="I10" s="221">
        <f t="shared" si="1"/>
        <v>2.5649639200150443</v>
      </c>
      <c r="J10" s="221">
        <f>0.3*J7^(2/3)</f>
        <v>2.5649639200150443</v>
      </c>
      <c r="K10" s="221">
        <f>0.3*K7^(2/3)</f>
        <v>2.5649639200150443</v>
      </c>
      <c r="L10" s="180" t="s">
        <v>192</v>
      </c>
      <c r="M10" s="205" t="s">
        <v>331</v>
      </c>
      <c r="N10" s="224" t="s">
        <v>308</v>
      </c>
    </row>
    <row r="11" spans="1:18" ht="14.1" customHeight="1" x14ac:dyDescent="0.2">
      <c r="A11" s="159" t="s">
        <v>397</v>
      </c>
      <c r="B11" s="221">
        <f t="shared" ref="B11:I11" si="2">0.7*B10</f>
        <v>1.7954747440105308</v>
      </c>
      <c r="C11" s="221">
        <f t="shared" si="2"/>
        <v>1.7954747440105308</v>
      </c>
      <c r="D11" s="221">
        <f t="shared" si="2"/>
        <v>1.7954747440105308</v>
      </c>
      <c r="E11" s="221">
        <f t="shared" si="2"/>
        <v>1.7954747440105308</v>
      </c>
      <c r="F11" s="221">
        <f t="shared" si="2"/>
        <v>1.7954747440105308</v>
      </c>
      <c r="G11" s="221">
        <f t="shared" si="2"/>
        <v>1.7954747440105308</v>
      </c>
      <c r="H11" s="221">
        <f t="shared" si="2"/>
        <v>1.7954747440105308</v>
      </c>
      <c r="I11" s="221">
        <f t="shared" si="2"/>
        <v>1.7954747440105308</v>
      </c>
      <c r="J11" s="221">
        <f>0.7*J10</f>
        <v>1.7954747440105308</v>
      </c>
      <c r="K11" s="221">
        <f>0.7*K10</f>
        <v>1.7954747440105308</v>
      </c>
      <c r="L11" s="180" t="s">
        <v>192</v>
      </c>
      <c r="M11" s="205" t="s">
        <v>398</v>
      </c>
      <c r="N11" s="224" t="s">
        <v>381</v>
      </c>
    </row>
    <row r="12" spans="1:18" ht="14.1" customHeight="1" x14ac:dyDescent="0.2">
      <c r="A12" s="159" t="s">
        <v>437</v>
      </c>
      <c r="B12" s="221">
        <f t="shared" ref="B12:I12" si="3">B11/B8</f>
        <v>1.2824819600075221</v>
      </c>
      <c r="C12" s="221">
        <f t="shared" si="3"/>
        <v>1.2824819600075221</v>
      </c>
      <c r="D12" s="221">
        <f t="shared" si="3"/>
        <v>1.2824819600075221</v>
      </c>
      <c r="E12" s="221">
        <f t="shared" si="3"/>
        <v>1.2824819600075221</v>
      </c>
      <c r="F12" s="221">
        <f t="shared" si="3"/>
        <v>1.1969831626736871</v>
      </c>
      <c r="G12" s="221">
        <f t="shared" si="3"/>
        <v>1.1969831626736871</v>
      </c>
      <c r="H12" s="221">
        <f t="shared" si="3"/>
        <v>1.1969831626736871</v>
      </c>
      <c r="I12" s="221">
        <f t="shared" si="3"/>
        <v>1.1969831626736871</v>
      </c>
      <c r="J12" s="221">
        <f>J11/J8</f>
        <v>1.2824819600075221</v>
      </c>
      <c r="K12" s="221">
        <f>K11/K8</f>
        <v>1.1969831626736871</v>
      </c>
      <c r="L12" s="180" t="s">
        <v>192</v>
      </c>
      <c r="M12" s="205" t="s">
        <v>438</v>
      </c>
      <c r="N12" s="224" t="s">
        <v>422</v>
      </c>
    </row>
    <row r="13" spans="1:18" ht="14.1" customHeight="1" x14ac:dyDescent="0.2">
      <c r="A13" s="216" t="s">
        <v>197</v>
      </c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180"/>
      <c r="M13" s="216"/>
      <c r="N13" s="221"/>
    </row>
    <row r="14" spans="1:18" ht="14.1" customHeight="1" x14ac:dyDescent="0.2">
      <c r="A14" s="159" t="s">
        <v>236</v>
      </c>
      <c r="B14" s="260">
        <f>Principal!$D$14</f>
        <v>500</v>
      </c>
      <c r="C14" s="260">
        <f>Principal!$D$14</f>
        <v>500</v>
      </c>
      <c r="D14" s="260">
        <f>Principal!$D$14</f>
        <v>500</v>
      </c>
      <c r="E14" s="260">
        <f>Principal!$D$14</f>
        <v>500</v>
      </c>
      <c r="F14" s="260">
        <f>Principal!$D$14</f>
        <v>500</v>
      </c>
      <c r="G14" s="260">
        <f>Principal!$D$14</f>
        <v>500</v>
      </c>
      <c r="H14" s="260">
        <f>Principal!$D$14</f>
        <v>500</v>
      </c>
      <c r="I14" s="260">
        <f>Principal!$D$14</f>
        <v>500</v>
      </c>
      <c r="J14" s="223">
        <v>500</v>
      </c>
      <c r="K14" s="223">
        <v>500</v>
      </c>
      <c r="L14" s="180" t="s">
        <v>192</v>
      </c>
      <c r="M14" s="216"/>
      <c r="N14" s="224" t="s">
        <v>198</v>
      </c>
    </row>
    <row r="15" spans="1:18" ht="14.1" customHeight="1" x14ac:dyDescent="0.2">
      <c r="A15" s="158" t="s">
        <v>61</v>
      </c>
      <c r="B15" s="233">
        <v>1.1499999999999999</v>
      </c>
      <c r="C15" s="233">
        <v>1.1499999999999999</v>
      </c>
      <c r="D15" s="233">
        <v>1.1499999999999999</v>
      </c>
      <c r="E15" s="233">
        <v>1.1499999999999999</v>
      </c>
      <c r="F15" s="233">
        <v>1.1499999999999999</v>
      </c>
      <c r="G15" s="233">
        <v>1.1499999999999999</v>
      </c>
      <c r="H15" s="233">
        <v>1.1499999999999999</v>
      </c>
      <c r="I15" s="233">
        <v>1.1499999999999999</v>
      </c>
      <c r="J15" s="233">
        <v>1.1499999999999999</v>
      </c>
      <c r="K15" s="233">
        <v>1.1499999999999999</v>
      </c>
      <c r="L15" s="180"/>
      <c r="M15" s="228"/>
      <c r="N15" s="224" t="s">
        <v>199</v>
      </c>
    </row>
    <row r="16" spans="1:18" ht="14.1" customHeight="1" x14ac:dyDescent="0.2">
      <c r="A16" s="159" t="s">
        <v>237</v>
      </c>
      <c r="B16" s="227">
        <f t="shared" ref="B16:I16" si="4">B14/B15</f>
        <v>434.78260869565219</v>
      </c>
      <c r="C16" s="227">
        <f t="shared" si="4"/>
        <v>434.78260869565219</v>
      </c>
      <c r="D16" s="227">
        <f t="shared" si="4"/>
        <v>434.78260869565219</v>
      </c>
      <c r="E16" s="227">
        <f t="shared" si="4"/>
        <v>434.78260869565219</v>
      </c>
      <c r="F16" s="227">
        <f t="shared" si="4"/>
        <v>434.78260869565219</v>
      </c>
      <c r="G16" s="227">
        <f t="shared" si="4"/>
        <v>434.78260869565219</v>
      </c>
      <c r="H16" s="227">
        <f t="shared" si="4"/>
        <v>434.78260869565219</v>
      </c>
      <c r="I16" s="227">
        <f t="shared" si="4"/>
        <v>434.78260869565219</v>
      </c>
      <c r="J16" s="227">
        <f>J14/J15</f>
        <v>434.78260869565219</v>
      </c>
      <c r="K16" s="227">
        <f>K14/K15</f>
        <v>434.78260869565219</v>
      </c>
      <c r="L16" s="180" t="s">
        <v>192</v>
      </c>
      <c r="M16" s="205" t="s">
        <v>238</v>
      </c>
      <c r="N16" s="224" t="s">
        <v>200</v>
      </c>
    </row>
    <row r="17" spans="1:16" s="232" customFormat="1" ht="14.1" customHeight="1" x14ac:dyDescent="0.2">
      <c r="A17" s="216" t="s">
        <v>205</v>
      </c>
      <c r="B17" s="217"/>
      <c r="C17" s="217"/>
      <c r="D17" s="217"/>
      <c r="E17" s="217"/>
      <c r="F17" s="217"/>
      <c r="G17" s="217"/>
      <c r="H17" s="217"/>
      <c r="I17" s="217"/>
      <c r="J17" s="217"/>
      <c r="K17" s="217"/>
      <c r="L17" s="180"/>
      <c r="M17" s="216"/>
      <c r="N17" s="217"/>
      <c r="O17" s="218"/>
      <c r="P17" s="218"/>
    </row>
    <row r="18" spans="1:16" ht="14.1" customHeight="1" x14ac:dyDescent="0.2">
      <c r="A18" s="180" t="s">
        <v>95</v>
      </c>
      <c r="B18" s="261">
        <f>Principal!$R$19</f>
        <v>100</v>
      </c>
      <c r="C18" s="261">
        <f>Principal!$R$19</f>
        <v>100</v>
      </c>
      <c r="D18" s="261">
        <f>Principal!$R$19</f>
        <v>100</v>
      </c>
      <c r="E18" s="261">
        <f>Principal!$R$19</f>
        <v>100</v>
      </c>
      <c r="F18" s="261">
        <f>Principal!$R$19</f>
        <v>100</v>
      </c>
      <c r="G18" s="261">
        <f>Principal!$R$19</f>
        <v>100</v>
      </c>
      <c r="H18" s="261">
        <f>Principal!$R$19</f>
        <v>100</v>
      </c>
      <c r="I18" s="261">
        <f>Principal!$R$19</f>
        <v>100</v>
      </c>
      <c r="J18" s="233">
        <v>31.25</v>
      </c>
      <c r="K18" s="233">
        <v>31.25</v>
      </c>
      <c r="L18" s="180" t="s">
        <v>19</v>
      </c>
      <c r="M18" s="216"/>
      <c r="N18" s="224" t="s">
        <v>206</v>
      </c>
    </row>
    <row r="19" spans="1:16" ht="14.1" customHeight="1" x14ac:dyDescent="0.2">
      <c r="A19" s="180" t="s">
        <v>139</v>
      </c>
      <c r="B19" s="260">
        <f>Principal!$R$12</f>
        <v>12</v>
      </c>
      <c r="C19" s="260">
        <f>Principal!$R$12</f>
        <v>12</v>
      </c>
      <c r="D19" s="260">
        <f>Principal!$R$12</f>
        <v>12</v>
      </c>
      <c r="E19" s="260">
        <f>Principal!$R$12</f>
        <v>12</v>
      </c>
      <c r="F19" s="260">
        <f>Principal!$R$12</f>
        <v>12</v>
      </c>
      <c r="G19" s="260">
        <f>Principal!$R$12</f>
        <v>12</v>
      </c>
      <c r="H19" s="260">
        <f>Principal!$R$12</f>
        <v>12</v>
      </c>
      <c r="I19" s="260">
        <f>Principal!$R$12</f>
        <v>12</v>
      </c>
      <c r="J19" s="223">
        <v>20</v>
      </c>
      <c r="K19" s="223">
        <v>20</v>
      </c>
      <c r="L19" s="180" t="s">
        <v>19</v>
      </c>
      <c r="M19" s="216"/>
      <c r="N19" s="224" t="s">
        <v>207</v>
      </c>
    </row>
    <row r="20" spans="1:16" ht="14.1" customHeight="1" x14ac:dyDescent="0.2">
      <c r="A20" s="180" t="s">
        <v>448</v>
      </c>
      <c r="B20" s="261">
        <f>Principal!$R$20+1</f>
        <v>3</v>
      </c>
      <c r="C20" s="261">
        <f>Principal!$R$20+1</f>
        <v>3</v>
      </c>
      <c r="D20" s="261">
        <f>Principal!$R$20+1</f>
        <v>3</v>
      </c>
      <c r="E20" s="261">
        <f>Principal!$R$20+1</f>
        <v>3</v>
      </c>
      <c r="F20" s="261">
        <f>Principal!$R$20+1</f>
        <v>3</v>
      </c>
      <c r="G20" s="261">
        <f>Principal!$R$20+1</f>
        <v>3</v>
      </c>
      <c r="H20" s="261">
        <f>Principal!$R$20+1</f>
        <v>3</v>
      </c>
      <c r="I20" s="261">
        <f>Principal!$R$20+1</f>
        <v>3</v>
      </c>
      <c r="J20" s="233">
        <v>3</v>
      </c>
      <c r="K20" s="233">
        <v>3</v>
      </c>
      <c r="L20" s="180" t="s">
        <v>19</v>
      </c>
      <c r="M20" s="216"/>
      <c r="N20" s="216" t="s">
        <v>449</v>
      </c>
    </row>
    <row r="21" spans="1:16" ht="14.1" customHeight="1" x14ac:dyDescent="0.2">
      <c r="A21" s="180" t="s">
        <v>14</v>
      </c>
      <c r="B21" s="225">
        <f t="shared" ref="B21:I21" si="5">B19-B20</f>
        <v>9</v>
      </c>
      <c r="C21" s="225">
        <f t="shared" si="5"/>
        <v>9</v>
      </c>
      <c r="D21" s="225">
        <f t="shared" si="5"/>
        <v>9</v>
      </c>
      <c r="E21" s="225">
        <f t="shared" si="5"/>
        <v>9</v>
      </c>
      <c r="F21" s="225">
        <f t="shared" si="5"/>
        <v>9</v>
      </c>
      <c r="G21" s="225">
        <f t="shared" si="5"/>
        <v>9</v>
      </c>
      <c r="H21" s="225">
        <f t="shared" si="5"/>
        <v>9</v>
      </c>
      <c r="I21" s="225">
        <f t="shared" si="5"/>
        <v>9</v>
      </c>
      <c r="J21" s="225">
        <f>J19-J20</f>
        <v>17</v>
      </c>
      <c r="K21" s="225">
        <f>K19-K20</f>
        <v>17</v>
      </c>
      <c r="L21" s="180" t="s">
        <v>19</v>
      </c>
      <c r="M21" s="216" t="s">
        <v>456</v>
      </c>
      <c r="N21" s="224" t="s">
        <v>208</v>
      </c>
    </row>
    <row r="22" spans="1:16" ht="14.1" customHeight="1" x14ac:dyDescent="0.2">
      <c r="A22" s="180" t="s">
        <v>423</v>
      </c>
      <c r="B22" s="225">
        <f>0.9*B21</f>
        <v>8.1</v>
      </c>
      <c r="C22" s="225">
        <f t="shared" ref="C22:I22" si="6">0.9*C21</f>
        <v>8.1</v>
      </c>
      <c r="D22" s="225">
        <f t="shared" si="6"/>
        <v>8.1</v>
      </c>
      <c r="E22" s="225">
        <f t="shared" si="6"/>
        <v>8.1</v>
      </c>
      <c r="F22" s="225">
        <f t="shared" si="6"/>
        <v>8.1</v>
      </c>
      <c r="G22" s="225">
        <f t="shared" si="6"/>
        <v>8.1</v>
      </c>
      <c r="H22" s="225">
        <f t="shared" si="6"/>
        <v>8.1</v>
      </c>
      <c r="I22" s="225">
        <f t="shared" si="6"/>
        <v>8.1</v>
      </c>
      <c r="J22" s="225">
        <f>0.9*J21</f>
        <v>15.3</v>
      </c>
      <c r="K22" s="225">
        <f>0.9*K21</f>
        <v>15.3</v>
      </c>
      <c r="L22" s="180" t="s">
        <v>19</v>
      </c>
      <c r="M22" s="216" t="s">
        <v>551</v>
      </c>
      <c r="N22" s="217" t="s">
        <v>424</v>
      </c>
    </row>
    <row r="23" spans="1:16" ht="14.1" customHeight="1" x14ac:dyDescent="0.2">
      <c r="A23" s="216" t="s">
        <v>425</v>
      </c>
      <c r="B23" s="225"/>
      <c r="C23" s="225"/>
      <c r="D23" s="225"/>
      <c r="E23" s="225"/>
      <c r="F23" s="225"/>
      <c r="G23" s="225"/>
      <c r="H23" s="225"/>
      <c r="I23" s="225"/>
      <c r="J23" s="225"/>
      <c r="K23" s="225"/>
      <c r="L23" s="180"/>
      <c r="M23" s="216"/>
      <c r="N23" s="217"/>
    </row>
    <row r="24" spans="1:16" ht="14.1" customHeight="1" x14ac:dyDescent="0.2">
      <c r="A24" s="158" t="s">
        <v>50</v>
      </c>
      <c r="B24" s="233">
        <v>1.4</v>
      </c>
      <c r="C24" s="233">
        <v>1.4</v>
      </c>
      <c r="D24" s="233">
        <v>1.4</v>
      </c>
      <c r="E24" s="233">
        <v>1.4</v>
      </c>
      <c r="F24" s="233">
        <v>1.35</v>
      </c>
      <c r="G24" s="233">
        <v>1.35</v>
      </c>
      <c r="H24" s="233">
        <v>1.35</v>
      </c>
      <c r="I24" s="233">
        <v>1.35</v>
      </c>
      <c r="J24" s="233">
        <v>1.4</v>
      </c>
      <c r="K24" s="233">
        <v>1.35</v>
      </c>
      <c r="L24" s="180"/>
      <c r="M24" s="216"/>
      <c r="N24" s="217"/>
    </row>
    <row r="25" spans="1:16" ht="14.1" customHeight="1" x14ac:dyDescent="0.2">
      <c r="A25" s="158" t="s">
        <v>51</v>
      </c>
      <c r="B25" s="233">
        <v>1.4</v>
      </c>
      <c r="C25" s="233">
        <v>1.4</v>
      </c>
      <c r="D25" s="233">
        <v>1.4</v>
      </c>
      <c r="E25" s="233">
        <v>1.4</v>
      </c>
      <c r="F25" s="233">
        <v>1.5</v>
      </c>
      <c r="G25" s="233">
        <v>1.5</v>
      </c>
      <c r="H25" s="233">
        <v>1.5</v>
      </c>
      <c r="I25" s="233">
        <v>1.5</v>
      </c>
      <c r="J25" s="233">
        <v>1.4</v>
      </c>
      <c r="K25" s="233">
        <v>1.5</v>
      </c>
      <c r="L25" s="180"/>
      <c r="M25" s="216"/>
      <c r="N25" s="217"/>
    </row>
    <row r="26" spans="1:16" ht="14.1" customHeight="1" x14ac:dyDescent="0.2">
      <c r="A26" s="180" t="s">
        <v>661</v>
      </c>
      <c r="B26" s="261">
        <f>Principal!$E$51</f>
        <v>10.037459628048996</v>
      </c>
      <c r="C26" s="261">
        <f>Principal!$F$51</f>
        <v>0</v>
      </c>
      <c r="D26" s="261">
        <f>Principal!$G$51</f>
        <v>9.625</v>
      </c>
      <c r="E26" s="261">
        <f>Principal!$H$51</f>
        <v>16.670989022850442</v>
      </c>
      <c r="F26" s="261">
        <f>Principal!$E$51</f>
        <v>10.037459628048996</v>
      </c>
      <c r="G26" s="261">
        <f>Principal!$F$51</f>
        <v>0</v>
      </c>
      <c r="H26" s="261">
        <f>Principal!$G$51</f>
        <v>9.625</v>
      </c>
      <c r="I26" s="261">
        <f>Principal!$H$51</f>
        <v>16.670989022850442</v>
      </c>
      <c r="J26" s="234">
        <v>8</v>
      </c>
      <c r="K26" s="234">
        <v>8</v>
      </c>
      <c r="L26" s="180"/>
      <c r="M26" s="216"/>
      <c r="N26" s="217"/>
    </row>
    <row r="27" spans="1:16" ht="14.1" customHeight="1" x14ac:dyDescent="0.2">
      <c r="A27" s="180" t="s">
        <v>662</v>
      </c>
      <c r="B27" s="261">
        <f>Principal!$E$52</f>
        <v>0</v>
      </c>
      <c r="C27" s="261">
        <f>Principal!$F$52</f>
        <v>0</v>
      </c>
      <c r="D27" s="261">
        <f>Principal!$G$52</f>
        <v>0</v>
      </c>
      <c r="E27" s="261">
        <f>Principal!$H$52</f>
        <v>0</v>
      </c>
      <c r="F27" s="261">
        <f>Principal!$E$52</f>
        <v>0</v>
      </c>
      <c r="G27" s="261">
        <f>Principal!$F$52</f>
        <v>0</v>
      </c>
      <c r="H27" s="261">
        <f>Principal!$G$52</f>
        <v>0</v>
      </c>
      <c r="I27" s="261">
        <f>Principal!$H$52</f>
        <v>0</v>
      </c>
      <c r="J27" s="234">
        <v>5</v>
      </c>
      <c r="K27" s="234">
        <v>5</v>
      </c>
      <c r="L27" s="180"/>
      <c r="M27" s="216"/>
      <c r="N27" s="217"/>
    </row>
    <row r="28" spans="1:16" ht="14.1" customHeight="1" x14ac:dyDescent="0.2">
      <c r="A28" s="159" t="s">
        <v>439</v>
      </c>
      <c r="B28" s="227">
        <f>B24*B26+B25*B27</f>
        <v>14.052443479268593</v>
      </c>
      <c r="C28" s="227">
        <f t="shared" ref="C28:K28" si="7">C24*C26+C25*C27</f>
        <v>0</v>
      </c>
      <c r="D28" s="227">
        <f t="shared" si="7"/>
        <v>13.475</v>
      </c>
      <c r="E28" s="227">
        <f t="shared" si="7"/>
        <v>23.339384631990619</v>
      </c>
      <c r="F28" s="227">
        <f t="shared" si="7"/>
        <v>13.550570497866145</v>
      </c>
      <c r="G28" s="227">
        <f t="shared" si="7"/>
        <v>0</v>
      </c>
      <c r="H28" s="227">
        <f t="shared" si="7"/>
        <v>12.99375</v>
      </c>
      <c r="I28" s="227">
        <f t="shared" si="7"/>
        <v>22.505835180848099</v>
      </c>
      <c r="J28" s="227">
        <f>J24*J26+J25*J27</f>
        <v>18.2</v>
      </c>
      <c r="K28" s="227">
        <f t="shared" si="7"/>
        <v>18.3</v>
      </c>
      <c r="L28" s="180" t="s">
        <v>546</v>
      </c>
      <c r="M28" s="205"/>
      <c r="N28" s="224" t="s">
        <v>426</v>
      </c>
    </row>
    <row r="29" spans="1:16" s="220" customFormat="1" ht="14.1" customHeight="1" x14ac:dyDescent="0.2">
      <c r="A29" s="216" t="s">
        <v>440</v>
      </c>
      <c r="B29" s="221"/>
      <c r="C29" s="221"/>
      <c r="D29" s="221"/>
      <c r="E29" s="221"/>
      <c r="F29" s="221"/>
      <c r="G29" s="221"/>
      <c r="H29" s="221"/>
      <c r="I29" s="221"/>
      <c r="J29" s="221"/>
      <c r="K29" s="221"/>
      <c r="L29" s="180"/>
      <c r="M29" s="216"/>
      <c r="N29" s="221"/>
      <c r="O29" s="222"/>
      <c r="P29" s="222"/>
    </row>
    <row r="30" spans="1:16" s="220" customFormat="1" ht="14.1" customHeight="1" x14ac:dyDescent="0.2">
      <c r="A30" s="180" t="s">
        <v>138</v>
      </c>
      <c r="B30" s="261">
        <f>Principal!$E$39</f>
        <v>3.3510321638291134</v>
      </c>
      <c r="C30" s="261" t="str">
        <f>Principal!$F$39</f>
        <v/>
      </c>
      <c r="D30" s="261">
        <f>Principal!$G$39</f>
        <v>2.2266037932317659</v>
      </c>
      <c r="E30" s="261">
        <f>Principal!$H$39</f>
        <v>5.8437363348024425</v>
      </c>
      <c r="F30" s="261">
        <f>Principal!$E$39</f>
        <v>3.3510321638291134</v>
      </c>
      <c r="G30" s="261" t="str">
        <f>Principal!$F$39</f>
        <v/>
      </c>
      <c r="H30" s="261">
        <f>Principal!$G$39</f>
        <v>2.2266037932317659</v>
      </c>
      <c r="I30" s="261">
        <f>Principal!$H$39</f>
        <v>5.8437363348024425</v>
      </c>
      <c r="J30" s="233">
        <v>4.13</v>
      </c>
      <c r="K30" s="233">
        <v>4.13</v>
      </c>
      <c r="L30" s="180" t="s">
        <v>30</v>
      </c>
      <c r="M30" s="216"/>
      <c r="N30" s="217" t="s">
        <v>427</v>
      </c>
      <c r="O30" s="222"/>
      <c r="P30" s="222"/>
    </row>
    <row r="31" spans="1:16" s="220" customFormat="1" ht="14.1" customHeight="1" x14ac:dyDescent="0.2">
      <c r="A31" s="236" t="s">
        <v>441</v>
      </c>
      <c r="B31" s="221">
        <f>0.25*B12</f>
        <v>0.32062049000188053</v>
      </c>
      <c r="C31" s="221">
        <f>0.25*C12</f>
        <v>0.32062049000188053</v>
      </c>
      <c r="D31" s="221">
        <f>0.25*D12</f>
        <v>0.32062049000188053</v>
      </c>
      <c r="E31" s="221">
        <f>0.25*E12</f>
        <v>0.32062049000188053</v>
      </c>
      <c r="F31" s="221" t="s">
        <v>526</v>
      </c>
      <c r="G31" s="221" t="s">
        <v>526</v>
      </c>
      <c r="H31" s="221" t="s">
        <v>526</v>
      </c>
      <c r="I31" s="221" t="s">
        <v>526</v>
      </c>
      <c r="J31" s="221">
        <f>0.25*J12</f>
        <v>0.32062049000188053</v>
      </c>
      <c r="K31" s="221" t="s">
        <v>526</v>
      </c>
      <c r="L31" s="180" t="s">
        <v>192</v>
      </c>
      <c r="M31" s="216" t="s">
        <v>543</v>
      </c>
      <c r="N31" s="217"/>
      <c r="O31" s="222"/>
      <c r="P31" s="222"/>
    </row>
    <row r="32" spans="1:16" s="220" customFormat="1" ht="14.1" customHeight="1" x14ac:dyDescent="0.2">
      <c r="A32" s="180" t="s">
        <v>542</v>
      </c>
      <c r="B32" s="221" t="s">
        <v>526</v>
      </c>
      <c r="C32" s="221" t="s">
        <v>526</v>
      </c>
      <c r="D32" s="221" t="s">
        <v>526</v>
      </c>
      <c r="E32" s="221" t="s">
        <v>526</v>
      </c>
      <c r="F32" s="221">
        <f>0.18/F8</f>
        <v>0.12</v>
      </c>
      <c r="G32" s="221">
        <f>0.18/G8</f>
        <v>0.12</v>
      </c>
      <c r="H32" s="221">
        <f>0.18/H8</f>
        <v>0.12</v>
      </c>
      <c r="I32" s="221">
        <f>0.18/I8</f>
        <v>0.12</v>
      </c>
      <c r="J32" s="221" t="s">
        <v>526</v>
      </c>
      <c r="K32" s="221">
        <f>0.18/K8</f>
        <v>0.12</v>
      </c>
      <c r="L32" s="180"/>
      <c r="M32" s="216" t="s">
        <v>544</v>
      </c>
      <c r="N32" s="217"/>
      <c r="O32" s="222"/>
      <c r="P32" s="222"/>
    </row>
    <row r="33" spans="1:16" s="220" customFormat="1" ht="14.1" customHeight="1" x14ac:dyDescent="0.2">
      <c r="A33" s="180" t="s">
        <v>153</v>
      </c>
      <c r="B33" s="227">
        <f>MAX(1.6-B21/100,1)</f>
        <v>1.51</v>
      </c>
      <c r="C33" s="227">
        <f>MAX(1.6-C21/100,1)</f>
        <v>1.51</v>
      </c>
      <c r="D33" s="227">
        <f>MAX(1.6-D21/100,1)</f>
        <v>1.51</v>
      </c>
      <c r="E33" s="227">
        <f>MAX(1.6-E21/100,1)</f>
        <v>1.51</v>
      </c>
      <c r="F33" s="227">
        <f>MIN(1+SQRT(0.2/(F21/100)),2)</f>
        <v>2</v>
      </c>
      <c r="G33" s="227">
        <f>MIN(1+SQRT(0.2/(G21/100)),2)</f>
        <v>2</v>
      </c>
      <c r="H33" s="227">
        <f>MIN(1+SQRT(0.2/(H21/100)),2)</f>
        <v>2</v>
      </c>
      <c r="I33" s="227">
        <f>MIN(1+SQRT(0.2/(I21/100)),2)</f>
        <v>2</v>
      </c>
      <c r="J33" s="227">
        <f>MAX(1.6-J21/100,1)</f>
        <v>1.4300000000000002</v>
      </c>
      <c r="K33" s="227">
        <f>MIN(1+SQRT(0.2/(K21/100)),2)</f>
        <v>2</v>
      </c>
      <c r="L33" s="180"/>
      <c r="M33" s="216" t="s">
        <v>541</v>
      </c>
      <c r="N33" s="217" t="s">
        <v>428</v>
      </c>
      <c r="O33" s="222"/>
      <c r="P33" s="222"/>
    </row>
    <row r="34" spans="1:16" s="220" customFormat="1" ht="14.1" customHeight="1" x14ac:dyDescent="0.2">
      <c r="A34" s="236" t="s">
        <v>480</v>
      </c>
      <c r="B34" s="256">
        <f>MIN(B30/(B18*B21),0.02)</f>
        <v>3.723369070921237E-3</v>
      </c>
      <c r="C34" s="256" t="e">
        <f>MIN(C30/(C18*C21),0.02)</f>
        <v>#VALUE!</v>
      </c>
      <c r="D34" s="256">
        <f t="shared" ref="D34:I34" si="8">MIN(D30/(D18*D21),0.02)</f>
        <v>2.4740042147019621E-3</v>
      </c>
      <c r="E34" s="256">
        <f t="shared" si="8"/>
        <v>6.4930403720027136E-3</v>
      </c>
      <c r="F34" s="256">
        <f t="shared" si="8"/>
        <v>3.723369070921237E-3</v>
      </c>
      <c r="G34" s="256" t="e">
        <f t="shared" si="8"/>
        <v>#VALUE!</v>
      </c>
      <c r="H34" s="256">
        <f t="shared" si="8"/>
        <v>2.4740042147019621E-3</v>
      </c>
      <c r="I34" s="256">
        <f t="shared" si="8"/>
        <v>6.4930403720027136E-3</v>
      </c>
      <c r="J34" s="256">
        <f>MIN(J30/(J18*J21),0.02)</f>
        <v>7.7741176470588237E-3</v>
      </c>
      <c r="K34" s="256">
        <f>MIN(K30/(K18*K21),0.02)</f>
        <v>7.7741176470588237E-3</v>
      </c>
      <c r="L34" s="180"/>
      <c r="M34" s="216" t="s">
        <v>549</v>
      </c>
      <c r="N34" s="217" t="s">
        <v>429</v>
      </c>
      <c r="O34" s="222"/>
      <c r="P34" s="222"/>
    </row>
    <row r="35" spans="1:16" s="220" customFormat="1" ht="14.1" customHeight="1" x14ac:dyDescent="0.2">
      <c r="A35" s="159" t="s">
        <v>561</v>
      </c>
      <c r="B35" s="221" t="s">
        <v>526</v>
      </c>
      <c r="C35" s="221" t="s">
        <v>526</v>
      </c>
      <c r="D35" s="221" t="s">
        <v>526</v>
      </c>
      <c r="E35" s="221" t="s">
        <v>526</v>
      </c>
      <c r="F35" s="227">
        <f>0.035*F33^(3/2)*SQRT(F7)/10*F18*F21</f>
        <v>44.547727214752491</v>
      </c>
      <c r="G35" s="227">
        <f>0.035*G33^(3/2)*SQRT(G7)/10*G18*G21</f>
        <v>44.547727214752491</v>
      </c>
      <c r="H35" s="227">
        <f>0.035*H33^(3/2)*SQRT(H7)/10*H18*H21</f>
        <v>44.547727214752491</v>
      </c>
      <c r="I35" s="227">
        <f>0.035*I33^(3/2)*SQRT(I7)/10*I18*I21</f>
        <v>44.547727214752491</v>
      </c>
      <c r="J35" s="221" t="s">
        <v>526</v>
      </c>
      <c r="K35" s="227">
        <f>0.035*K33^(3/2)*SQRT(K7)/10*K18*K21</f>
        <v>26.295533425374732</v>
      </c>
      <c r="L35" s="180" t="s">
        <v>546</v>
      </c>
      <c r="M35" s="216" t="s">
        <v>547</v>
      </c>
      <c r="N35" s="217"/>
      <c r="O35" s="222"/>
      <c r="P35" s="222"/>
    </row>
    <row r="36" spans="1:16" ht="14.1" customHeight="1" x14ac:dyDescent="0.2">
      <c r="A36" s="159" t="s">
        <v>545</v>
      </c>
      <c r="B36" s="238">
        <f>(B31/10)*B33*(1.2+40*B34)*B18*B21</f>
        <v>58.776223338755557</v>
      </c>
      <c r="C36" s="238" t="e">
        <f>(C31/10)*C33*(1.2+40*C34)*C18*C21</f>
        <v>#VALUE!</v>
      </c>
      <c r="D36" s="238">
        <f>(D31/10)*D33*(1.2+40*D34)*D18*D21</f>
        <v>56.598714096831813</v>
      </c>
      <c r="E36" s="238">
        <f>(E31/10)*E33*(1.2+40*E34)*E18*E21</f>
        <v>63.603464016427829</v>
      </c>
      <c r="F36" s="238">
        <f>MAX(F32*F33*(100*F34*F7)^(1/3)/10*F18*F21,F35)</f>
        <v>45.43729299794623</v>
      </c>
      <c r="G36" s="238" t="e">
        <f>MAX(G32*G33*(100*G34*G7)^(1/3)/10*G18*G21,G35)</f>
        <v>#VALUE!</v>
      </c>
      <c r="H36" s="238">
        <f>MAX(H32*H33*(100*H34*H7)^(1/3)/10*H18*H21,H35)</f>
        <v>44.547727214752491</v>
      </c>
      <c r="I36" s="238">
        <f>MAX(I32*I33*(100*I34*I7)^(1/3)/10*I18*I21,I35)</f>
        <v>54.691074398317575</v>
      </c>
      <c r="J36" s="238">
        <f>(J31/10)*J33*(1.2+40*J34)*J18*J21</f>
        <v>36.802775627404863</v>
      </c>
      <c r="K36" s="238">
        <f>MAX(K32*K33*(100*K34*K7)^(1/3)/10*K18*K21,K35)</f>
        <v>34.279979788691364</v>
      </c>
      <c r="L36" s="180" t="s">
        <v>546</v>
      </c>
      <c r="M36" s="205" t="s">
        <v>550</v>
      </c>
      <c r="N36" s="224" t="s">
        <v>548</v>
      </c>
    </row>
    <row r="37" spans="1:16" ht="14.1" customHeight="1" x14ac:dyDescent="0.3">
      <c r="A37" s="180" t="s">
        <v>31</v>
      </c>
      <c r="B37" s="184">
        <f t="shared" ref="B37:I37" si="9">B28/B36</f>
        <v>0.23908381112337931</v>
      </c>
      <c r="C37" s="184" t="e">
        <f t="shared" si="9"/>
        <v>#VALUE!</v>
      </c>
      <c r="D37" s="184">
        <f t="shared" si="9"/>
        <v>0.23807961391042062</v>
      </c>
      <c r="E37" s="184">
        <f t="shared" si="9"/>
        <v>0.36695147022121943</v>
      </c>
      <c r="F37" s="184">
        <f t="shared" si="9"/>
        <v>0.29822574374046956</v>
      </c>
      <c r="G37" s="184" t="e">
        <f t="shared" si="9"/>
        <v>#VALUE!</v>
      </c>
      <c r="H37" s="184">
        <f t="shared" si="9"/>
        <v>0.29168154723945089</v>
      </c>
      <c r="I37" s="184">
        <f t="shared" si="9"/>
        <v>0.41150837551548319</v>
      </c>
      <c r="J37" s="184">
        <f>J28/J36</f>
        <v>0.49452791779236155</v>
      </c>
      <c r="K37" s="184">
        <f>K28/K36</f>
        <v>0.53383928791104462</v>
      </c>
      <c r="L37" s="180"/>
      <c r="M37" s="216" t="s">
        <v>31</v>
      </c>
      <c r="N37" s="217" t="s">
        <v>442</v>
      </c>
    </row>
    <row r="38" spans="1:16" ht="14.1" customHeight="1" x14ac:dyDescent="0.2">
      <c r="A38" s="216" t="s">
        <v>443</v>
      </c>
      <c r="B38" s="225"/>
      <c r="C38" s="225"/>
      <c r="D38" s="225"/>
      <c r="E38" s="225"/>
      <c r="F38" s="225"/>
      <c r="G38" s="225"/>
      <c r="H38" s="225"/>
      <c r="I38" s="225"/>
      <c r="J38" s="225"/>
      <c r="K38" s="225"/>
      <c r="L38" s="180"/>
      <c r="M38" s="205"/>
      <c r="N38" s="224"/>
    </row>
    <row r="39" spans="1:16" ht="14.1" customHeight="1" x14ac:dyDescent="0.2">
      <c r="A39" s="180" t="s">
        <v>430</v>
      </c>
      <c r="B39" s="259" t="s">
        <v>431</v>
      </c>
      <c r="C39" s="259" t="s">
        <v>431</v>
      </c>
      <c r="D39" s="259" t="s">
        <v>431</v>
      </c>
      <c r="E39" s="259" t="s">
        <v>431</v>
      </c>
      <c r="F39" s="229" t="s">
        <v>526</v>
      </c>
      <c r="G39" s="229" t="s">
        <v>526</v>
      </c>
      <c r="H39" s="229" t="s">
        <v>526</v>
      </c>
      <c r="I39" s="229" t="s">
        <v>526</v>
      </c>
      <c r="J39" s="259" t="s">
        <v>431</v>
      </c>
      <c r="K39" s="229" t="s">
        <v>526</v>
      </c>
      <c r="L39" s="180"/>
      <c r="M39" s="216" t="s">
        <v>652</v>
      </c>
      <c r="N39" s="217" t="s">
        <v>432</v>
      </c>
    </row>
    <row r="40" spans="1:16" ht="14.1" customHeight="1" x14ac:dyDescent="0.2">
      <c r="A40" s="236" t="s">
        <v>433</v>
      </c>
      <c r="B40" s="229">
        <f>IF(B39="simplificado",45,30)</f>
        <v>45</v>
      </c>
      <c r="C40" s="229">
        <f>IF(C39="simplificado",45,30)</f>
        <v>45</v>
      </c>
      <c r="D40" s="229">
        <f>IF(D39="simplificado",45,30)</f>
        <v>45</v>
      </c>
      <c r="E40" s="229">
        <f>IF(E39="simplificado",45,30)</f>
        <v>45</v>
      </c>
      <c r="F40" s="229" t="s">
        <v>526</v>
      </c>
      <c r="G40" s="229" t="s">
        <v>526</v>
      </c>
      <c r="H40" s="229" t="s">
        <v>526</v>
      </c>
      <c r="I40" s="229" t="s">
        <v>526</v>
      </c>
      <c r="J40" s="229">
        <f>IF(J39="simplificado",45,30)</f>
        <v>45</v>
      </c>
      <c r="K40" s="229" t="s">
        <v>526</v>
      </c>
      <c r="L40" s="221" t="s">
        <v>434</v>
      </c>
      <c r="M40" s="216" t="s">
        <v>653</v>
      </c>
      <c r="N40" s="224" t="s">
        <v>435</v>
      </c>
    </row>
    <row r="41" spans="1:16" ht="14.1" customHeight="1" x14ac:dyDescent="0.3">
      <c r="A41" s="158" t="s">
        <v>142</v>
      </c>
      <c r="B41" s="227">
        <f t="shared" ref="B41:I41" si="10">0.6*(1-B7/250)</f>
        <v>0.54</v>
      </c>
      <c r="C41" s="227">
        <f t="shared" si="10"/>
        <v>0.54</v>
      </c>
      <c r="D41" s="227">
        <f t="shared" si="10"/>
        <v>0.54</v>
      </c>
      <c r="E41" s="227">
        <f t="shared" si="10"/>
        <v>0.54</v>
      </c>
      <c r="F41" s="227">
        <f t="shared" si="10"/>
        <v>0.54</v>
      </c>
      <c r="G41" s="227">
        <f t="shared" si="10"/>
        <v>0.54</v>
      </c>
      <c r="H41" s="227">
        <f t="shared" si="10"/>
        <v>0.54</v>
      </c>
      <c r="I41" s="227">
        <f t="shared" si="10"/>
        <v>0.54</v>
      </c>
      <c r="J41" s="227">
        <f>0.6*(1-J7/250)</f>
        <v>0.54</v>
      </c>
      <c r="K41" s="227">
        <f>0.6*(1-K7/250)</f>
        <v>0.54</v>
      </c>
      <c r="L41" s="180"/>
      <c r="M41" s="205" t="s">
        <v>444</v>
      </c>
      <c r="N41" s="217" t="s">
        <v>445</v>
      </c>
    </row>
    <row r="42" spans="1:16" ht="14.1" customHeight="1" x14ac:dyDescent="0.2">
      <c r="A42" s="159" t="s">
        <v>562</v>
      </c>
      <c r="B42" s="242">
        <f>0.5*B18*B22*B41*(B9/10)*SIN(RADIANS(2*B40))</f>
        <v>390.53571428571433</v>
      </c>
      <c r="C42" s="242">
        <f>0.5*C18*C22*C41*(C9/10)*SIN(RADIANS(2*C40))</f>
        <v>390.53571428571433</v>
      </c>
      <c r="D42" s="242">
        <f>0.5*D18*D22*D41*(D9/10)*SIN(RADIANS(2*D40))</f>
        <v>390.53571428571433</v>
      </c>
      <c r="E42" s="242">
        <f>0.5*E18*E22*E41*(E9/10)*SIN(RADIANS(2*E40))</f>
        <v>390.53571428571433</v>
      </c>
      <c r="F42" s="242">
        <f>0.5*F18*F21*F41*(F9/10)</f>
        <v>405.00000000000006</v>
      </c>
      <c r="G42" s="242">
        <f>0.5*G18*G21*G41*(G9/10)</f>
        <v>405.00000000000006</v>
      </c>
      <c r="H42" s="242">
        <f>0.5*H18*H21*H41*(H9/10)</f>
        <v>405.00000000000006</v>
      </c>
      <c r="I42" s="242">
        <f>0.5*I18*I21*I41*(I9/10)</f>
        <v>405.00000000000006</v>
      </c>
      <c r="J42" s="242">
        <f>0.5*J18*J22*J41*(J9/10)*SIN(RADIANS(2*J40))</f>
        <v>230.52455357142858</v>
      </c>
      <c r="K42" s="242">
        <f>0.5*K18*K21*K41*(K9/10)</f>
        <v>239.0625</v>
      </c>
      <c r="L42" s="180" t="s">
        <v>546</v>
      </c>
      <c r="M42" s="216" t="s">
        <v>599</v>
      </c>
      <c r="N42" s="224" t="s">
        <v>436</v>
      </c>
    </row>
    <row r="43" spans="1:16" ht="14.1" customHeight="1" x14ac:dyDescent="0.3">
      <c r="A43" s="180" t="s">
        <v>446</v>
      </c>
      <c r="B43" s="184">
        <f t="shared" ref="B43:I43" si="11">B28/B42</f>
        <v>3.5982479873755878E-2</v>
      </c>
      <c r="C43" s="184">
        <f t="shared" si="11"/>
        <v>0</v>
      </c>
      <c r="D43" s="184">
        <f t="shared" si="11"/>
        <v>3.450388660265203E-2</v>
      </c>
      <c r="E43" s="184">
        <f t="shared" si="11"/>
        <v>5.9762484654388409E-2</v>
      </c>
      <c r="F43" s="184">
        <f>F28/F42</f>
        <v>3.3458198760163316E-2</v>
      </c>
      <c r="G43" s="184">
        <f t="shared" si="11"/>
        <v>0</v>
      </c>
      <c r="H43" s="184">
        <f t="shared" si="11"/>
        <v>3.2083333333333332E-2</v>
      </c>
      <c r="I43" s="184">
        <f t="shared" si="11"/>
        <v>5.5569963409501467E-2</v>
      </c>
      <c r="J43" s="184">
        <f>J28/J42</f>
        <v>7.8950375211813112E-2</v>
      </c>
      <c r="K43" s="184">
        <f>K28/K42</f>
        <v>7.6549019607843147E-2</v>
      </c>
      <c r="L43" s="180"/>
      <c r="M43" s="216" t="s">
        <v>446</v>
      </c>
      <c r="N43" s="217" t="s">
        <v>447</v>
      </c>
    </row>
    <row r="44" spans="1:16" ht="14.1" customHeight="1" x14ac:dyDescent="0.2">
      <c r="A44" s="211"/>
      <c r="B44" s="211"/>
      <c r="C44" s="211"/>
      <c r="D44" s="211"/>
      <c r="E44" s="211"/>
      <c r="F44" s="211"/>
      <c r="G44" s="211"/>
      <c r="H44" s="211"/>
      <c r="I44" s="211"/>
      <c r="J44" s="211"/>
      <c r="K44" s="211"/>
      <c r="L44" s="211"/>
      <c r="M44" s="211"/>
      <c r="N44" s="211"/>
    </row>
    <row r="45" spans="1:16" ht="15" customHeight="1" x14ac:dyDescent="0.2">
      <c r="B45" s="253"/>
      <c r="C45" s="253"/>
      <c r="D45" s="253"/>
      <c r="E45" s="253"/>
      <c r="F45" s="253"/>
      <c r="G45" s="253"/>
      <c r="H45" s="253"/>
      <c r="I45" s="253"/>
      <c r="J45" s="253"/>
      <c r="K45" s="253"/>
    </row>
    <row r="46" spans="1:16" ht="15" customHeight="1" x14ac:dyDescent="0.2">
      <c r="B46" s="253"/>
      <c r="C46" s="253"/>
      <c r="D46" s="253"/>
      <c r="E46" s="253"/>
      <c r="F46" s="253"/>
      <c r="G46" s="253"/>
      <c r="H46" s="253"/>
      <c r="I46" s="253"/>
      <c r="J46" s="253"/>
      <c r="K46" s="253"/>
    </row>
    <row r="47" spans="1:16" ht="15" customHeight="1" x14ac:dyDescent="0.2">
      <c r="B47" s="253"/>
      <c r="C47" s="253"/>
      <c r="D47" s="253"/>
      <c r="E47" s="253"/>
      <c r="F47" s="253"/>
      <c r="G47" s="253"/>
      <c r="H47" s="253"/>
      <c r="I47" s="253"/>
      <c r="J47" s="253"/>
      <c r="K47" s="253"/>
    </row>
    <row r="48" spans="1:16" ht="15" customHeight="1" x14ac:dyDescent="0.2">
      <c r="B48" s="253"/>
      <c r="C48" s="253"/>
      <c r="D48" s="253"/>
      <c r="E48" s="253"/>
      <c r="F48" s="253"/>
      <c r="G48" s="253"/>
      <c r="H48" s="253"/>
      <c r="I48" s="253"/>
      <c r="J48" s="253"/>
      <c r="K48" s="253"/>
    </row>
    <row r="49" spans="2:11" ht="15" customHeight="1" x14ac:dyDescent="0.2">
      <c r="B49" s="253"/>
      <c r="C49" s="253"/>
      <c r="D49" s="253"/>
      <c r="E49" s="253"/>
      <c r="F49" s="253"/>
      <c r="G49" s="253"/>
      <c r="H49" s="253"/>
      <c r="I49" s="253"/>
      <c r="J49" s="253"/>
      <c r="K49" s="253"/>
    </row>
    <row r="50" spans="2:11" ht="15" customHeight="1" x14ac:dyDescent="0.2"/>
    <row r="51" spans="2:11" ht="15" customHeight="1" x14ac:dyDescent="0.2"/>
    <row r="52" spans="2:11" ht="15" customHeight="1" x14ac:dyDescent="0.2"/>
    <row r="53" spans="2:11" ht="15" customHeight="1" x14ac:dyDescent="0.2"/>
    <row r="54" spans="2:11" ht="15" customHeight="1" x14ac:dyDescent="0.2"/>
    <row r="55" spans="2:11" ht="15" customHeight="1" x14ac:dyDescent="0.2"/>
    <row r="56" spans="2:11" ht="15" customHeight="1" x14ac:dyDescent="0.2"/>
    <row r="57" spans="2:11" ht="15" customHeight="1" x14ac:dyDescent="0.2"/>
    <row r="58" spans="2:11" ht="15" customHeight="1" x14ac:dyDescent="0.2"/>
    <row r="59" spans="2:11" ht="15" customHeight="1" x14ac:dyDescent="0.2"/>
    <row r="60" spans="2:11" ht="15" customHeight="1" x14ac:dyDescent="0.2"/>
    <row r="61" spans="2:11" ht="15" customHeight="1" x14ac:dyDescent="0.2"/>
    <row r="62" spans="2:11" ht="15" customHeight="1" x14ac:dyDescent="0.2"/>
    <row r="63" spans="2:11" ht="15" customHeight="1" x14ac:dyDescent="0.2"/>
    <row r="64" spans="2:11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</sheetData>
  <phoneticPr fontId="25" type="noConversion"/>
  <conditionalFormatting sqref="B37:K37 B43:K43">
    <cfRule type="cellIs" dxfId="13" priority="1" stopIfTrue="1" operator="greaterThan">
      <formula>1</formula>
    </cfRule>
  </conditionalFormatting>
  <dataValidations disablePrompts="1" count="1">
    <dataValidation type="list" allowBlank="1" showInputMessage="1" showErrorMessage="1" sqref="B39:E39 J39">
      <formula1>"simplificado,refinado"</formula1>
    </dataValidation>
  </dataValidations>
  <printOptions horizontalCentered="1" verticalCentered="1"/>
  <pageMargins left="0" right="0.11811023622047245" top="0.78740157480314965" bottom="0.59055118110236227" header="0.51181102362204722" footer="0.51181102362204722"/>
  <pageSetup paperSize="9" scale="75" orientation="landscape" blackAndWhite="1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8"/>
  <sheetViews>
    <sheetView showGridLines="0" topLeftCell="A61" zoomScale="117" zoomScaleNormal="117" zoomScaleSheetLayoutView="150" workbookViewId="0">
      <selection activeCell="B83" sqref="B83"/>
    </sheetView>
  </sheetViews>
  <sheetFormatPr defaultRowHeight="12.75" x14ac:dyDescent="0.2"/>
  <cols>
    <col min="1" max="1" width="10.7109375" style="240" customWidth="1"/>
    <col min="2" max="7" width="10.7109375" style="210" customWidth="1"/>
    <col min="8" max="8" width="10.7109375" style="240" customWidth="1"/>
    <col min="9" max="9" width="76.5703125" style="241" customWidth="1"/>
    <col min="10" max="10" width="75.7109375" style="254" customWidth="1"/>
    <col min="11" max="11" width="6.140625" style="210" bestFit="1" customWidth="1"/>
    <col min="12" max="12" width="10.7109375" style="210" bestFit="1" customWidth="1"/>
    <col min="13" max="16384" width="9.140625" style="211"/>
  </cols>
  <sheetData>
    <row r="1" spans="1:14" ht="14.1" customHeight="1" x14ac:dyDescent="0.2">
      <c r="A1" s="206" t="s">
        <v>9</v>
      </c>
      <c r="B1" s="207"/>
      <c r="C1" s="207"/>
      <c r="D1" s="207"/>
      <c r="E1" s="207"/>
      <c r="F1" s="207"/>
      <c r="G1" s="207"/>
      <c r="H1" s="208"/>
      <c r="I1" s="208" t="s">
        <v>10</v>
      </c>
      <c r="J1" s="209" t="s">
        <v>92</v>
      </c>
    </row>
    <row r="2" spans="1:14" ht="14.1" customHeight="1" x14ac:dyDescent="0.2">
      <c r="A2" s="212" t="s">
        <v>188</v>
      </c>
      <c r="B2" s="213"/>
      <c r="C2" s="213"/>
      <c r="D2" s="213"/>
      <c r="E2" s="213"/>
      <c r="F2" s="213"/>
      <c r="G2" s="213"/>
      <c r="H2" s="214"/>
      <c r="I2" s="214" t="s">
        <v>189</v>
      </c>
      <c r="J2" s="215" t="s">
        <v>190</v>
      </c>
    </row>
    <row r="3" spans="1:14" s="220" customFormat="1" ht="14.1" customHeight="1" x14ac:dyDescent="0.2">
      <c r="A3" s="216" t="s">
        <v>657</v>
      </c>
      <c r="B3" s="217"/>
      <c r="C3" s="217"/>
      <c r="D3" s="217"/>
      <c r="E3" s="217"/>
      <c r="F3" s="217"/>
      <c r="G3" s="217"/>
      <c r="H3" s="180"/>
      <c r="I3" s="216"/>
      <c r="J3" s="217"/>
      <c r="K3" s="218"/>
      <c r="L3" s="218"/>
      <c r="M3" s="219"/>
      <c r="N3" s="219"/>
    </row>
    <row r="4" spans="1:14" s="220" customFormat="1" ht="14.1" customHeight="1" x14ac:dyDescent="0.2">
      <c r="A4" s="180" t="s">
        <v>511</v>
      </c>
      <c r="B4" s="221" t="s">
        <v>512</v>
      </c>
      <c r="C4" s="221" t="s">
        <v>512</v>
      </c>
      <c r="D4" s="221" t="s">
        <v>513</v>
      </c>
      <c r="E4" s="221" t="s">
        <v>513</v>
      </c>
      <c r="F4" s="221" t="s">
        <v>512</v>
      </c>
      <c r="G4" s="221" t="s">
        <v>513</v>
      </c>
      <c r="H4" s="180"/>
      <c r="I4" s="216"/>
      <c r="J4" s="217" t="s">
        <v>540</v>
      </c>
      <c r="K4" s="218"/>
      <c r="L4" s="218"/>
      <c r="M4" s="219"/>
      <c r="N4" s="219"/>
    </row>
    <row r="5" spans="1:14" s="220" customFormat="1" ht="14.1" customHeight="1" x14ac:dyDescent="0.2">
      <c r="A5" s="180" t="s">
        <v>319</v>
      </c>
      <c r="B5" s="221" t="s">
        <v>2</v>
      </c>
      <c r="C5" s="221" t="s">
        <v>95</v>
      </c>
      <c r="D5" s="221" t="s">
        <v>2</v>
      </c>
      <c r="E5" s="221" t="s">
        <v>95</v>
      </c>
      <c r="F5" s="221" t="s">
        <v>2</v>
      </c>
      <c r="G5" s="221" t="s">
        <v>2</v>
      </c>
      <c r="H5" s="180"/>
      <c r="I5" s="216"/>
      <c r="J5" s="217" t="s">
        <v>452</v>
      </c>
      <c r="K5" s="222"/>
      <c r="L5" s="222"/>
    </row>
    <row r="6" spans="1:14" s="220" customFormat="1" ht="14.1" customHeight="1" x14ac:dyDescent="0.2">
      <c r="A6" s="180" t="s">
        <v>457</v>
      </c>
      <c r="B6" s="221" t="s">
        <v>458</v>
      </c>
      <c r="C6" s="221" t="s">
        <v>458</v>
      </c>
      <c r="D6" s="221" t="s">
        <v>458</v>
      </c>
      <c r="E6" s="221" t="s">
        <v>458</v>
      </c>
      <c r="F6" s="221" t="s">
        <v>458</v>
      </c>
      <c r="G6" s="221" t="s">
        <v>458</v>
      </c>
      <c r="H6" s="180"/>
      <c r="I6" s="216"/>
      <c r="J6" s="217"/>
      <c r="K6" s="222"/>
      <c r="L6" s="222"/>
    </row>
    <row r="7" spans="1:14" s="220" customFormat="1" ht="14.1" customHeight="1" x14ac:dyDescent="0.2">
      <c r="A7" s="216" t="s">
        <v>191</v>
      </c>
      <c r="B7" s="221"/>
      <c r="C7" s="221"/>
      <c r="D7" s="221"/>
      <c r="E7" s="221"/>
      <c r="F7" s="257" t="s">
        <v>587</v>
      </c>
      <c r="G7" s="257" t="s">
        <v>587</v>
      </c>
      <c r="H7" s="180"/>
      <c r="I7" s="216"/>
      <c r="J7" s="217"/>
      <c r="K7" s="222"/>
      <c r="L7" s="222"/>
    </row>
    <row r="8" spans="1:14" ht="14.1" customHeight="1" x14ac:dyDescent="0.2">
      <c r="A8" s="159" t="s">
        <v>232</v>
      </c>
      <c r="B8" s="268">
        <f>Principal!$D$10</f>
        <v>25</v>
      </c>
      <c r="C8" s="268">
        <f>Principal!$D$10</f>
        <v>25</v>
      </c>
      <c r="D8" s="268">
        <f>Principal!$D$10</f>
        <v>25</v>
      </c>
      <c r="E8" s="268">
        <f>Principal!$D$10</f>
        <v>25</v>
      </c>
      <c r="F8" s="244">
        <v>25</v>
      </c>
      <c r="G8" s="244">
        <v>25</v>
      </c>
      <c r="H8" s="180" t="s">
        <v>192</v>
      </c>
      <c r="I8" s="216"/>
      <c r="J8" s="245" t="s">
        <v>193</v>
      </c>
    </row>
    <row r="9" spans="1:14" ht="14.1" customHeight="1" x14ac:dyDescent="0.2">
      <c r="A9" s="159" t="s">
        <v>330</v>
      </c>
      <c r="B9" s="180">
        <f t="shared" ref="B9:G9" si="0">0.3*B8^(2/3)</f>
        <v>2.5649639200150443</v>
      </c>
      <c r="C9" s="180">
        <f t="shared" si="0"/>
        <v>2.5649639200150443</v>
      </c>
      <c r="D9" s="180">
        <f t="shared" si="0"/>
        <v>2.5649639200150443</v>
      </c>
      <c r="E9" s="180">
        <f t="shared" si="0"/>
        <v>2.5649639200150443</v>
      </c>
      <c r="F9" s="180">
        <f t="shared" si="0"/>
        <v>2.5649639200150443</v>
      </c>
      <c r="G9" s="180">
        <f t="shared" si="0"/>
        <v>2.5649639200150443</v>
      </c>
      <c r="H9" s="180" t="s">
        <v>192</v>
      </c>
      <c r="I9" s="216" t="s">
        <v>331</v>
      </c>
      <c r="J9" s="245" t="s">
        <v>308</v>
      </c>
    </row>
    <row r="10" spans="1:14" ht="14.1" customHeight="1" x14ac:dyDescent="0.2">
      <c r="A10" s="159" t="s">
        <v>397</v>
      </c>
      <c r="B10" s="180">
        <f t="shared" ref="B10:G10" si="1">0.7*B9</f>
        <v>1.7954747440105308</v>
      </c>
      <c r="C10" s="180">
        <f t="shared" si="1"/>
        <v>1.7954747440105308</v>
      </c>
      <c r="D10" s="180">
        <f t="shared" si="1"/>
        <v>1.7954747440105308</v>
      </c>
      <c r="E10" s="180">
        <f t="shared" si="1"/>
        <v>1.7954747440105308</v>
      </c>
      <c r="F10" s="180">
        <f t="shared" si="1"/>
        <v>1.7954747440105308</v>
      </c>
      <c r="G10" s="180">
        <f t="shared" si="1"/>
        <v>1.7954747440105308</v>
      </c>
      <c r="H10" s="180" t="s">
        <v>192</v>
      </c>
      <c r="I10" s="205" t="s">
        <v>398</v>
      </c>
      <c r="J10" s="224" t="s">
        <v>381</v>
      </c>
    </row>
    <row r="11" spans="1:14" ht="14.1" customHeight="1" x14ac:dyDescent="0.2">
      <c r="A11" s="159" t="s">
        <v>502</v>
      </c>
      <c r="B11" s="369">
        <f t="shared" ref="B11:G11" si="2">B9</f>
        <v>2.5649639200150443</v>
      </c>
      <c r="C11" s="369">
        <f t="shared" si="2"/>
        <v>2.5649639200150443</v>
      </c>
      <c r="D11" s="369">
        <f t="shared" si="2"/>
        <v>2.5649639200150443</v>
      </c>
      <c r="E11" s="369">
        <f t="shared" si="2"/>
        <v>2.5649639200150443</v>
      </c>
      <c r="F11" s="369">
        <f t="shared" si="2"/>
        <v>2.5649639200150443</v>
      </c>
      <c r="G11" s="369">
        <f t="shared" si="2"/>
        <v>2.5649639200150443</v>
      </c>
      <c r="H11" s="180" t="s">
        <v>192</v>
      </c>
      <c r="I11" s="370" t="s">
        <v>669</v>
      </c>
      <c r="J11" s="217" t="s">
        <v>309</v>
      </c>
    </row>
    <row r="12" spans="1:14" ht="14.1" customHeight="1" x14ac:dyDescent="0.2">
      <c r="A12" s="159" t="s">
        <v>560</v>
      </c>
      <c r="B12" s="194">
        <f>4760*SQRT(B8)</f>
        <v>23800</v>
      </c>
      <c r="C12" s="194">
        <f>4760*SQRT(C8)</f>
        <v>23800</v>
      </c>
      <c r="D12" s="194">
        <f>22000*((D8+8)/10)^0.3</f>
        <v>31475.806210019346</v>
      </c>
      <c r="E12" s="194">
        <f>22000*((E8+8)/10)^0.3</f>
        <v>31475.806210019346</v>
      </c>
      <c r="F12" s="194">
        <f>4760*SQRT(F8)</f>
        <v>23800</v>
      </c>
      <c r="G12" s="194">
        <f>22000*((G8+8)/10)^0.3</f>
        <v>31475.806210019346</v>
      </c>
      <c r="H12" s="180" t="s">
        <v>192</v>
      </c>
      <c r="I12" s="205" t="s">
        <v>522</v>
      </c>
      <c r="J12" s="217" t="s">
        <v>310</v>
      </c>
    </row>
    <row r="13" spans="1:14" ht="14.1" customHeight="1" x14ac:dyDescent="0.2">
      <c r="A13" s="158" t="s">
        <v>528</v>
      </c>
      <c r="B13" s="293">
        <v>1.323</v>
      </c>
      <c r="C13" s="293">
        <v>1.323</v>
      </c>
      <c r="D13" s="293">
        <v>2</v>
      </c>
      <c r="E13" s="293">
        <v>2</v>
      </c>
      <c r="F13" s="293">
        <v>1.323</v>
      </c>
      <c r="G13" s="293">
        <v>2.5</v>
      </c>
      <c r="H13" s="180"/>
      <c r="I13" s="216" t="s">
        <v>530</v>
      </c>
      <c r="J13" s="217" t="s">
        <v>529</v>
      </c>
    </row>
    <row r="14" spans="1:14" ht="14.1" customHeight="1" x14ac:dyDescent="0.2">
      <c r="A14" s="159" t="s">
        <v>509</v>
      </c>
      <c r="B14" s="194">
        <f t="shared" ref="B14:G14" si="3">B12/(1+B13)</f>
        <v>10245.372363323289</v>
      </c>
      <c r="C14" s="194">
        <f t="shared" si="3"/>
        <v>10245.372363323289</v>
      </c>
      <c r="D14" s="194">
        <f t="shared" si="3"/>
        <v>10491.935403339781</v>
      </c>
      <c r="E14" s="194">
        <f t="shared" si="3"/>
        <v>10491.935403339781</v>
      </c>
      <c r="F14" s="194">
        <f t="shared" si="3"/>
        <v>10245.372363323289</v>
      </c>
      <c r="G14" s="194">
        <f t="shared" si="3"/>
        <v>8993.0874885769554</v>
      </c>
      <c r="H14" s="180" t="s">
        <v>192</v>
      </c>
      <c r="I14" s="216" t="s">
        <v>628</v>
      </c>
      <c r="J14" s="217" t="s">
        <v>510</v>
      </c>
    </row>
    <row r="15" spans="1:14" ht="14.1" customHeight="1" x14ac:dyDescent="0.2">
      <c r="A15" s="216" t="s">
        <v>197</v>
      </c>
      <c r="B15" s="180"/>
      <c r="C15" s="180"/>
      <c r="D15" s="180"/>
      <c r="E15" s="180"/>
      <c r="F15" s="180"/>
      <c r="G15" s="180"/>
      <c r="H15" s="180"/>
      <c r="I15" s="216"/>
      <c r="J15" s="217"/>
    </row>
    <row r="16" spans="1:14" ht="14.1" customHeight="1" x14ac:dyDescent="0.2">
      <c r="A16" s="159" t="s">
        <v>236</v>
      </c>
      <c r="B16" s="260">
        <f>Principal!$D$14</f>
        <v>500</v>
      </c>
      <c r="C16" s="260">
        <f>Principal!$D$14</f>
        <v>500</v>
      </c>
      <c r="D16" s="260">
        <f>Principal!$D$14</f>
        <v>500</v>
      </c>
      <c r="E16" s="260">
        <f>Principal!$D$14</f>
        <v>500</v>
      </c>
      <c r="F16" s="223">
        <v>400</v>
      </c>
      <c r="G16" s="223">
        <v>400</v>
      </c>
      <c r="H16" s="180" t="s">
        <v>192</v>
      </c>
      <c r="I16" s="216"/>
      <c r="J16" s="224" t="s">
        <v>198</v>
      </c>
    </row>
    <row r="17" spans="1:12" ht="14.1" customHeight="1" x14ac:dyDescent="0.2">
      <c r="A17" s="159" t="s">
        <v>239</v>
      </c>
      <c r="B17" s="223">
        <v>210000</v>
      </c>
      <c r="C17" s="223">
        <v>210000</v>
      </c>
      <c r="D17" s="223">
        <v>200000</v>
      </c>
      <c r="E17" s="223">
        <v>200000</v>
      </c>
      <c r="F17" s="223">
        <v>210000</v>
      </c>
      <c r="G17" s="223">
        <v>200000</v>
      </c>
      <c r="H17" s="180" t="s">
        <v>192</v>
      </c>
      <c r="I17" s="230" t="s">
        <v>523</v>
      </c>
      <c r="J17" s="217" t="s">
        <v>201</v>
      </c>
    </row>
    <row r="18" spans="1:12" ht="14.1" customHeight="1" x14ac:dyDescent="0.2">
      <c r="A18" s="236" t="s">
        <v>156</v>
      </c>
      <c r="B18" s="227">
        <f>IF(B16=250,1,IF(B16=600,1.4,2.25))</f>
        <v>2.25</v>
      </c>
      <c r="C18" s="227">
        <f>IF(C16=250,1,IF(C16=600,1.4,2.25))</f>
        <v>2.25</v>
      </c>
      <c r="D18" s="229" t="s">
        <v>526</v>
      </c>
      <c r="E18" s="229" t="s">
        <v>526</v>
      </c>
      <c r="F18" s="227">
        <f>IF(F16=250,1,IF(F16=600,1.4,2.25))</f>
        <v>2.25</v>
      </c>
      <c r="G18" s="229" t="s">
        <v>526</v>
      </c>
      <c r="H18" s="180"/>
      <c r="I18" s="205" t="s">
        <v>568</v>
      </c>
      <c r="J18" s="217" t="s">
        <v>382</v>
      </c>
    </row>
    <row r="19" spans="1:12" ht="14.1" customHeight="1" x14ac:dyDescent="0.3">
      <c r="A19" s="159" t="s">
        <v>559</v>
      </c>
      <c r="B19" s="180">
        <f>B17/B12</f>
        <v>8.8235294117647065</v>
      </c>
      <c r="C19" s="180">
        <f>C17/C12</f>
        <v>8.8235294117647065</v>
      </c>
      <c r="D19" s="180">
        <f>D17/D14</f>
        <v>19.062259946466714</v>
      </c>
      <c r="E19" s="180">
        <f>E17/E14</f>
        <v>19.062259946466714</v>
      </c>
      <c r="F19" s="180">
        <f>F17/F12</f>
        <v>8.8235294117647065</v>
      </c>
      <c r="G19" s="180">
        <f>G17/G14</f>
        <v>22.239303270877834</v>
      </c>
      <c r="H19" s="180"/>
      <c r="I19" s="216" t="s">
        <v>524</v>
      </c>
      <c r="J19" s="217" t="s">
        <v>334</v>
      </c>
    </row>
    <row r="20" spans="1:12" s="232" customFormat="1" ht="14.1" customHeight="1" x14ac:dyDescent="0.2">
      <c r="A20" s="216" t="s">
        <v>486</v>
      </c>
      <c r="B20" s="180"/>
      <c r="C20" s="180"/>
      <c r="D20" s="180"/>
      <c r="E20" s="180"/>
      <c r="F20" s="180"/>
      <c r="G20" s="180"/>
      <c r="H20" s="180"/>
      <c r="I20" s="216" t="s">
        <v>359</v>
      </c>
      <c r="J20" s="217"/>
      <c r="K20" s="218"/>
      <c r="L20" s="218"/>
    </row>
    <row r="21" spans="1:12" s="232" customFormat="1" ht="14.1" customHeight="1" x14ac:dyDescent="0.2">
      <c r="A21" s="159" t="s">
        <v>319</v>
      </c>
      <c r="B21" s="180" t="str">
        <f>IF(Principal!$AA$10=1,"R","T")</f>
        <v>R</v>
      </c>
      <c r="C21" s="180" t="str">
        <f>IF(Principal!$AA$10=1,"R","T")</f>
        <v>R</v>
      </c>
      <c r="D21" s="229" t="s">
        <v>526</v>
      </c>
      <c r="E21" s="229" t="s">
        <v>526</v>
      </c>
      <c r="F21" s="180" t="str">
        <f>IF(Principal!$AA$10=1,"R","T")</f>
        <v>R</v>
      </c>
      <c r="G21" s="229" t="s">
        <v>526</v>
      </c>
      <c r="H21" s="180"/>
      <c r="I21" s="216"/>
      <c r="J21" s="217"/>
      <c r="K21" s="218"/>
      <c r="L21" s="218"/>
    </row>
    <row r="22" spans="1:12" ht="14.1" customHeight="1" x14ac:dyDescent="0.2">
      <c r="A22" s="180" t="s">
        <v>279</v>
      </c>
      <c r="B22" s="246">
        <v>100</v>
      </c>
      <c r="C22" s="246">
        <v>100</v>
      </c>
      <c r="D22" s="246">
        <v>100</v>
      </c>
      <c r="E22" s="246">
        <v>100</v>
      </c>
      <c r="F22" s="246">
        <v>100</v>
      </c>
      <c r="G22" s="246">
        <v>100</v>
      </c>
      <c r="H22" s="180" t="s">
        <v>19</v>
      </c>
      <c r="I22" s="216"/>
      <c r="J22" s="245" t="s">
        <v>206</v>
      </c>
    </row>
    <row r="23" spans="1:12" ht="14.1" customHeight="1" x14ac:dyDescent="0.2">
      <c r="A23" s="180" t="s">
        <v>280</v>
      </c>
      <c r="B23" s="269">
        <f>Principal!$R$19</f>
        <v>100</v>
      </c>
      <c r="C23" s="269">
        <f>Principal!$R$19</f>
        <v>100</v>
      </c>
      <c r="D23" s="269">
        <f>Principal!$R$19</f>
        <v>100</v>
      </c>
      <c r="E23" s="269">
        <f>Principal!$R$19</f>
        <v>100</v>
      </c>
      <c r="F23" s="246">
        <v>31.25</v>
      </c>
      <c r="G23" s="246">
        <v>31.25</v>
      </c>
      <c r="H23" s="180" t="s">
        <v>19</v>
      </c>
      <c r="I23" s="216"/>
      <c r="J23" s="224" t="s">
        <v>268</v>
      </c>
    </row>
    <row r="24" spans="1:12" ht="14.1" customHeight="1" x14ac:dyDescent="0.2">
      <c r="A24" s="180" t="s">
        <v>484</v>
      </c>
      <c r="B24" s="179">
        <f t="shared" ref="B24:G24" si="4">B22-B23</f>
        <v>0</v>
      </c>
      <c r="C24" s="179">
        <f t="shared" si="4"/>
        <v>0</v>
      </c>
      <c r="D24" s="179">
        <f t="shared" si="4"/>
        <v>0</v>
      </c>
      <c r="E24" s="179">
        <f t="shared" si="4"/>
        <v>0</v>
      </c>
      <c r="F24" s="179">
        <f t="shared" si="4"/>
        <v>68.75</v>
      </c>
      <c r="G24" s="179">
        <f t="shared" si="4"/>
        <v>68.75</v>
      </c>
      <c r="H24" s="180" t="s">
        <v>19</v>
      </c>
      <c r="I24" s="216" t="s">
        <v>484</v>
      </c>
      <c r="J24" s="224"/>
    </row>
    <row r="25" spans="1:12" ht="14.1" customHeight="1" x14ac:dyDescent="0.2">
      <c r="A25" s="180" t="s">
        <v>139</v>
      </c>
      <c r="B25" s="268">
        <f>Principal!$R$12</f>
        <v>12</v>
      </c>
      <c r="C25" s="268">
        <f>Principal!$R$12</f>
        <v>12</v>
      </c>
      <c r="D25" s="268">
        <f>Principal!$R$12</f>
        <v>12</v>
      </c>
      <c r="E25" s="268">
        <f>Principal!$R$12</f>
        <v>12</v>
      </c>
      <c r="F25" s="244">
        <v>20</v>
      </c>
      <c r="G25" s="244">
        <v>20</v>
      </c>
      <c r="H25" s="180" t="s">
        <v>19</v>
      </c>
      <c r="I25" s="216"/>
      <c r="J25" s="245" t="s">
        <v>207</v>
      </c>
    </row>
    <row r="26" spans="1:12" ht="14.1" customHeight="1" x14ac:dyDescent="0.2">
      <c r="A26" s="180" t="s">
        <v>281</v>
      </c>
      <c r="B26" s="268">
        <f>Principal!$AA$8</f>
        <v>12</v>
      </c>
      <c r="C26" s="268">
        <f>Principal!$AA$8</f>
        <v>12</v>
      </c>
      <c r="D26" s="268">
        <f>Principal!$AA$8</f>
        <v>12</v>
      </c>
      <c r="E26" s="268">
        <f>Principal!$AA$8</f>
        <v>12</v>
      </c>
      <c r="F26" s="244">
        <v>6</v>
      </c>
      <c r="G26" s="244">
        <v>6</v>
      </c>
      <c r="H26" s="180" t="s">
        <v>19</v>
      </c>
      <c r="I26" s="216"/>
      <c r="J26" s="224" t="s">
        <v>270</v>
      </c>
    </row>
    <row r="27" spans="1:12" ht="14.1" customHeight="1" x14ac:dyDescent="0.2">
      <c r="A27" s="205" t="s">
        <v>315</v>
      </c>
      <c r="B27" s="250"/>
      <c r="C27" s="250"/>
      <c r="D27" s="250"/>
      <c r="E27" s="250"/>
      <c r="F27" s="250"/>
      <c r="G27" s="250"/>
      <c r="H27" s="180"/>
      <c r="I27" s="205"/>
      <c r="J27" s="217"/>
    </row>
    <row r="28" spans="1:12" ht="14.1" customHeight="1" x14ac:dyDescent="0.2">
      <c r="A28" s="159" t="s">
        <v>138</v>
      </c>
      <c r="B28" s="269">
        <f>Principal!$E$39</f>
        <v>3.3510321638291134</v>
      </c>
      <c r="C28" s="269">
        <f>Principal!$G$39</f>
        <v>2.2266037932317659</v>
      </c>
      <c r="D28" s="269">
        <f>Principal!$E$39</f>
        <v>3.3510321638291134</v>
      </c>
      <c r="E28" s="269">
        <f>Principal!$G$39</f>
        <v>2.2266037932317659</v>
      </c>
      <c r="F28" s="246">
        <v>5.03</v>
      </c>
      <c r="G28" s="246">
        <v>5.03</v>
      </c>
      <c r="H28" s="180" t="s">
        <v>246</v>
      </c>
      <c r="I28" s="205"/>
      <c r="J28" s="224" t="s">
        <v>229</v>
      </c>
    </row>
    <row r="29" spans="1:12" ht="14.1" customHeight="1" x14ac:dyDescent="0.2">
      <c r="A29" s="158" t="s">
        <v>480</v>
      </c>
      <c r="B29" s="252">
        <f t="shared" ref="B29:G29" si="5">B28/(B23*B36)</f>
        <v>3.723369070921237E-3</v>
      </c>
      <c r="C29" s="252">
        <f t="shared" si="5"/>
        <v>2.4740042147019621E-3</v>
      </c>
      <c r="D29" s="252">
        <f t="shared" si="5"/>
        <v>3.723369070921237E-3</v>
      </c>
      <c r="E29" s="252">
        <f t="shared" si="5"/>
        <v>2.4740042147019621E-3</v>
      </c>
      <c r="F29" s="252">
        <f t="shared" si="5"/>
        <v>9.4682352941176471E-3</v>
      </c>
      <c r="G29" s="252">
        <f t="shared" si="5"/>
        <v>9.4682352941176471E-3</v>
      </c>
      <c r="H29" s="180"/>
      <c r="I29" s="205" t="s">
        <v>590</v>
      </c>
      <c r="J29" s="224" t="s">
        <v>429</v>
      </c>
    </row>
    <row r="30" spans="1:12" ht="14.1" customHeight="1" x14ac:dyDescent="0.2">
      <c r="A30" s="236" t="s">
        <v>22</v>
      </c>
      <c r="B30" s="322">
        <f>Principal!$E$33</f>
        <v>8</v>
      </c>
      <c r="C30" s="322">
        <f>Principal!$G$33</f>
        <v>6.3</v>
      </c>
      <c r="D30" s="322">
        <f>Principal!$E$33</f>
        <v>8</v>
      </c>
      <c r="E30" s="322">
        <f>Principal!$G$33</f>
        <v>6.3</v>
      </c>
      <c r="F30" s="248">
        <v>8</v>
      </c>
      <c r="G30" s="248">
        <v>8</v>
      </c>
      <c r="H30" s="180" t="s">
        <v>18</v>
      </c>
      <c r="I30" s="205"/>
      <c r="J30" s="217" t="s">
        <v>384</v>
      </c>
    </row>
    <row r="31" spans="1:12" ht="14.1" customHeight="1" x14ac:dyDescent="0.2">
      <c r="A31" s="180" t="s">
        <v>564</v>
      </c>
      <c r="B31" s="322">
        <f>Principal!$R$20</f>
        <v>2</v>
      </c>
      <c r="C31" s="322">
        <f>Principal!$R$20</f>
        <v>2</v>
      </c>
      <c r="D31" s="322">
        <f>Principal!$R$20</f>
        <v>2</v>
      </c>
      <c r="E31" s="322">
        <f>Principal!$R$20</f>
        <v>2</v>
      </c>
      <c r="F31" s="248">
        <v>2</v>
      </c>
      <c r="G31" s="248">
        <v>2</v>
      </c>
      <c r="H31" s="180" t="s">
        <v>19</v>
      </c>
      <c r="I31" s="205"/>
      <c r="J31" s="217" t="s">
        <v>565</v>
      </c>
    </row>
    <row r="32" spans="1:12" ht="14.1" customHeight="1" x14ac:dyDescent="0.2">
      <c r="A32" s="159" t="s">
        <v>261</v>
      </c>
      <c r="B32" s="269">
        <f>Principal!$E$40</f>
        <v>0</v>
      </c>
      <c r="C32" s="269">
        <f>Principal!$G$40</f>
        <v>0</v>
      </c>
      <c r="D32" s="269">
        <f>Principal!$E$40</f>
        <v>0</v>
      </c>
      <c r="E32" s="269">
        <f>Principal!$G$40</f>
        <v>0</v>
      </c>
      <c r="F32" s="246">
        <v>0</v>
      </c>
      <c r="G32" s="246">
        <v>0</v>
      </c>
      <c r="H32" s="180" t="s">
        <v>246</v>
      </c>
      <c r="I32" s="205"/>
      <c r="J32" s="224" t="s">
        <v>227</v>
      </c>
    </row>
    <row r="33" spans="1:10" ht="14.1" customHeight="1" x14ac:dyDescent="0.2">
      <c r="A33" s="158" t="s">
        <v>354</v>
      </c>
      <c r="B33" s="252">
        <f t="shared" ref="B33:G33" si="6">B32/(B23*B36)</f>
        <v>0</v>
      </c>
      <c r="C33" s="252">
        <f t="shared" si="6"/>
        <v>0</v>
      </c>
      <c r="D33" s="252">
        <f t="shared" si="6"/>
        <v>0</v>
      </c>
      <c r="E33" s="252">
        <f t="shared" si="6"/>
        <v>0</v>
      </c>
      <c r="F33" s="252">
        <f t="shared" si="6"/>
        <v>0</v>
      </c>
      <c r="G33" s="252">
        <f t="shared" si="6"/>
        <v>0</v>
      </c>
      <c r="H33" s="180"/>
      <c r="I33" s="205" t="s">
        <v>591</v>
      </c>
      <c r="J33" s="224" t="s">
        <v>324</v>
      </c>
    </row>
    <row r="34" spans="1:10" ht="14.1" customHeight="1" x14ac:dyDescent="0.2">
      <c r="A34" s="180" t="s">
        <v>448</v>
      </c>
      <c r="B34" s="261">
        <f>Principal!$R$20+1</f>
        <v>3</v>
      </c>
      <c r="C34" s="261">
        <f>Principal!$R$20+1</f>
        <v>3</v>
      </c>
      <c r="D34" s="261">
        <f>Principal!$R$20+1</f>
        <v>3</v>
      </c>
      <c r="E34" s="261">
        <f>Principal!$R$20+1</f>
        <v>3</v>
      </c>
      <c r="F34" s="233">
        <v>3</v>
      </c>
      <c r="G34" s="233">
        <v>3</v>
      </c>
      <c r="H34" s="180" t="s">
        <v>19</v>
      </c>
      <c r="I34" s="216"/>
      <c r="J34" s="216" t="s">
        <v>449</v>
      </c>
    </row>
    <row r="35" spans="1:10" ht="14.1" customHeight="1" x14ac:dyDescent="0.2">
      <c r="A35" s="180" t="s">
        <v>209</v>
      </c>
      <c r="B35" s="269">
        <f>Principal!$R$20+1</f>
        <v>3</v>
      </c>
      <c r="C35" s="269">
        <f>Principal!$R$20+1</f>
        <v>3</v>
      </c>
      <c r="D35" s="269">
        <f>Principal!$R$20+1</f>
        <v>3</v>
      </c>
      <c r="E35" s="269">
        <f>Principal!$R$20+1</f>
        <v>3</v>
      </c>
      <c r="F35" s="246">
        <v>3</v>
      </c>
      <c r="G35" s="246">
        <v>3</v>
      </c>
      <c r="H35" s="180" t="s">
        <v>19</v>
      </c>
      <c r="I35" s="216" t="s">
        <v>209</v>
      </c>
      <c r="J35" s="245" t="s">
        <v>210</v>
      </c>
    </row>
    <row r="36" spans="1:10" ht="14.1" customHeight="1" x14ac:dyDescent="0.2">
      <c r="A36" s="180" t="s">
        <v>14</v>
      </c>
      <c r="B36" s="247">
        <f t="shared" ref="B36:G36" si="7">B25-B34</f>
        <v>9</v>
      </c>
      <c r="C36" s="247">
        <f t="shared" si="7"/>
        <v>9</v>
      </c>
      <c r="D36" s="247">
        <f t="shared" si="7"/>
        <v>9</v>
      </c>
      <c r="E36" s="247">
        <f t="shared" si="7"/>
        <v>9</v>
      </c>
      <c r="F36" s="247">
        <f t="shared" si="7"/>
        <v>17</v>
      </c>
      <c r="G36" s="247">
        <f t="shared" si="7"/>
        <v>17</v>
      </c>
      <c r="H36" s="180" t="s">
        <v>19</v>
      </c>
      <c r="I36" s="216" t="s">
        <v>456</v>
      </c>
      <c r="J36" s="245" t="s">
        <v>208</v>
      </c>
    </row>
    <row r="37" spans="1:10" ht="14.1" customHeight="1" x14ac:dyDescent="0.2">
      <c r="A37" s="216" t="s">
        <v>501</v>
      </c>
      <c r="B37" s="179"/>
      <c r="C37" s="179"/>
      <c r="D37" s="179"/>
      <c r="E37" s="179"/>
      <c r="F37" s="179"/>
      <c r="G37" s="179"/>
      <c r="H37" s="180"/>
      <c r="I37" s="216"/>
      <c r="J37" s="245"/>
    </row>
    <row r="38" spans="1:10" ht="14.1" customHeight="1" x14ac:dyDescent="0.2">
      <c r="A38" s="180" t="s">
        <v>245</v>
      </c>
      <c r="B38" s="194">
        <f t="shared" ref="B38:G38" si="8">B24*B26+B23*B25</f>
        <v>1200</v>
      </c>
      <c r="C38" s="194">
        <f t="shared" si="8"/>
        <v>1200</v>
      </c>
      <c r="D38" s="194">
        <f t="shared" si="8"/>
        <v>1200</v>
      </c>
      <c r="E38" s="194">
        <f t="shared" si="8"/>
        <v>1200</v>
      </c>
      <c r="F38" s="194">
        <f t="shared" si="8"/>
        <v>1037.5</v>
      </c>
      <c r="G38" s="194">
        <f t="shared" si="8"/>
        <v>1037.5</v>
      </c>
      <c r="H38" s="180" t="s">
        <v>246</v>
      </c>
      <c r="I38" s="216" t="s">
        <v>282</v>
      </c>
      <c r="J38" s="224" t="s">
        <v>211</v>
      </c>
    </row>
    <row r="39" spans="1:10" ht="14.1" customHeight="1" x14ac:dyDescent="0.2">
      <c r="A39" s="180" t="s">
        <v>362</v>
      </c>
      <c r="B39" s="179">
        <f t="shared" ref="B39:G39" si="9">0.5*(B23*B25^2+B24*B26^2)/B38</f>
        <v>6</v>
      </c>
      <c r="C39" s="179">
        <f t="shared" si="9"/>
        <v>6</v>
      </c>
      <c r="D39" s="179">
        <f t="shared" si="9"/>
        <v>6</v>
      </c>
      <c r="E39" s="179">
        <f t="shared" si="9"/>
        <v>6</v>
      </c>
      <c r="F39" s="179">
        <f t="shared" si="9"/>
        <v>7.2168674698795181</v>
      </c>
      <c r="G39" s="179">
        <f t="shared" si="9"/>
        <v>7.2168674698795181</v>
      </c>
      <c r="H39" s="180" t="s">
        <v>19</v>
      </c>
      <c r="I39" s="216" t="s">
        <v>485</v>
      </c>
      <c r="J39" s="245" t="s">
        <v>360</v>
      </c>
    </row>
    <row r="40" spans="1:10" ht="14.1" customHeight="1" x14ac:dyDescent="0.2">
      <c r="A40" s="180" t="s">
        <v>335</v>
      </c>
      <c r="B40" s="194">
        <f t="shared" ref="B40:G40" si="10">B23*B25^3/12+B23*B25*(B25/2-B39)^2+B24*B26^3/12+B24*B26*(B39-B26/2)^2</f>
        <v>14400</v>
      </c>
      <c r="C40" s="194">
        <f t="shared" si="10"/>
        <v>14400</v>
      </c>
      <c r="D40" s="194">
        <f t="shared" si="10"/>
        <v>14400</v>
      </c>
      <c r="E40" s="194">
        <f t="shared" si="10"/>
        <v>14400</v>
      </c>
      <c r="F40" s="194">
        <f t="shared" si="10"/>
        <v>34247.038152610439</v>
      </c>
      <c r="G40" s="194">
        <f t="shared" si="10"/>
        <v>34247.038152610439</v>
      </c>
      <c r="H40" s="159" t="s">
        <v>336</v>
      </c>
      <c r="I40" s="216" t="s">
        <v>364</v>
      </c>
      <c r="J40" s="217" t="s">
        <v>361</v>
      </c>
    </row>
    <row r="41" spans="1:10" ht="14.1" customHeight="1" x14ac:dyDescent="0.2">
      <c r="A41" s="180" t="s">
        <v>505</v>
      </c>
      <c r="B41" s="179">
        <f t="shared" ref="B41:G41" si="11">B25-B39</f>
        <v>6</v>
      </c>
      <c r="C41" s="179">
        <f t="shared" si="11"/>
        <v>6</v>
      </c>
      <c r="D41" s="179">
        <f t="shared" si="11"/>
        <v>6</v>
      </c>
      <c r="E41" s="179">
        <f t="shared" si="11"/>
        <v>6</v>
      </c>
      <c r="F41" s="179">
        <f t="shared" si="11"/>
        <v>12.783132530120483</v>
      </c>
      <c r="G41" s="179">
        <f t="shared" si="11"/>
        <v>12.783132530120483</v>
      </c>
      <c r="H41" s="180" t="s">
        <v>19</v>
      </c>
      <c r="I41" s="216" t="s">
        <v>365</v>
      </c>
      <c r="J41" s="217" t="s">
        <v>311</v>
      </c>
    </row>
    <row r="42" spans="1:10" ht="14.1" customHeight="1" x14ac:dyDescent="0.2">
      <c r="A42" s="180" t="s">
        <v>338</v>
      </c>
      <c r="B42" s="194">
        <f t="shared" ref="B42:G42" si="12">B40/B41</f>
        <v>2400</v>
      </c>
      <c r="C42" s="194">
        <f t="shared" si="12"/>
        <v>2400</v>
      </c>
      <c r="D42" s="194">
        <f t="shared" si="12"/>
        <v>2400</v>
      </c>
      <c r="E42" s="194">
        <f t="shared" si="12"/>
        <v>2400</v>
      </c>
      <c r="F42" s="194">
        <f t="shared" si="12"/>
        <v>2679.0802701853595</v>
      </c>
      <c r="G42" s="194">
        <f t="shared" si="12"/>
        <v>2679.0802701853595</v>
      </c>
      <c r="H42" s="180" t="s">
        <v>339</v>
      </c>
      <c r="I42" s="216" t="s">
        <v>506</v>
      </c>
      <c r="J42" s="217" t="s">
        <v>312</v>
      </c>
    </row>
    <row r="43" spans="1:10" ht="14.1" customHeight="1" x14ac:dyDescent="0.2">
      <c r="A43" s="216" t="s">
        <v>487</v>
      </c>
      <c r="B43" s="179"/>
      <c r="C43" s="179"/>
      <c r="D43" s="179"/>
      <c r="E43" s="179"/>
      <c r="F43" s="179"/>
      <c r="G43" s="179"/>
      <c r="H43" s="180"/>
      <c r="I43" s="216"/>
      <c r="J43" s="245"/>
    </row>
    <row r="44" spans="1:10" ht="14.1" customHeight="1" x14ac:dyDescent="0.2">
      <c r="A44" s="180" t="s">
        <v>488</v>
      </c>
      <c r="B44" s="194">
        <f t="shared" ref="B44:G44" si="13">B24*B26+B23*B25+(B19-1)*B28+(B19-1)*B32</f>
        <v>1226.2168986934867</v>
      </c>
      <c r="C44" s="194">
        <f t="shared" si="13"/>
        <v>1217.4199002646956</v>
      </c>
      <c r="D44" s="194">
        <f t="shared" si="13"/>
        <v>1260.5272140320524</v>
      </c>
      <c r="E44" s="194">
        <f t="shared" si="13"/>
        <v>1240.217496511141</v>
      </c>
      <c r="F44" s="194">
        <f t="shared" si="13"/>
        <v>1076.8523529411764</v>
      </c>
      <c r="G44" s="194">
        <f t="shared" si="13"/>
        <v>1144.3336954525155</v>
      </c>
      <c r="H44" s="180" t="s">
        <v>246</v>
      </c>
      <c r="I44" s="216" t="s">
        <v>489</v>
      </c>
      <c r="J44" s="224" t="s">
        <v>492</v>
      </c>
    </row>
    <row r="45" spans="1:10" ht="14.1" customHeight="1" x14ac:dyDescent="0.2">
      <c r="A45" s="180" t="s">
        <v>490</v>
      </c>
      <c r="B45" s="179">
        <f t="shared" ref="B45:G45" si="14">(0.5*B23*B25^2+0.5*B24*B26^2+(B19-1)*B28*B36+(B19-1)*B32*B35)/B44</f>
        <v>6.0641409331124532</v>
      </c>
      <c r="C45" s="179">
        <f t="shared" si="14"/>
        <v>6.0429266030419946</v>
      </c>
      <c r="D45" s="179">
        <f t="shared" si="14"/>
        <v>6.1440521395133789</v>
      </c>
      <c r="E45" s="179">
        <f t="shared" si="14"/>
        <v>6.0972833312486161</v>
      </c>
      <c r="F45" s="179">
        <f t="shared" si="14"/>
        <v>7.5743809982142949</v>
      </c>
      <c r="G45" s="179">
        <f t="shared" si="14"/>
        <v>8.1302096230013738</v>
      </c>
      <c r="H45" s="180" t="s">
        <v>19</v>
      </c>
      <c r="I45" s="216" t="s">
        <v>491</v>
      </c>
      <c r="J45" s="245" t="s">
        <v>493</v>
      </c>
    </row>
    <row r="46" spans="1:10" ht="14.1" customHeight="1" x14ac:dyDescent="0.2">
      <c r="A46" s="180" t="s">
        <v>495</v>
      </c>
      <c r="B46" s="194">
        <f t="shared" ref="B46:G46" si="15">B23*B25^3/12+B23*B25*(B45-B25/2)^2+B24*B26^3/12+B24*B26*(B45-B26/2)^2+(B19-1)*B28*(B36-B45)^2+(B19-1)*B32*(B45-B35)^2</f>
        <v>14630.907359204835</v>
      </c>
      <c r="C46" s="194">
        <f t="shared" si="15"/>
        <v>14554.535770951179</v>
      </c>
      <c r="D46" s="194">
        <f t="shared" si="15"/>
        <v>14918.587702248165</v>
      </c>
      <c r="E46" s="194">
        <f t="shared" si="15"/>
        <v>14750.219992495018</v>
      </c>
      <c r="F46" s="194">
        <f t="shared" si="15"/>
        <v>37875.800465208427</v>
      </c>
      <c r="G46" s="194">
        <f t="shared" si="15"/>
        <v>43517.461006797261</v>
      </c>
      <c r="H46" s="159" t="s">
        <v>336</v>
      </c>
      <c r="I46" s="216" t="s">
        <v>498</v>
      </c>
      <c r="J46" s="217" t="s">
        <v>494</v>
      </c>
    </row>
    <row r="47" spans="1:10" ht="14.1" customHeight="1" x14ac:dyDescent="0.2">
      <c r="A47" s="180" t="s">
        <v>507</v>
      </c>
      <c r="B47" s="179">
        <f t="shared" ref="B47:G47" si="16">B25-B45</f>
        <v>5.9358590668875468</v>
      </c>
      <c r="C47" s="179">
        <f t="shared" si="16"/>
        <v>5.9570733969580054</v>
      </c>
      <c r="D47" s="179">
        <f t="shared" si="16"/>
        <v>5.8559478604866211</v>
      </c>
      <c r="E47" s="179">
        <f t="shared" si="16"/>
        <v>5.9027166687513839</v>
      </c>
      <c r="F47" s="179">
        <f t="shared" si="16"/>
        <v>12.425619001785705</v>
      </c>
      <c r="G47" s="179">
        <f t="shared" si="16"/>
        <v>11.869790376998626</v>
      </c>
      <c r="H47" s="180" t="s">
        <v>19</v>
      </c>
      <c r="I47" s="216" t="s">
        <v>497</v>
      </c>
      <c r="J47" s="217" t="s">
        <v>311</v>
      </c>
    </row>
    <row r="48" spans="1:10" ht="14.1" customHeight="1" x14ac:dyDescent="0.2">
      <c r="A48" s="180" t="s">
        <v>496</v>
      </c>
      <c r="B48" s="194">
        <f t="shared" ref="B48:G48" si="17">B46/B47</f>
        <v>2464.8340188569396</v>
      </c>
      <c r="C48" s="194">
        <f t="shared" si="17"/>
        <v>2443.2359316545417</v>
      </c>
      <c r="D48" s="194">
        <f t="shared" si="17"/>
        <v>2547.595719373166</v>
      </c>
      <c r="E48" s="194">
        <f t="shared" si="17"/>
        <v>2498.8866686727092</v>
      </c>
      <c r="F48" s="194">
        <f t="shared" si="17"/>
        <v>3048.2023036248929</v>
      </c>
      <c r="G48" s="194">
        <f t="shared" si="17"/>
        <v>3666.2366920249697</v>
      </c>
      <c r="H48" s="180" t="s">
        <v>339</v>
      </c>
      <c r="I48" s="216" t="s">
        <v>508</v>
      </c>
      <c r="J48" s="217" t="s">
        <v>312</v>
      </c>
    </row>
    <row r="49" spans="1:10" ht="14.1" customHeight="1" x14ac:dyDescent="0.2">
      <c r="A49" s="216" t="s">
        <v>499</v>
      </c>
      <c r="B49" s="292"/>
      <c r="C49" s="292"/>
      <c r="D49" s="292"/>
      <c r="E49" s="292"/>
      <c r="F49" s="292"/>
      <c r="G49" s="292"/>
      <c r="H49" s="292"/>
      <c r="I49" s="292"/>
      <c r="J49" s="217"/>
    </row>
    <row r="50" spans="1:10" ht="14.1" customHeight="1" x14ac:dyDescent="0.2">
      <c r="A50" s="216" t="s">
        <v>366</v>
      </c>
      <c r="B50" s="184"/>
      <c r="C50" s="184"/>
      <c r="D50" s="184"/>
      <c r="E50" s="184"/>
      <c r="F50" s="184"/>
      <c r="G50" s="184"/>
      <c r="H50" s="180"/>
      <c r="I50" s="216"/>
      <c r="J50" s="217"/>
    </row>
    <row r="51" spans="1:10" ht="14.1" customHeight="1" x14ac:dyDescent="0.3">
      <c r="A51" s="180" t="s">
        <v>344</v>
      </c>
      <c r="B51" s="179">
        <f t="shared" ref="B51:G51" si="18">0.5*B22</f>
        <v>50</v>
      </c>
      <c r="C51" s="179">
        <f t="shared" si="18"/>
        <v>50</v>
      </c>
      <c r="D51" s="179">
        <f t="shared" si="18"/>
        <v>50</v>
      </c>
      <c r="E51" s="179">
        <f t="shared" si="18"/>
        <v>50</v>
      </c>
      <c r="F51" s="179">
        <f t="shared" si="18"/>
        <v>50</v>
      </c>
      <c r="G51" s="179">
        <f t="shared" si="18"/>
        <v>50</v>
      </c>
      <c r="H51" s="180" t="s">
        <v>19</v>
      </c>
      <c r="I51" s="216" t="s">
        <v>367</v>
      </c>
      <c r="J51" s="217" t="s">
        <v>345</v>
      </c>
    </row>
    <row r="52" spans="1:10" ht="14.1" customHeight="1" x14ac:dyDescent="0.3">
      <c r="A52" s="180" t="s">
        <v>346</v>
      </c>
      <c r="B52" s="247">
        <f t="shared" ref="B52:G52" si="19">B19*B28+(B19-1)*B32</f>
        <v>29.567930857315709</v>
      </c>
      <c r="C52" s="247">
        <f t="shared" si="19"/>
        <v>19.646504057927348</v>
      </c>
      <c r="D52" s="247">
        <f t="shared" si="19"/>
        <v>63.878246195881388</v>
      </c>
      <c r="E52" s="247">
        <f t="shared" si="19"/>
        <v>42.444100304372746</v>
      </c>
      <c r="F52" s="247">
        <f t="shared" si="19"/>
        <v>44.382352941176478</v>
      </c>
      <c r="G52" s="247">
        <f t="shared" si="19"/>
        <v>111.86369545251551</v>
      </c>
      <c r="H52" s="180" t="s">
        <v>246</v>
      </c>
      <c r="I52" s="251" t="s">
        <v>347</v>
      </c>
      <c r="J52" s="217" t="s">
        <v>345</v>
      </c>
    </row>
    <row r="53" spans="1:10" ht="14.1" customHeight="1" x14ac:dyDescent="0.3">
      <c r="A53" s="180" t="s">
        <v>348</v>
      </c>
      <c r="B53" s="247">
        <f t="shared" ref="B53:G53" si="20">-B19*B28*B36-(B19-1)*B32*B35</f>
        <v>-266.1113777158414</v>
      </c>
      <c r="C53" s="247">
        <f t="shared" si="20"/>
        <v>-176.81853652134615</v>
      </c>
      <c r="D53" s="247">
        <f t="shared" si="20"/>
        <v>-574.90421576293249</v>
      </c>
      <c r="E53" s="247">
        <f t="shared" si="20"/>
        <v>-381.99690273935471</v>
      </c>
      <c r="F53" s="247">
        <f t="shared" si="20"/>
        <v>-754.50000000000011</v>
      </c>
      <c r="G53" s="247">
        <f t="shared" si="20"/>
        <v>-1901.6828226927637</v>
      </c>
      <c r="H53" s="180" t="s">
        <v>339</v>
      </c>
      <c r="I53" s="251" t="s">
        <v>349</v>
      </c>
      <c r="J53" s="217" t="s">
        <v>345</v>
      </c>
    </row>
    <row r="54" spans="1:10" ht="14.1" customHeight="1" x14ac:dyDescent="0.2">
      <c r="A54" s="180" t="s">
        <v>368</v>
      </c>
      <c r="B54" s="179">
        <f t="shared" ref="B54:G54" si="21">(-B52+SQRT(B52^2-4*B51*B53))/(2*B51)</f>
        <v>2.0301869403403803</v>
      </c>
      <c r="C54" s="179">
        <f t="shared" si="21"/>
        <v>1.6942938659439082</v>
      </c>
      <c r="D54" s="179">
        <f t="shared" si="21"/>
        <v>2.8117432007431482</v>
      </c>
      <c r="E54" s="179">
        <f t="shared" si="21"/>
        <v>2.372001061411007</v>
      </c>
      <c r="F54" s="179">
        <f t="shared" si="21"/>
        <v>3.4660331591715288</v>
      </c>
      <c r="G54" s="179">
        <f t="shared" si="21"/>
        <v>5.149138176243703</v>
      </c>
      <c r="H54" s="180" t="s">
        <v>19</v>
      </c>
      <c r="I54" s="216" t="s">
        <v>351</v>
      </c>
      <c r="J54" s="217" t="s">
        <v>321</v>
      </c>
    </row>
    <row r="55" spans="1:10" ht="14.1" customHeight="1" x14ac:dyDescent="0.2">
      <c r="A55" s="180" t="s">
        <v>369</v>
      </c>
      <c r="B55" s="194">
        <f t="shared" ref="B55:G55" si="22">B22*B54^3/3+B19*B28*(B36-B54)^2+(B19-1)*B32*(B54-B35)^2</f>
        <v>1715.2842507249202</v>
      </c>
      <c r="C55" s="194">
        <f t="shared" si="22"/>
        <v>1210.722705416018</v>
      </c>
      <c r="D55" s="194">
        <f t="shared" si="22"/>
        <v>3187.1655873811669</v>
      </c>
      <c r="E55" s="194">
        <f t="shared" si="22"/>
        <v>2309.4450531719631</v>
      </c>
      <c r="F55" s="194">
        <f t="shared" si="22"/>
        <v>9517.3980856328471</v>
      </c>
      <c r="G55" s="194">
        <f t="shared" si="22"/>
        <v>20261.208475793341</v>
      </c>
      <c r="H55" s="159" t="s">
        <v>336</v>
      </c>
      <c r="I55" s="216" t="s">
        <v>370</v>
      </c>
      <c r="J55" s="217" t="s">
        <v>322</v>
      </c>
    </row>
    <row r="56" spans="1:10" ht="14.1" customHeight="1" x14ac:dyDescent="0.2">
      <c r="A56" s="216" t="s">
        <v>371</v>
      </c>
      <c r="B56" s="194"/>
      <c r="C56" s="194"/>
      <c r="D56" s="194"/>
      <c r="E56" s="194"/>
      <c r="F56" s="194"/>
      <c r="G56" s="194"/>
      <c r="H56" s="159"/>
      <c r="I56" s="216"/>
      <c r="J56" s="217"/>
    </row>
    <row r="57" spans="1:10" ht="14.1" customHeight="1" x14ac:dyDescent="0.3">
      <c r="A57" s="180" t="s">
        <v>344</v>
      </c>
      <c r="B57" s="179">
        <f t="shared" ref="B57:G57" si="23">0.5*B23</f>
        <v>50</v>
      </c>
      <c r="C57" s="179">
        <f t="shared" si="23"/>
        <v>50</v>
      </c>
      <c r="D57" s="179">
        <f t="shared" si="23"/>
        <v>50</v>
      </c>
      <c r="E57" s="179">
        <f t="shared" si="23"/>
        <v>50</v>
      </c>
      <c r="F57" s="179">
        <f t="shared" si="23"/>
        <v>15.625</v>
      </c>
      <c r="G57" s="179">
        <f t="shared" si="23"/>
        <v>15.625</v>
      </c>
      <c r="H57" s="180" t="s">
        <v>19</v>
      </c>
      <c r="I57" s="216" t="s">
        <v>372</v>
      </c>
      <c r="J57" s="217" t="s">
        <v>345</v>
      </c>
    </row>
    <row r="58" spans="1:10" ht="14.1" customHeight="1" x14ac:dyDescent="0.3">
      <c r="A58" s="180" t="s">
        <v>346</v>
      </c>
      <c r="B58" s="247">
        <f t="shared" ref="B58:G58" si="24">B24*B26+B19*B28+(B19-1)*B32</f>
        <v>29.567930857315709</v>
      </c>
      <c r="C58" s="247">
        <f t="shared" si="24"/>
        <v>19.646504057927348</v>
      </c>
      <c r="D58" s="247">
        <f t="shared" si="24"/>
        <v>63.878246195881388</v>
      </c>
      <c r="E58" s="247">
        <f t="shared" si="24"/>
        <v>42.444100304372746</v>
      </c>
      <c r="F58" s="247">
        <f t="shared" si="24"/>
        <v>456.88235294117646</v>
      </c>
      <c r="G58" s="247">
        <f t="shared" si="24"/>
        <v>524.36369545251546</v>
      </c>
      <c r="H58" s="180" t="s">
        <v>246</v>
      </c>
      <c r="I58" s="216" t="s">
        <v>373</v>
      </c>
      <c r="J58" s="217" t="s">
        <v>345</v>
      </c>
    </row>
    <row r="59" spans="1:10" ht="14.1" customHeight="1" x14ac:dyDescent="0.3">
      <c r="A59" s="180" t="s">
        <v>348</v>
      </c>
      <c r="B59" s="247">
        <f t="shared" ref="B59:G59" si="25">-B24*B26^2/2-B19*B28*B36-(B19-1)*B32*B35</f>
        <v>-266.1113777158414</v>
      </c>
      <c r="C59" s="247">
        <f t="shared" si="25"/>
        <v>-176.81853652134615</v>
      </c>
      <c r="D59" s="247">
        <f t="shared" si="25"/>
        <v>-574.90421576293249</v>
      </c>
      <c r="E59" s="247">
        <f t="shared" si="25"/>
        <v>-381.99690273935471</v>
      </c>
      <c r="F59" s="247">
        <f t="shared" si="25"/>
        <v>-1992</v>
      </c>
      <c r="G59" s="247">
        <f t="shared" si="25"/>
        <v>-3139.1828226927637</v>
      </c>
      <c r="H59" s="180" t="s">
        <v>339</v>
      </c>
      <c r="I59" s="251" t="s">
        <v>374</v>
      </c>
      <c r="J59" s="217" t="s">
        <v>345</v>
      </c>
    </row>
    <row r="60" spans="1:10" ht="14.1" customHeight="1" x14ac:dyDescent="0.2">
      <c r="A60" s="180" t="s">
        <v>375</v>
      </c>
      <c r="B60" s="179">
        <f t="shared" ref="B60:G60" si="26">(-B58+SQRT(B58^2-4*B57*B59))/(2*B57)</f>
        <v>2.0301869403403803</v>
      </c>
      <c r="C60" s="179">
        <f t="shared" si="26"/>
        <v>1.6942938659439082</v>
      </c>
      <c r="D60" s="179">
        <f t="shared" si="26"/>
        <v>2.8117432007431482</v>
      </c>
      <c r="E60" s="179">
        <f t="shared" si="26"/>
        <v>2.372001061411007</v>
      </c>
      <c r="F60" s="179">
        <f t="shared" si="26"/>
        <v>3.8524277530816726</v>
      </c>
      <c r="G60" s="179">
        <f t="shared" si="26"/>
        <v>5.1854240173083603</v>
      </c>
      <c r="H60" s="180" t="s">
        <v>19</v>
      </c>
      <c r="I60" s="216" t="s">
        <v>351</v>
      </c>
      <c r="J60" s="217" t="s">
        <v>321</v>
      </c>
    </row>
    <row r="61" spans="1:10" ht="14.1" customHeight="1" x14ac:dyDescent="0.2">
      <c r="A61" s="180" t="s">
        <v>376</v>
      </c>
      <c r="B61" s="194">
        <f t="shared" ref="B61:G61" si="27">B23*B60^3/3+B24*B26^3/12+B24*B26*(B60-B26/2)^2+B19*B28*(B36-B60)^2+(B19-1)*B32*(B60-B35)^2</f>
        <v>1715.2842507249202</v>
      </c>
      <c r="C61" s="194">
        <f t="shared" si="27"/>
        <v>1210.722705416018</v>
      </c>
      <c r="D61" s="194">
        <f t="shared" si="27"/>
        <v>3187.1655873811669</v>
      </c>
      <c r="E61" s="194">
        <f t="shared" si="27"/>
        <v>2309.4450531719631</v>
      </c>
      <c r="F61" s="194">
        <f t="shared" si="27"/>
        <v>9804.6792846113312</v>
      </c>
      <c r="G61" s="194">
        <f t="shared" si="27"/>
        <v>20274.421755431344</v>
      </c>
      <c r="H61" s="159" t="s">
        <v>336</v>
      </c>
      <c r="I61" s="216" t="s">
        <v>377</v>
      </c>
      <c r="J61" s="217" t="s">
        <v>322</v>
      </c>
    </row>
    <row r="62" spans="1:10" ht="14.1" customHeight="1" x14ac:dyDescent="0.2">
      <c r="A62" s="180" t="s">
        <v>278</v>
      </c>
      <c r="B62" s="185" t="str">
        <f t="shared" ref="B62:G62" si="28">IF(B54&lt;=B26,"C1","C2")</f>
        <v>C1</v>
      </c>
      <c r="C62" s="185" t="str">
        <f t="shared" si="28"/>
        <v>C1</v>
      </c>
      <c r="D62" s="185" t="str">
        <f t="shared" si="28"/>
        <v>C1</v>
      </c>
      <c r="E62" s="185" t="str">
        <f t="shared" si="28"/>
        <v>C1</v>
      </c>
      <c r="F62" s="185" t="str">
        <f t="shared" si="28"/>
        <v>C1</v>
      </c>
      <c r="G62" s="185" t="str">
        <f t="shared" si="28"/>
        <v>C1</v>
      </c>
      <c r="H62" s="159"/>
      <c r="I62" s="216" t="s">
        <v>378</v>
      </c>
      <c r="J62" s="217"/>
    </row>
    <row r="63" spans="1:10" ht="14.1" customHeight="1" x14ac:dyDescent="0.2">
      <c r="A63" s="180" t="s">
        <v>350</v>
      </c>
      <c r="B63" s="179">
        <f t="shared" ref="B63:G63" si="29">IF(B62="C1",B54,B60)</f>
        <v>2.0301869403403803</v>
      </c>
      <c r="C63" s="179">
        <f t="shared" si="29"/>
        <v>1.6942938659439082</v>
      </c>
      <c r="D63" s="179">
        <f t="shared" si="29"/>
        <v>2.8117432007431482</v>
      </c>
      <c r="E63" s="179">
        <f t="shared" si="29"/>
        <v>2.372001061411007</v>
      </c>
      <c r="F63" s="179">
        <f t="shared" si="29"/>
        <v>3.4660331591715288</v>
      </c>
      <c r="G63" s="179">
        <f t="shared" si="29"/>
        <v>5.149138176243703</v>
      </c>
      <c r="H63" s="180" t="s">
        <v>19</v>
      </c>
      <c r="I63" s="216" t="s">
        <v>379</v>
      </c>
      <c r="J63" s="217" t="s">
        <v>321</v>
      </c>
    </row>
    <row r="64" spans="1:10" ht="14.1" customHeight="1" x14ac:dyDescent="0.2">
      <c r="A64" s="180" t="s">
        <v>352</v>
      </c>
      <c r="B64" s="194">
        <f t="shared" ref="B64:G64" si="30">IF(B62="C1",B55,B61)</f>
        <v>1715.2842507249202</v>
      </c>
      <c r="C64" s="194">
        <f t="shared" si="30"/>
        <v>1210.722705416018</v>
      </c>
      <c r="D64" s="194">
        <f t="shared" si="30"/>
        <v>3187.1655873811669</v>
      </c>
      <c r="E64" s="194">
        <f t="shared" si="30"/>
        <v>2309.4450531719631</v>
      </c>
      <c r="F64" s="194">
        <f t="shared" si="30"/>
        <v>9517.3980856328471</v>
      </c>
      <c r="G64" s="194">
        <f t="shared" si="30"/>
        <v>20261.208475793341</v>
      </c>
      <c r="H64" s="159" t="s">
        <v>336</v>
      </c>
      <c r="I64" s="216" t="s">
        <v>380</v>
      </c>
      <c r="J64" s="217" t="s">
        <v>322</v>
      </c>
    </row>
    <row r="65" spans="1:10" ht="14.1" customHeight="1" x14ac:dyDescent="0.2">
      <c r="A65" s="205" t="s">
        <v>500</v>
      </c>
      <c r="B65" s="250"/>
      <c r="C65" s="250"/>
      <c r="D65" s="250"/>
      <c r="E65" s="250"/>
      <c r="F65" s="250"/>
      <c r="G65" s="250"/>
      <c r="H65" s="180"/>
      <c r="I65" s="205"/>
      <c r="J65" s="224"/>
    </row>
    <row r="66" spans="1:10" ht="14.1" customHeight="1" x14ac:dyDescent="0.2">
      <c r="A66" s="159" t="s">
        <v>504</v>
      </c>
      <c r="B66" s="269">
        <f>Principal!$E$71</f>
        <v>8.4549850000000006</v>
      </c>
      <c r="C66" s="269">
        <f>Principal!$F$71</f>
        <v>5.8288999999999991</v>
      </c>
      <c r="D66" s="269">
        <f>Principal!$E$71</f>
        <v>8.4549850000000006</v>
      </c>
      <c r="E66" s="269">
        <f>Principal!$F$71</f>
        <v>5.8288999999999991</v>
      </c>
      <c r="F66" s="246">
        <v>5.18</v>
      </c>
      <c r="G66" s="246">
        <v>5.18</v>
      </c>
      <c r="H66" s="180" t="s">
        <v>213</v>
      </c>
      <c r="I66" s="205"/>
      <c r="J66" s="217" t="s">
        <v>316</v>
      </c>
    </row>
    <row r="67" spans="1:10" ht="14.1" customHeight="1" x14ac:dyDescent="0.2">
      <c r="A67" s="205" t="s">
        <v>317</v>
      </c>
      <c r="B67" s="250"/>
      <c r="C67" s="250"/>
      <c r="D67" s="250"/>
      <c r="E67" s="250"/>
      <c r="F67" s="250"/>
      <c r="G67" s="250"/>
      <c r="H67" s="180"/>
      <c r="I67" s="205"/>
      <c r="J67" s="224"/>
    </row>
    <row r="68" spans="1:10" ht="14.1" customHeight="1" x14ac:dyDescent="0.2">
      <c r="A68" s="159" t="s">
        <v>514</v>
      </c>
      <c r="B68" s="179">
        <f t="shared" ref="B68:G68" si="31">B42*(B11/10)/100</f>
        <v>6.1559134080361062</v>
      </c>
      <c r="C68" s="179">
        <f t="shared" si="31"/>
        <v>6.1559134080361062</v>
      </c>
      <c r="D68" s="179">
        <f t="shared" si="31"/>
        <v>6.1559134080361062</v>
      </c>
      <c r="E68" s="179">
        <f t="shared" si="31"/>
        <v>6.1559134080361062</v>
      </c>
      <c r="F68" s="179">
        <f t="shared" si="31"/>
        <v>6.8717442318496031</v>
      </c>
      <c r="G68" s="179">
        <f t="shared" si="31"/>
        <v>6.8717442318496031</v>
      </c>
      <c r="H68" s="180" t="s">
        <v>213</v>
      </c>
      <c r="I68" s="205" t="s">
        <v>503</v>
      </c>
      <c r="J68" s="217" t="s">
        <v>318</v>
      </c>
    </row>
    <row r="69" spans="1:10" ht="14.1" customHeight="1" x14ac:dyDescent="0.2">
      <c r="A69" s="159" t="s">
        <v>515</v>
      </c>
      <c r="B69" s="180">
        <f t="shared" ref="B69:G69" si="32">B68/B66</f>
        <v>0.72808093781787975</v>
      </c>
      <c r="C69" s="180">
        <f t="shared" si="32"/>
        <v>1.0561020789576261</v>
      </c>
      <c r="D69" s="180">
        <f t="shared" si="32"/>
        <v>0.72808093781787975</v>
      </c>
      <c r="E69" s="180">
        <f t="shared" si="32"/>
        <v>1.0561020789576261</v>
      </c>
      <c r="F69" s="180">
        <f t="shared" si="32"/>
        <v>1.3265915505501165</v>
      </c>
      <c r="G69" s="180">
        <f t="shared" si="32"/>
        <v>1.3265915505501165</v>
      </c>
      <c r="H69" s="180"/>
      <c r="I69" s="205" t="s">
        <v>515</v>
      </c>
      <c r="J69" s="205" t="s">
        <v>343</v>
      </c>
    </row>
    <row r="70" spans="1:10" ht="14.1" customHeight="1" x14ac:dyDescent="0.2">
      <c r="A70" s="180" t="s">
        <v>319</v>
      </c>
      <c r="B70" s="184" t="str">
        <f t="shared" ref="B70:G70" si="33">IF(B66&lt;B68,"não fissurada","fissurada")</f>
        <v>fissurada</v>
      </c>
      <c r="C70" s="184" t="str">
        <f t="shared" si="33"/>
        <v>não fissurada</v>
      </c>
      <c r="D70" s="184" t="str">
        <f t="shared" si="33"/>
        <v>fissurada</v>
      </c>
      <c r="E70" s="184" t="str">
        <f t="shared" si="33"/>
        <v>não fissurada</v>
      </c>
      <c r="F70" s="184" t="str">
        <f t="shared" si="33"/>
        <v>não fissurada</v>
      </c>
      <c r="G70" s="184" t="str">
        <f t="shared" si="33"/>
        <v>não fissurada</v>
      </c>
      <c r="H70" s="180"/>
      <c r="I70" s="216" t="s">
        <v>516</v>
      </c>
      <c r="J70" s="217" t="s">
        <v>320</v>
      </c>
    </row>
    <row r="71" spans="1:10" ht="14.1" customHeight="1" x14ac:dyDescent="0.2">
      <c r="A71" s="205" t="s">
        <v>388</v>
      </c>
      <c r="B71" s="184"/>
      <c r="C71" s="184"/>
      <c r="D71" s="184"/>
      <c r="E71" s="184"/>
      <c r="F71" s="184"/>
      <c r="G71" s="184"/>
      <c r="H71" s="180"/>
      <c r="I71" s="216"/>
      <c r="J71" s="217"/>
    </row>
    <row r="72" spans="1:10" ht="14.1" customHeight="1" x14ac:dyDescent="0.2">
      <c r="A72" s="236" t="s">
        <v>406</v>
      </c>
      <c r="B72" s="225">
        <f t="shared" ref="B72:G72" si="34">10*B19*(B66*100)*(B36-B63)/B64</f>
        <v>303.13787992035401</v>
      </c>
      <c r="C72" s="225">
        <f t="shared" si="34"/>
        <v>310.34621592471615</v>
      </c>
      <c r="D72" s="225">
        <f t="shared" si="34"/>
        <v>312.93268695350298</v>
      </c>
      <c r="E72" s="225">
        <f t="shared" si="34"/>
        <v>318.88624648678564</v>
      </c>
      <c r="F72" s="225">
        <f t="shared" si="34"/>
        <v>64.994853701591424</v>
      </c>
      <c r="G72" s="225">
        <f t="shared" si="34"/>
        <v>67.380701208002776</v>
      </c>
      <c r="H72" s="180" t="s">
        <v>192</v>
      </c>
      <c r="I72" s="216" t="s">
        <v>563</v>
      </c>
      <c r="J72" s="217" t="s">
        <v>389</v>
      </c>
    </row>
    <row r="73" spans="1:10" ht="14.1" customHeight="1" x14ac:dyDescent="0.2">
      <c r="A73" s="216" t="s">
        <v>518</v>
      </c>
      <c r="B73" s="184"/>
      <c r="C73" s="184"/>
      <c r="D73" s="184"/>
      <c r="E73" s="184"/>
      <c r="F73" s="184"/>
      <c r="G73" s="184"/>
      <c r="H73" s="180"/>
      <c r="I73" s="216"/>
      <c r="J73" s="217"/>
    </row>
    <row r="74" spans="1:10" ht="14.1" customHeight="1" x14ac:dyDescent="0.3">
      <c r="A74" s="180" t="s">
        <v>521</v>
      </c>
      <c r="B74" s="246" t="s">
        <v>519</v>
      </c>
      <c r="C74" s="246" t="s">
        <v>519</v>
      </c>
      <c r="D74" s="246" t="s">
        <v>519</v>
      </c>
      <c r="E74" s="246" t="s">
        <v>519</v>
      </c>
      <c r="F74" s="246" t="s">
        <v>519</v>
      </c>
      <c r="G74" s="246" t="s">
        <v>519</v>
      </c>
      <c r="H74" s="180"/>
      <c r="I74" s="216"/>
      <c r="J74" s="217" t="s">
        <v>520</v>
      </c>
    </row>
    <row r="75" spans="1:10" ht="14.1" customHeight="1" x14ac:dyDescent="0.2">
      <c r="A75" s="180" t="s">
        <v>521</v>
      </c>
      <c r="B75" s="194">
        <f t="shared" ref="B75:G75" si="35">IF(B74="Ic",B40,B46)</f>
        <v>14400</v>
      </c>
      <c r="C75" s="194">
        <f t="shared" si="35"/>
        <v>14400</v>
      </c>
      <c r="D75" s="194">
        <f t="shared" si="35"/>
        <v>14400</v>
      </c>
      <c r="E75" s="194">
        <f t="shared" si="35"/>
        <v>14400</v>
      </c>
      <c r="F75" s="194">
        <f t="shared" si="35"/>
        <v>34247.038152610439</v>
      </c>
      <c r="G75" s="194">
        <f t="shared" si="35"/>
        <v>34247.038152610439</v>
      </c>
      <c r="H75" s="159" t="s">
        <v>336</v>
      </c>
      <c r="I75" s="216" t="s">
        <v>593</v>
      </c>
      <c r="J75" s="217" t="s">
        <v>594</v>
      </c>
    </row>
    <row r="76" spans="1:10" ht="14.1" customHeight="1" x14ac:dyDescent="0.2">
      <c r="A76" s="236" t="s">
        <v>95</v>
      </c>
      <c r="B76" s="247" t="s">
        <v>526</v>
      </c>
      <c r="C76" s="247" t="s">
        <v>526</v>
      </c>
      <c r="D76" s="247">
        <v>0.5</v>
      </c>
      <c r="E76" s="247">
        <v>0.5</v>
      </c>
      <c r="F76" s="247" t="s">
        <v>526</v>
      </c>
      <c r="G76" s="247">
        <v>0.5</v>
      </c>
      <c r="H76" s="180"/>
      <c r="I76" s="216" t="s">
        <v>595</v>
      </c>
      <c r="J76" s="217" t="s">
        <v>570</v>
      </c>
    </row>
    <row r="77" spans="1:10" ht="14.1" customHeight="1" x14ac:dyDescent="0.2">
      <c r="A77" s="236" t="s">
        <v>423</v>
      </c>
      <c r="B77" s="180">
        <f>IF(B70="fissurada",1-B69^3,0)</f>
        <v>0.61404294644682433</v>
      </c>
      <c r="C77" s="180">
        <f>IF(C70="fissurada",1-C69^3,0)</f>
        <v>0</v>
      </c>
      <c r="D77" s="180">
        <f>IF(D70="fissurada",1-D76*D69^2,0)</f>
        <v>0.73494907399311837</v>
      </c>
      <c r="E77" s="180">
        <f>IF(E70="fissurada",1-E76*E69^2,0)</f>
        <v>0</v>
      </c>
      <c r="F77" s="180">
        <f>IF(F70="fissurada",1-F69^3,0)</f>
        <v>0</v>
      </c>
      <c r="G77" s="180">
        <f>IF(G70="fissurada",1-G76*G69^2,0)</f>
        <v>0</v>
      </c>
      <c r="H77" s="159"/>
      <c r="I77" s="216" t="s">
        <v>525</v>
      </c>
      <c r="J77" s="217" t="s">
        <v>596</v>
      </c>
    </row>
    <row r="78" spans="1:10" ht="14.1" customHeight="1" x14ac:dyDescent="0.2">
      <c r="A78" s="180" t="s">
        <v>353</v>
      </c>
      <c r="B78" s="194">
        <f>(1-B77)*B75+B77*B64</f>
        <v>6611.0397664746924</v>
      </c>
      <c r="C78" s="194">
        <f>(1-C77)*C75+C77*C64</f>
        <v>14400</v>
      </c>
      <c r="D78" s="194">
        <f>D75*D64/(D77*D75+(1-D77)*D64)</f>
        <v>4016.0196525161696</v>
      </c>
      <c r="E78" s="194">
        <f>E75*E64/(E77*E75+(1-E77)*E64)</f>
        <v>14400</v>
      </c>
      <c r="F78" s="194">
        <f>(1-F77)*F75+F77*F64</f>
        <v>34247.038152610439</v>
      </c>
      <c r="G78" s="194">
        <f>G75*G64/(G77*G75+(1-G77)*G64)</f>
        <v>34247.038152610439</v>
      </c>
      <c r="H78" s="159" t="s">
        <v>336</v>
      </c>
      <c r="I78" s="216" t="s">
        <v>527</v>
      </c>
      <c r="J78" s="217" t="s">
        <v>323</v>
      </c>
    </row>
    <row r="79" spans="1:10" ht="14.1" customHeight="1" x14ac:dyDescent="0.2">
      <c r="A79" s="180" t="s">
        <v>532</v>
      </c>
      <c r="B79" s="194">
        <f t="shared" ref="B79:G79" si="36">(B12/10)*B40</f>
        <v>34272000</v>
      </c>
      <c r="C79" s="194">
        <f t="shared" si="36"/>
        <v>34272000</v>
      </c>
      <c r="D79" s="194">
        <f t="shared" si="36"/>
        <v>45325160.942427859</v>
      </c>
      <c r="E79" s="194">
        <f t="shared" si="36"/>
        <v>45325160.942427859</v>
      </c>
      <c r="F79" s="194">
        <f t="shared" si="36"/>
        <v>81507950.803212851</v>
      </c>
      <c r="G79" s="194">
        <f t="shared" si="36"/>
        <v>107795313.61587051</v>
      </c>
      <c r="H79" s="159" t="s">
        <v>534</v>
      </c>
      <c r="I79" s="216" t="s">
        <v>532</v>
      </c>
      <c r="J79" s="216" t="s">
        <v>597</v>
      </c>
    </row>
    <row r="80" spans="1:10" ht="14.1" customHeight="1" x14ac:dyDescent="0.2">
      <c r="A80" s="180" t="s">
        <v>533</v>
      </c>
      <c r="B80" s="194">
        <f t="shared" ref="B80:G80" si="37">(B14/10)*B78</f>
        <v>6773256.4116271073</v>
      </c>
      <c r="C80" s="194">
        <f t="shared" si="37"/>
        <v>14753336.203185538</v>
      </c>
      <c r="D80" s="194">
        <f t="shared" si="37"/>
        <v>4213581.877274272</v>
      </c>
      <c r="E80" s="194">
        <f t="shared" si="37"/>
        <v>15108386.980809284</v>
      </c>
      <c r="F80" s="194">
        <f t="shared" si="37"/>
        <v>35087365.821443334</v>
      </c>
      <c r="G80" s="194">
        <f t="shared" si="37"/>
        <v>30798661.033105858</v>
      </c>
      <c r="H80" s="159" t="s">
        <v>534</v>
      </c>
      <c r="I80" s="216" t="s">
        <v>533</v>
      </c>
      <c r="J80" s="216" t="s">
        <v>598</v>
      </c>
    </row>
    <row r="81" spans="1:12" ht="14.1" customHeight="1" x14ac:dyDescent="0.2">
      <c r="A81" s="180" t="s">
        <v>538</v>
      </c>
      <c r="B81" s="294">
        <f t="shared" ref="B81:G81" si="38">B79/B80</f>
        <v>5.0598999826978348</v>
      </c>
      <c r="C81" s="294">
        <f t="shared" si="38"/>
        <v>2.3229999999999995</v>
      </c>
      <c r="D81" s="294">
        <f t="shared" si="38"/>
        <v>10.756919471978623</v>
      </c>
      <c r="E81" s="294">
        <f t="shared" si="38"/>
        <v>3.0000000000000004</v>
      </c>
      <c r="F81" s="294">
        <f t="shared" si="38"/>
        <v>2.3229999999999995</v>
      </c>
      <c r="G81" s="294">
        <f t="shared" si="38"/>
        <v>3.5</v>
      </c>
      <c r="H81" s="159"/>
      <c r="I81" s="216"/>
      <c r="J81" s="217"/>
    </row>
    <row r="82" spans="1:12" ht="14.1" customHeight="1" x14ac:dyDescent="0.2">
      <c r="A82" s="216" t="s">
        <v>314</v>
      </c>
      <c r="B82" s="250"/>
      <c r="C82" s="250"/>
      <c r="D82" s="250"/>
      <c r="E82" s="250"/>
      <c r="F82" s="250"/>
      <c r="G82" s="250"/>
      <c r="H82" s="180"/>
      <c r="I82" s="216"/>
      <c r="J82" s="217"/>
    </row>
    <row r="83" spans="1:12" ht="14.1" customHeight="1" x14ac:dyDescent="0.3">
      <c r="A83" s="249" t="s">
        <v>341</v>
      </c>
      <c r="B83" s="269">
        <f>Principal!$H$73</f>
        <v>2.7981175108932459</v>
      </c>
      <c r="C83" s="269">
        <f>Principal!$H$73</f>
        <v>2.7981175108932459</v>
      </c>
      <c r="D83" s="269">
        <f>Principal!$H$73</f>
        <v>2.7981175108932459</v>
      </c>
      <c r="E83" s="269">
        <f>Principal!$H$73</f>
        <v>2.7981175108932459</v>
      </c>
      <c r="F83" s="246">
        <v>0.99</v>
      </c>
      <c r="G83" s="246">
        <v>0.99</v>
      </c>
      <c r="H83" s="180" t="s">
        <v>18</v>
      </c>
      <c r="I83" s="216"/>
      <c r="J83" s="217" t="s">
        <v>342</v>
      </c>
    </row>
    <row r="84" spans="1:12" ht="14.1" customHeight="1" x14ac:dyDescent="0.2">
      <c r="A84" s="216" t="s">
        <v>325</v>
      </c>
      <c r="B84" s="184"/>
      <c r="C84" s="184"/>
      <c r="D84" s="184"/>
      <c r="E84" s="184"/>
      <c r="F84" s="184"/>
      <c r="G84" s="184"/>
      <c r="H84" s="180"/>
      <c r="I84" s="237"/>
      <c r="J84" s="217"/>
    </row>
    <row r="85" spans="1:12" ht="14.1" customHeight="1" x14ac:dyDescent="0.2">
      <c r="A85" s="236" t="s">
        <v>355</v>
      </c>
      <c r="B85" s="184">
        <f>B83*B81</f>
        <v>14.158194744955244</v>
      </c>
      <c r="C85" s="184">
        <f>C83*C81</f>
        <v>6.5000269778050086</v>
      </c>
      <c r="D85" s="184">
        <f t="shared" ref="D85:G85" si="39">D83*D81</f>
        <v>30.099124737811913</v>
      </c>
      <c r="E85" s="184">
        <f t="shared" si="39"/>
        <v>8.3943525326797381</v>
      </c>
      <c r="F85" s="184">
        <f t="shared" si="39"/>
        <v>2.2997699999999996</v>
      </c>
      <c r="G85" s="184">
        <f t="shared" si="39"/>
        <v>3.4649999999999999</v>
      </c>
      <c r="H85" s="180" t="s">
        <v>18</v>
      </c>
      <c r="I85" s="216" t="s">
        <v>535</v>
      </c>
      <c r="J85" s="217" t="s">
        <v>326</v>
      </c>
    </row>
    <row r="86" spans="1:12" ht="14.1" customHeight="1" x14ac:dyDescent="0.2">
      <c r="A86" s="216" t="s">
        <v>327</v>
      </c>
      <c r="B86" s="179"/>
      <c r="C86" s="179"/>
      <c r="D86" s="179"/>
      <c r="E86" s="179"/>
      <c r="F86" s="179"/>
      <c r="G86" s="179"/>
      <c r="H86" s="180"/>
      <c r="I86" s="237"/>
      <c r="J86" s="217"/>
    </row>
    <row r="87" spans="1:12" ht="14.1" customHeight="1" x14ac:dyDescent="0.2">
      <c r="A87" s="180" t="s">
        <v>313</v>
      </c>
      <c r="B87" s="269">
        <f>Principal!$R$22</f>
        <v>3.5</v>
      </c>
      <c r="C87" s="269">
        <f>Principal!$R$22</f>
        <v>3.5</v>
      </c>
      <c r="D87" s="269">
        <f>Principal!$R$22</f>
        <v>3.5</v>
      </c>
      <c r="E87" s="269">
        <f>Principal!$R$22</f>
        <v>3.5</v>
      </c>
      <c r="F87" s="246">
        <v>6</v>
      </c>
      <c r="G87" s="246">
        <v>6</v>
      </c>
      <c r="H87" s="180" t="s">
        <v>33</v>
      </c>
      <c r="I87" s="216"/>
      <c r="J87" s="217" t="s">
        <v>592</v>
      </c>
    </row>
    <row r="88" spans="1:12" ht="14.1" customHeight="1" x14ac:dyDescent="0.2">
      <c r="A88" s="236" t="s">
        <v>517</v>
      </c>
      <c r="B88" s="244">
        <v>250</v>
      </c>
      <c r="C88" s="244">
        <v>250</v>
      </c>
      <c r="D88" s="244">
        <v>250</v>
      </c>
      <c r="E88" s="244">
        <v>250</v>
      </c>
      <c r="F88" s="244">
        <v>250</v>
      </c>
      <c r="G88" s="244">
        <v>250</v>
      </c>
      <c r="H88" s="180"/>
      <c r="I88" s="237" t="s">
        <v>517</v>
      </c>
      <c r="J88" s="217"/>
    </row>
    <row r="89" spans="1:12" ht="14.1" customHeight="1" x14ac:dyDescent="0.2">
      <c r="A89" s="236" t="s">
        <v>356</v>
      </c>
      <c r="B89" s="184">
        <f t="shared" ref="B89:G89" si="40">B87*1000/B88</f>
        <v>14</v>
      </c>
      <c r="C89" s="184">
        <f t="shared" si="40"/>
        <v>14</v>
      </c>
      <c r="D89" s="184">
        <f t="shared" si="40"/>
        <v>14</v>
      </c>
      <c r="E89" s="184">
        <f t="shared" si="40"/>
        <v>14</v>
      </c>
      <c r="F89" s="184">
        <f t="shared" si="40"/>
        <v>24</v>
      </c>
      <c r="G89" s="184">
        <f t="shared" si="40"/>
        <v>24</v>
      </c>
      <c r="H89" s="180" t="s">
        <v>18</v>
      </c>
      <c r="I89" s="216" t="s">
        <v>328</v>
      </c>
      <c r="J89" s="217" t="s">
        <v>329</v>
      </c>
    </row>
    <row r="90" spans="1:12" ht="14.1" customHeight="1" x14ac:dyDescent="0.3">
      <c r="A90" s="236" t="s">
        <v>357</v>
      </c>
      <c r="B90" s="184">
        <f t="shared" ref="B90:G90" si="41">B85/B89</f>
        <v>1.0112996246396604</v>
      </c>
      <c r="C90" s="184">
        <f t="shared" si="41"/>
        <v>0.46428764127178634</v>
      </c>
      <c r="D90" s="184">
        <f t="shared" si="41"/>
        <v>2.1499374812722793</v>
      </c>
      <c r="E90" s="184">
        <f t="shared" si="41"/>
        <v>0.59959660947712412</v>
      </c>
      <c r="F90" s="184">
        <f t="shared" si="41"/>
        <v>9.5823749999999985E-2</v>
      </c>
      <c r="G90" s="184">
        <f t="shared" si="41"/>
        <v>0.144375</v>
      </c>
      <c r="H90" s="180"/>
      <c r="I90" s="237" t="s">
        <v>357</v>
      </c>
      <c r="J90" s="217" t="s">
        <v>358</v>
      </c>
    </row>
    <row r="91" spans="1:12" ht="14.1" customHeight="1" x14ac:dyDescent="0.2">
      <c r="A91" s="211"/>
      <c r="B91" s="211"/>
      <c r="C91" s="211"/>
      <c r="D91" s="211"/>
      <c r="E91" s="211"/>
      <c r="F91" s="211"/>
      <c r="G91" s="211"/>
      <c r="H91" s="211"/>
      <c r="I91" s="211"/>
      <c r="J91" s="211"/>
    </row>
    <row r="92" spans="1:12" ht="14.1" customHeight="1" x14ac:dyDescent="0.2">
      <c r="A92" s="211"/>
      <c r="B92" s="211"/>
      <c r="C92" s="211"/>
      <c r="D92" s="211"/>
      <c r="E92" s="211"/>
      <c r="F92" s="211"/>
      <c r="G92" s="211"/>
      <c r="H92" s="211"/>
      <c r="I92" s="211"/>
      <c r="J92" s="211"/>
    </row>
    <row r="93" spans="1:12" ht="14.1" customHeight="1" x14ac:dyDescent="0.2">
      <c r="A93" s="211"/>
      <c r="B93" s="211"/>
      <c r="C93" s="211"/>
      <c r="D93" s="211"/>
      <c r="E93" s="211"/>
      <c r="F93" s="211"/>
      <c r="G93" s="211"/>
      <c r="H93" s="211"/>
      <c r="I93" s="211"/>
      <c r="J93" s="211"/>
    </row>
    <row r="94" spans="1:12" s="220" customFormat="1" ht="14.1" customHeight="1" x14ac:dyDescent="0.2">
      <c r="K94" s="222"/>
      <c r="L94" s="222"/>
    </row>
    <row r="95" spans="1:12" s="220" customFormat="1" ht="14.1" customHeight="1" x14ac:dyDescent="0.2">
      <c r="K95" s="222"/>
      <c r="L95" s="222"/>
    </row>
    <row r="96" spans="1:12" s="220" customFormat="1" ht="14.1" customHeight="1" x14ac:dyDescent="0.2">
      <c r="K96" s="222"/>
      <c r="L96" s="222"/>
    </row>
    <row r="97" spans="1:10" ht="14.1" customHeight="1" x14ac:dyDescent="0.2">
      <c r="A97" s="211"/>
      <c r="B97" s="211"/>
      <c r="C97" s="211"/>
      <c r="D97" s="211"/>
      <c r="E97" s="211"/>
      <c r="F97" s="211"/>
      <c r="G97" s="211"/>
      <c r="H97" s="211"/>
      <c r="I97" s="211"/>
      <c r="J97" s="211"/>
    </row>
    <row r="98" spans="1:10" ht="14.1" customHeight="1" x14ac:dyDescent="0.2">
      <c r="A98" s="211"/>
      <c r="B98" s="211"/>
      <c r="C98" s="211"/>
      <c r="D98" s="211"/>
      <c r="E98" s="211"/>
      <c r="F98" s="211"/>
      <c r="G98" s="211"/>
      <c r="H98" s="211"/>
      <c r="I98" s="211"/>
      <c r="J98" s="211"/>
    </row>
    <row r="99" spans="1:10" ht="14.1" customHeight="1" x14ac:dyDescent="0.2">
      <c r="A99" s="211"/>
      <c r="B99" s="211"/>
      <c r="C99" s="211"/>
      <c r="D99" s="211"/>
      <c r="E99" s="211"/>
      <c r="F99" s="211"/>
      <c r="G99" s="211"/>
      <c r="H99" s="211"/>
      <c r="I99" s="211"/>
      <c r="J99" s="211"/>
    </row>
    <row r="100" spans="1:10" ht="14.1" customHeight="1" x14ac:dyDescent="0.2">
      <c r="A100" s="211"/>
      <c r="B100" s="211"/>
      <c r="C100" s="211"/>
      <c r="D100" s="211"/>
      <c r="E100" s="211"/>
      <c r="F100" s="211"/>
      <c r="G100" s="211"/>
      <c r="H100" s="211"/>
      <c r="I100" s="211"/>
      <c r="J100" s="211"/>
    </row>
    <row r="101" spans="1:10" ht="14.1" customHeight="1" x14ac:dyDescent="0.2">
      <c r="A101" s="211"/>
      <c r="B101" s="211"/>
      <c r="C101" s="211"/>
      <c r="D101" s="211"/>
      <c r="E101" s="211"/>
      <c r="F101" s="211"/>
      <c r="G101" s="211"/>
      <c r="H101" s="211"/>
      <c r="I101" s="211"/>
      <c r="J101" s="211"/>
    </row>
    <row r="102" spans="1:10" ht="14.1" customHeight="1" x14ac:dyDescent="0.2">
      <c r="A102" s="211"/>
      <c r="B102" s="211"/>
      <c r="C102" s="211"/>
      <c r="D102" s="211"/>
      <c r="E102" s="211"/>
      <c r="F102" s="211"/>
      <c r="G102" s="211"/>
      <c r="H102" s="211"/>
      <c r="I102" s="211"/>
      <c r="J102" s="211"/>
    </row>
    <row r="103" spans="1:10" ht="14.1" customHeight="1" x14ac:dyDescent="0.2">
      <c r="A103" s="211"/>
      <c r="B103" s="211"/>
      <c r="C103" s="211"/>
      <c r="D103" s="211"/>
      <c r="E103" s="211"/>
      <c r="F103" s="211"/>
      <c r="G103" s="211"/>
      <c r="H103" s="211"/>
      <c r="I103" s="211"/>
      <c r="J103" s="211"/>
    </row>
    <row r="104" spans="1:10" ht="14.1" customHeight="1" x14ac:dyDescent="0.2">
      <c r="A104" s="211"/>
      <c r="B104" s="211"/>
      <c r="C104" s="211"/>
      <c r="D104" s="211"/>
      <c r="E104" s="211"/>
      <c r="F104" s="211"/>
      <c r="G104" s="211"/>
      <c r="H104" s="211"/>
      <c r="I104" s="211"/>
      <c r="J104" s="211"/>
    </row>
    <row r="105" spans="1:10" ht="14.1" customHeight="1" x14ac:dyDescent="0.2">
      <c r="A105" s="211"/>
      <c r="B105" s="211"/>
      <c r="C105" s="211"/>
      <c r="D105" s="211"/>
      <c r="E105" s="211"/>
      <c r="F105" s="211"/>
      <c r="G105" s="211"/>
      <c r="H105" s="211"/>
      <c r="I105" s="211"/>
      <c r="J105" s="211"/>
    </row>
    <row r="106" spans="1:10" ht="14.1" customHeight="1" x14ac:dyDescent="0.2">
      <c r="A106" s="211"/>
      <c r="B106" s="211"/>
      <c r="C106" s="211"/>
      <c r="D106" s="211"/>
      <c r="E106" s="211"/>
      <c r="F106" s="211"/>
      <c r="G106" s="211"/>
      <c r="H106" s="211"/>
      <c r="I106" s="211"/>
      <c r="J106" s="211"/>
    </row>
    <row r="107" spans="1:10" ht="14.1" customHeight="1" x14ac:dyDescent="0.2">
      <c r="A107" s="211"/>
      <c r="B107" s="211"/>
      <c r="C107" s="211"/>
      <c r="D107" s="211"/>
      <c r="E107" s="211"/>
      <c r="F107" s="211"/>
      <c r="G107" s="211"/>
      <c r="H107" s="211"/>
      <c r="I107" s="211"/>
      <c r="J107" s="211"/>
    </row>
    <row r="108" spans="1:10" ht="14.1" customHeight="1" x14ac:dyDescent="0.2">
      <c r="A108" s="211"/>
      <c r="B108" s="211"/>
      <c r="C108" s="211"/>
      <c r="D108" s="211"/>
      <c r="E108" s="211"/>
      <c r="F108" s="211"/>
      <c r="G108" s="211"/>
      <c r="H108" s="211"/>
      <c r="I108" s="211"/>
      <c r="J108" s="211"/>
    </row>
    <row r="109" spans="1:10" ht="14.1" customHeight="1" x14ac:dyDescent="0.2">
      <c r="A109" s="211"/>
      <c r="B109" s="211"/>
      <c r="C109" s="211"/>
      <c r="D109" s="211"/>
      <c r="E109" s="211"/>
      <c r="F109" s="211"/>
      <c r="G109" s="211"/>
      <c r="H109" s="211"/>
      <c r="I109" s="211"/>
      <c r="J109" s="211"/>
    </row>
    <row r="110" spans="1:10" ht="14.1" customHeight="1" x14ac:dyDescent="0.2">
      <c r="A110" s="211"/>
      <c r="B110" s="211"/>
      <c r="C110" s="211"/>
      <c r="D110" s="211"/>
      <c r="E110" s="211"/>
      <c r="F110" s="211"/>
      <c r="G110" s="211"/>
      <c r="H110" s="211"/>
      <c r="I110" s="211"/>
      <c r="J110" s="211"/>
    </row>
    <row r="111" spans="1:10" ht="14.1" customHeight="1" x14ac:dyDescent="0.2">
      <c r="A111" s="211"/>
      <c r="B111" s="211"/>
      <c r="C111" s="211"/>
      <c r="D111" s="211"/>
      <c r="E111" s="211"/>
      <c r="F111" s="211"/>
      <c r="G111" s="211"/>
      <c r="H111" s="211"/>
      <c r="I111" s="211"/>
      <c r="J111" s="211"/>
    </row>
    <row r="112" spans="1:10" ht="14.1" customHeight="1" x14ac:dyDescent="0.2">
      <c r="A112" s="211"/>
      <c r="B112" s="211"/>
      <c r="C112" s="211"/>
      <c r="D112" s="211"/>
      <c r="E112" s="211"/>
      <c r="F112" s="211"/>
      <c r="G112" s="211"/>
      <c r="H112" s="211"/>
      <c r="I112" s="211"/>
      <c r="J112" s="211"/>
    </row>
    <row r="113" spans="1:10" ht="14.1" customHeight="1" x14ac:dyDescent="0.2">
      <c r="A113" s="211"/>
      <c r="B113" s="211"/>
      <c r="C113" s="211"/>
      <c r="D113" s="211"/>
      <c r="E113" s="211"/>
      <c r="F113" s="211"/>
      <c r="G113" s="211"/>
      <c r="H113" s="211"/>
      <c r="I113" s="211"/>
      <c r="J113" s="211"/>
    </row>
    <row r="114" spans="1:10" ht="14.1" customHeight="1" x14ac:dyDescent="0.2">
      <c r="A114" s="211"/>
      <c r="B114" s="211"/>
      <c r="C114" s="211"/>
      <c r="D114" s="211"/>
      <c r="E114" s="211"/>
      <c r="F114" s="211"/>
      <c r="G114" s="211"/>
      <c r="H114" s="211"/>
      <c r="I114" s="211"/>
      <c r="J114" s="211"/>
    </row>
    <row r="115" spans="1:10" ht="14.1" customHeight="1" x14ac:dyDescent="0.2">
      <c r="A115" s="211"/>
      <c r="B115" s="211"/>
      <c r="C115" s="211"/>
      <c r="D115" s="211"/>
      <c r="E115" s="211"/>
      <c r="F115" s="211"/>
      <c r="G115" s="211"/>
      <c r="H115" s="211"/>
      <c r="I115" s="211"/>
      <c r="J115" s="211"/>
    </row>
    <row r="116" spans="1:10" ht="14.1" customHeight="1" x14ac:dyDescent="0.2">
      <c r="A116" s="211"/>
      <c r="B116" s="211"/>
      <c r="C116" s="211"/>
      <c r="D116" s="211"/>
      <c r="E116" s="211"/>
      <c r="F116" s="211"/>
      <c r="G116" s="211"/>
      <c r="H116" s="211"/>
      <c r="I116" s="211"/>
      <c r="J116" s="211"/>
    </row>
    <row r="117" spans="1:10" ht="14.1" customHeight="1" x14ac:dyDescent="0.2">
      <c r="A117" s="211"/>
      <c r="B117" s="211"/>
      <c r="C117" s="211"/>
      <c r="D117" s="211"/>
      <c r="E117" s="211"/>
      <c r="F117" s="211"/>
      <c r="G117" s="211"/>
      <c r="H117" s="211"/>
      <c r="I117" s="211"/>
      <c r="J117" s="211"/>
    </row>
    <row r="118" spans="1:10" ht="14.1" customHeight="1" x14ac:dyDescent="0.2">
      <c r="A118" s="211"/>
      <c r="B118" s="211"/>
      <c r="C118" s="211"/>
      <c r="D118" s="211"/>
      <c r="E118" s="211"/>
      <c r="F118" s="211"/>
      <c r="G118" s="211"/>
      <c r="H118" s="211"/>
      <c r="I118" s="211"/>
      <c r="J118" s="211"/>
    </row>
    <row r="119" spans="1:10" ht="14.1" customHeight="1" x14ac:dyDescent="0.2">
      <c r="A119" s="211"/>
      <c r="B119" s="211"/>
      <c r="C119" s="211"/>
      <c r="D119" s="211"/>
      <c r="E119" s="211"/>
      <c r="F119" s="211"/>
      <c r="G119" s="211"/>
      <c r="H119" s="211"/>
      <c r="I119" s="211"/>
      <c r="J119" s="211"/>
    </row>
    <row r="120" spans="1:10" ht="14.1" customHeight="1" x14ac:dyDescent="0.2">
      <c r="A120" s="211"/>
      <c r="B120" s="211"/>
      <c r="C120" s="211"/>
      <c r="D120" s="211"/>
      <c r="E120" s="211"/>
      <c r="F120" s="211"/>
      <c r="G120" s="211"/>
      <c r="H120" s="211"/>
      <c r="I120" s="211"/>
      <c r="J120" s="211"/>
    </row>
    <row r="121" spans="1:10" ht="15" customHeight="1" x14ac:dyDescent="0.2">
      <c r="B121" s="253"/>
      <c r="C121" s="253"/>
      <c r="D121" s="253"/>
      <c r="E121" s="253"/>
      <c r="F121" s="253"/>
      <c r="G121" s="253"/>
    </row>
    <row r="122" spans="1:10" ht="15" customHeight="1" x14ac:dyDescent="0.2">
      <c r="B122" s="253"/>
      <c r="C122" s="253"/>
      <c r="D122" s="253"/>
      <c r="E122" s="253"/>
      <c r="F122" s="253"/>
      <c r="G122" s="253"/>
    </row>
    <row r="123" spans="1:10" ht="15" customHeight="1" x14ac:dyDescent="0.2">
      <c r="B123" s="253"/>
      <c r="C123" s="253"/>
      <c r="D123" s="253"/>
      <c r="E123" s="253"/>
      <c r="F123" s="253"/>
      <c r="G123" s="253"/>
    </row>
    <row r="124" spans="1:10" ht="15" customHeight="1" x14ac:dyDescent="0.2">
      <c r="B124" s="253"/>
      <c r="C124" s="253"/>
      <c r="D124" s="253"/>
      <c r="E124" s="253"/>
      <c r="F124" s="253"/>
      <c r="G124" s="253"/>
    </row>
    <row r="125" spans="1:10" ht="15" customHeight="1" x14ac:dyDescent="0.2">
      <c r="B125" s="253"/>
      <c r="C125" s="253"/>
      <c r="D125" s="253"/>
      <c r="E125" s="253"/>
      <c r="F125" s="253"/>
      <c r="G125" s="253"/>
    </row>
    <row r="126" spans="1:10" ht="15" customHeight="1" x14ac:dyDescent="0.2"/>
    <row r="127" spans="1:10" ht="15" customHeight="1" x14ac:dyDescent="0.2"/>
    <row r="128" spans="1:10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</sheetData>
  <phoneticPr fontId="25" type="noConversion"/>
  <conditionalFormatting sqref="B57:G61">
    <cfRule type="expression" dxfId="12" priority="1" stopIfTrue="1">
      <formula>B$62="C1"</formula>
    </cfRule>
  </conditionalFormatting>
  <conditionalFormatting sqref="B51:G55">
    <cfRule type="expression" dxfId="11" priority="2" stopIfTrue="1">
      <formula>B$62="C2"</formula>
    </cfRule>
  </conditionalFormatting>
  <conditionalFormatting sqref="B90:G90">
    <cfRule type="cellIs" dxfId="10" priority="3" stopIfTrue="1" operator="greaterThan">
      <formula>1</formula>
    </cfRule>
  </conditionalFormatting>
  <dataValidations disablePrompts="1" count="1">
    <dataValidation type="list" allowBlank="1" showInputMessage="1" showErrorMessage="1" sqref="B74:G74">
      <formula1>"Ic,I1"</formula1>
    </dataValidation>
  </dataValidations>
  <printOptions horizontalCentered="1" verticalCentered="1"/>
  <pageMargins left="0" right="0.11811023622047245" top="0.62992125984251968" bottom="0.59055118110236227" header="0.51181102362204722" footer="0.51181102362204722"/>
  <pageSetup paperSize="9" scale="75" orientation="landscape" blackAndWhite="1" horizontalDpi="4294967294" r:id="rId1"/>
  <headerFooter alignWithMargins="0"/>
  <rowBreaks count="1" manualBreakCount="1">
    <brk id="40" max="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8"/>
  <sheetViews>
    <sheetView showGridLines="0" topLeftCell="A4" zoomScale="117" zoomScaleNormal="117" zoomScaleSheetLayoutView="150" workbookViewId="0">
      <selection activeCell="I11" sqref="I11"/>
    </sheetView>
  </sheetViews>
  <sheetFormatPr defaultRowHeight="12.75" x14ac:dyDescent="0.2"/>
  <cols>
    <col min="1" max="1" width="10.7109375" style="240" customWidth="1"/>
    <col min="2" max="7" width="10.7109375" style="210" customWidth="1"/>
    <col min="8" max="8" width="10.7109375" style="240" customWidth="1"/>
    <col min="9" max="9" width="83.42578125" style="241" customWidth="1"/>
    <col min="10" max="10" width="85.42578125" style="254" customWidth="1"/>
    <col min="11" max="11" width="6.140625" style="210" bestFit="1" customWidth="1"/>
    <col min="12" max="12" width="10.7109375" style="210" bestFit="1" customWidth="1"/>
    <col min="13" max="16384" width="9.140625" style="211"/>
  </cols>
  <sheetData>
    <row r="1" spans="1:14" ht="14.1" customHeight="1" x14ac:dyDescent="0.2">
      <c r="A1" s="206" t="s">
        <v>9</v>
      </c>
      <c r="B1" s="207"/>
      <c r="C1" s="207"/>
      <c r="D1" s="207"/>
      <c r="E1" s="207"/>
      <c r="F1" s="207"/>
      <c r="G1" s="207"/>
      <c r="H1" s="208"/>
      <c r="I1" s="208" t="s">
        <v>10</v>
      </c>
      <c r="J1" s="209" t="s">
        <v>92</v>
      </c>
    </row>
    <row r="2" spans="1:14" ht="14.1" customHeight="1" x14ac:dyDescent="0.2">
      <c r="A2" s="212" t="s">
        <v>188</v>
      </c>
      <c r="B2" s="213"/>
      <c r="C2" s="213"/>
      <c r="D2" s="213"/>
      <c r="E2" s="213"/>
      <c r="F2" s="213"/>
      <c r="G2" s="213"/>
      <c r="H2" s="214"/>
      <c r="I2" s="214" t="s">
        <v>189</v>
      </c>
      <c r="J2" s="215" t="s">
        <v>190</v>
      </c>
    </row>
    <row r="3" spans="1:14" s="220" customFormat="1" ht="14.1" customHeight="1" x14ac:dyDescent="0.2">
      <c r="A3" s="216" t="s">
        <v>658</v>
      </c>
      <c r="B3" s="217"/>
      <c r="C3" s="217"/>
      <c r="D3" s="217"/>
      <c r="E3" s="217"/>
      <c r="F3" s="217"/>
      <c r="G3" s="217"/>
      <c r="H3" s="180"/>
      <c r="I3" s="216"/>
      <c r="J3" s="217"/>
      <c r="K3" s="218"/>
      <c r="L3" s="218"/>
      <c r="M3" s="219"/>
      <c r="N3" s="219"/>
    </row>
    <row r="4" spans="1:14" s="220" customFormat="1" ht="14.1" customHeight="1" x14ac:dyDescent="0.2">
      <c r="A4" s="180" t="s">
        <v>511</v>
      </c>
      <c r="B4" s="221" t="s">
        <v>512</v>
      </c>
      <c r="C4" s="221" t="s">
        <v>512</v>
      </c>
      <c r="D4" s="221" t="s">
        <v>513</v>
      </c>
      <c r="E4" s="221" t="s">
        <v>513</v>
      </c>
      <c r="F4" s="221" t="s">
        <v>512</v>
      </c>
      <c r="G4" s="221" t="s">
        <v>513</v>
      </c>
      <c r="H4" s="180"/>
      <c r="I4" s="216"/>
      <c r="J4" s="217" t="s">
        <v>540</v>
      </c>
      <c r="K4" s="218"/>
      <c r="L4" s="218"/>
      <c r="M4" s="219"/>
      <c r="N4" s="219"/>
    </row>
    <row r="5" spans="1:14" s="220" customFormat="1" ht="14.1" customHeight="1" x14ac:dyDescent="0.2">
      <c r="A5" s="180" t="s">
        <v>319</v>
      </c>
      <c r="B5" s="221" t="s">
        <v>2</v>
      </c>
      <c r="C5" s="221" t="s">
        <v>95</v>
      </c>
      <c r="D5" s="221" t="s">
        <v>2</v>
      </c>
      <c r="E5" s="221" t="s">
        <v>95</v>
      </c>
      <c r="F5" s="221" t="s">
        <v>2</v>
      </c>
      <c r="G5" s="221" t="s">
        <v>2</v>
      </c>
      <c r="H5" s="180"/>
      <c r="I5" s="216"/>
      <c r="J5" s="217" t="s">
        <v>452</v>
      </c>
      <c r="K5" s="222"/>
      <c r="L5" s="222"/>
    </row>
    <row r="6" spans="1:14" s="220" customFormat="1" ht="14.1" customHeight="1" x14ac:dyDescent="0.2">
      <c r="A6" s="180" t="s">
        <v>457</v>
      </c>
      <c r="B6" s="221" t="s">
        <v>458</v>
      </c>
      <c r="C6" s="221" t="s">
        <v>458</v>
      </c>
      <c r="D6" s="221" t="s">
        <v>458</v>
      </c>
      <c r="E6" s="221" t="s">
        <v>458</v>
      </c>
      <c r="F6" s="221" t="s">
        <v>458</v>
      </c>
      <c r="G6" s="221" t="s">
        <v>458</v>
      </c>
      <c r="H6" s="180"/>
      <c r="I6" s="216"/>
      <c r="J6" s="217"/>
      <c r="K6" s="222"/>
      <c r="L6" s="222"/>
    </row>
    <row r="7" spans="1:14" s="220" customFormat="1" ht="14.1" customHeight="1" x14ac:dyDescent="0.2">
      <c r="A7" s="216" t="s">
        <v>191</v>
      </c>
      <c r="B7" s="221"/>
      <c r="C7" s="221"/>
      <c r="D7" s="221"/>
      <c r="E7" s="221"/>
      <c r="F7" s="257" t="s">
        <v>587</v>
      </c>
      <c r="G7" s="257" t="s">
        <v>587</v>
      </c>
      <c r="H7" s="180"/>
      <c r="I7" s="216"/>
      <c r="J7" s="217"/>
      <c r="K7" s="222"/>
      <c r="L7" s="222"/>
    </row>
    <row r="8" spans="1:14" ht="14.1" customHeight="1" x14ac:dyDescent="0.2">
      <c r="A8" s="159" t="s">
        <v>232</v>
      </c>
      <c r="B8" s="268">
        <f>Principal!$D$10</f>
        <v>25</v>
      </c>
      <c r="C8" s="268">
        <f>Principal!$D$10</f>
        <v>25</v>
      </c>
      <c r="D8" s="268">
        <f>Principal!$D$10</f>
        <v>25</v>
      </c>
      <c r="E8" s="268">
        <f>Principal!$D$10</f>
        <v>25</v>
      </c>
      <c r="F8" s="244">
        <v>25</v>
      </c>
      <c r="G8" s="244">
        <v>25</v>
      </c>
      <c r="H8" s="180" t="s">
        <v>192</v>
      </c>
      <c r="I8" s="216"/>
      <c r="J8" s="245" t="s">
        <v>193</v>
      </c>
    </row>
    <row r="9" spans="1:14" ht="14.1" customHeight="1" x14ac:dyDescent="0.2">
      <c r="A9" s="159" t="s">
        <v>330</v>
      </c>
      <c r="B9" s="180">
        <f t="shared" ref="B9:G9" si="0">0.3*B8^(2/3)</f>
        <v>2.5649639200150443</v>
      </c>
      <c r="C9" s="180">
        <f t="shared" si="0"/>
        <v>2.5649639200150443</v>
      </c>
      <c r="D9" s="180">
        <f t="shared" si="0"/>
        <v>2.5649639200150443</v>
      </c>
      <c r="E9" s="180">
        <f t="shared" si="0"/>
        <v>2.5649639200150443</v>
      </c>
      <c r="F9" s="180">
        <f t="shared" si="0"/>
        <v>2.5649639200150443</v>
      </c>
      <c r="G9" s="180">
        <f t="shared" si="0"/>
        <v>2.5649639200150443</v>
      </c>
      <c r="H9" s="180" t="s">
        <v>192</v>
      </c>
      <c r="I9" s="216" t="s">
        <v>331</v>
      </c>
      <c r="J9" s="245" t="s">
        <v>308</v>
      </c>
    </row>
    <row r="10" spans="1:14" ht="14.1" customHeight="1" x14ac:dyDescent="0.2">
      <c r="A10" s="159" t="s">
        <v>397</v>
      </c>
      <c r="B10" s="180">
        <f t="shared" ref="B10:G10" si="1">0.7*B9</f>
        <v>1.7954747440105308</v>
      </c>
      <c r="C10" s="180">
        <f t="shared" si="1"/>
        <v>1.7954747440105308</v>
      </c>
      <c r="D10" s="180">
        <f t="shared" si="1"/>
        <v>1.7954747440105308</v>
      </c>
      <c r="E10" s="180">
        <f t="shared" si="1"/>
        <v>1.7954747440105308</v>
      </c>
      <c r="F10" s="180">
        <f t="shared" si="1"/>
        <v>1.7954747440105308</v>
      </c>
      <c r="G10" s="180">
        <f t="shared" si="1"/>
        <v>1.7954747440105308</v>
      </c>
      <c r="H10" s="180" t="s">
        <v>192</v>
      </c>
      <c r="I10" s="205" t="s">
        <v>398</v>
      </c>
      <c r="J10" s="224" t="s">
        <v>381</v>
      </c>
    </row>
    <row r="11" spans="1:14" ht="14.1" customHeight="1" x14ac:dyDescent="0.2">
      <c r="A11" s="159" t="s">
        <v>502</v>
      </c>
      <c r="B11" s="369">
        <f t="shared" ref="B11:G11" si="2">B9</f>
        <v>2.5649639200150443</v>
      </c>
      <c r="C11" s="369">
        <f t="shared" si="2"/>
        <v>2.5649639200150443</v>
      </c>
      <c r="D11" s="369">
        <f t="shared" si="2"/>
        <v>2.5649639200150443</v>
      </c>
      <c r="E11" s="369">
        <f t="shared" si="2"/>
        <v>2.5649639200150443</v>
      </c>
      <c r="F11" s="369">
        <f t="shared" si="2"/>
        <v>2.5649639200150443</v>
      </c>
      <c r="G11" s="369">
        <f t="shared" si="2"/>
        <v>2.5649639200150443</v>
      </c>
      <c r="H11" s="180" t="s">
        <v>192</v>
      </c>
      <c r="I11" s="370" t="s">
        <v>669</v>
      </c>
      <c r="J11" s="217" t="s">
        <v>309</v>
      </c>
    </row>
    <row r="12" spans="1:14" ht="14.1" customHeight="1" x14ac:dyDescent="0.2">
      <c r="A12" s="159" t="s">
        <v>560</v>
      </c>
      <c r="B12" s="194">
        <f>4760*SQRT(B8)</f>
        <v>23800</v>
      </c>
      <c r="C12" s="194">
        <f>4760*SQRT(C8)</f>
        <v>23800</v>
      </c>
      <c r="D12" s="194">
        <f>22000*((D8+8)/10)^0.3</f>
        <v>31475.806210019346</v>
      </c>
      <c r="E12" s="194">
        <f>22000*((E8+8)/10)^0.3</f>
        <v>31475.806210019346</v>
      </c>
      <c r="F12" s="194">
        <f>4760*SQRT(F8)</f>
        <v>23800</v>
      </c>
      <c r="G12" s="194">
        <f>22000*((G8+8)/10)^0.3</f>
        <v>31475.806210019346</v>
      </c>
      <c r="H12" s="180" t="s">
        <v>192</v>
      </c>
      <c r="I12" s="205" t="s">
        <v>522</v>
      </c>
      <c r="J12" s="217" t="s">
        <v>310</v>
      </c>
    </row>
    <row r="13" spans="1:14" ht="14.1" customHeight="1" x14ac:dyDescent="0.2">
      <c r="A13" s="158" t="s">
        <v>528</v>
      </c>
      <c r="B13" s="293">
        <v>1.323</v>
      </c>
      <c r="C13" s="293">
        <v>1.323</v>
      </c>
      <c r="D13" s="293">
        <v>2</v>
      </c>
      <c r="E13" s="293">
        <v>2</v>
      </c>
      <c r="F13" s="293">
        <v>1.323</v>
      </c>
      <c r="G13" s="293">
        <v>2.63</v>
      </c>
      <c r="H13" s="180"/>
      <c r="I13" s="216" t="s">
        <v>530</v>
      </c>
      <c r="J13" s="217" t="s">
        <v>529</v>
      </c>
    </row>
    <row r="14" spans="1:14" ht="14.1" customHeight="1" x14ac:dyDescent="0.2">
      <c r="A14" s="159" t="s">
        <v>509</v>
      </c>
      <c r="B14" s="194">
        <f t="shared" ref="B14:G14" si="3">B12/(1+B13)</f>
        <v>10245.372363323289</v>
      </c>
      <c r="C14" s="194">
        <f t="shared" si="3"/>
        <v>10245.372363323289</v>
      </c>
      <c r="D14" s="194">
        <f t="shared" si="3"/>
        <v>10491.935403339781</v>
      </c>
      <c r="E14" s="194">
        <f t="shared" si="3"/>
        <v>10491.935403339781</v>
      </c>
      <c r="F14" s="194">
        <f t="shared" si="3"/>
        <v>10245.372363323289</v>
      </c>
      <c r="G14" s="194">
        <f t="shared" si="3"/>
        <v>8671.0209944956878</v>
      </c>
      <c r="H14" s="180" t="s">
        <v>192</v>
      </c>
      <c r="I14" s="216" t="s">
        <v>531</v>
      </c>
      <c r="J14" s="217" t="s">
        <v>510</v>
      </c>
    </row>
    <row r="15" spans="1:14" ht="14.1" customHeight="1" x14ac:dyDescent="0.2">
      <c r="A15" s="216" t="s">
        <v>197</v>
      </c>
      <c r="B15" s="180"/>
      <c r="C15" s="180"/>
      <c r="D15" s="180"/>
      <c r="E15" s="180"/>
      <c r="F15" s="180"/>
      <c r="G15" s="180"/>
      <c r="H15" s="180"/>
      <c r="I15" s="216"/>
      <c r="J15" s="217"/>
    </row>
    <row r="16" spans="1:14" ht="14.1" customHeight="1" x14ac:dyDescent="0.2">
      <c r="A16" s="159" t="s">
        <v>236</v>
      </c>
      <c r="B16" s="260">
        <f>Principal!$D$14</f>
        <v>500</v>
      </c>
      <c r="C16" s="260">
        <f>Principal!$D$14</f>
        <v>500</v>
      </c>
      <c r="D16" s="260">
        <f>Principal!$D$14</f>
        <v>500</v>
      </c>
      <c r="E16" s="260">
        <f>Principal!$D$14</f>
        <v>500</v>
      </c>
      <c r="F16" s="223">
        <v>400</v>
      </c>
      <c r="G16" s="223">
        <v>400</v>
      </c>
      <c r="H16" s="180" t="s">
        <v>192</v>
      </c>
      <c r="I16" s="216"/>
      <c r="J16" s="224" t="s">
        <v>198</v>
      </c>
    </row>
    <row r="17" spans="1:12" ht="14.1" customHeight="1" x14ac:dyDescent="0.2">
      <c r="A17" s="159" t="s">
        <v>239</v>
      </c>
      <c r="B17" s="223">
        <v>210000</v>
      </c>
      <c r="C17" s="223">
        <v>210000</v>
      </c>
      <c r="D17" s="223">
        <v>200000</v>
      </c>
      <c r="E17" s="223">
        <v>200000</v>
      </c>
      <c r="F17" s="223">
        <v>210000</v>
      </c>
      <c r="G17" s="223">
        <v>200000</v>
      </c>
      <c r="H17" s="180" t="s">
        <v>192</v>
      </c>
      <c r="I17" s="230" t="s">
        <v>523</v>
      </c>
      <c r="J17" s="217" t="s">
        <v>201</v>
      </c>
    </row>
    <row r="18" spans="1:12" ht="14.1" customHeight="1" x14ac:dyDescent="0.2">
      <c r="A18" s="236" t="s">
        <v>156</v>
      </c>
      <c r="B18" s="227">
        <f>IF(B16=250,1,IF(B16=600,1.4,2.25))</f>
        <v>2.25</v>
      </c>
      <c r="C18" s="227">
        <f>IF(C16=250,1,IF(C16=600,1.4,2.25))</f>
        <v>2.25</v>
      </c>
      <c r="D18" s="229" t="s">
        <v>526</v>
      </c>
      <c r="E18" s="229" t="s">
        <v>526</v>
      </c>
      <c r="F18" s="227">
        <f>IF(F16=250,1,IF(F16=600,1.4,2.25))</f>
        <v>2.25</v>
      </c>
      <c r="G18" s="229" t="s">
        <v>526</v>
      </c>
      <c r="H18" s="180"/>
      <c r="I18" s="205" t="s">
        <v>568</v>
      </c>
      <c r="J18" s="217" t="s">
        <v>382</v>
      </c>
    </row>
    <row r="19" spans="1:12" ht="14.1" customHeight="1" x14ac:dyDescent="0.3">
      <c r="A19" s="159" t="s">
        <v>559</v>
      </c>
      <c r="B19" s="180">
        <f>B17/B12</f>
        <v>8.8235294117647065</v>
      </c>
      <c r="C19" s="180">
        <f>C17/C12</f>
        <v>8.8235294117647065</v>
      </c>
      <c r="D19" s="180">
        <f>D17/D14</f>
        <v>19.062259946466714</v>
      </c>
      <c r="E19" s="180">
        <f>E17/E14</f>
        <v>19.062259946466714</v>
      </c>
      <c r="F19" s="180">
        <f>F17/F12</f>
        <v>8.8235294117647065</v>
      </c>
      <c r="G19" s="180">
        <f>G17/G14</f>
        <v>23.065334535224721</v>
      </c>
      <c r="H19" s="180"/>
      <c r="I19" s="216" t="s">
        <v>524</v>
      </c>
      <c r="J19" s="217" t="s">
        <v>334</v>
      </c>
    </row>
    <row r="20" spans="1:12" s="232" customFormat="1" ht="14.1" customHeight="1" x14ac:dyDescent="0.2">
      <c r="A20" s="216" t="s">
        <v>486</v>
      </c>
      <c r="B20" s="180"/>
      <c r="C20" s="180"/>
      <c r="D20" s="180"/>
      <c r="E20" s="180"/>
      <c r="F20" s="180"/>
      <c r="G20" s="180"/>
      <c r="H20" s="180"/>
      <c r="I20" s="216" t="s">
        <v>359</v>
      </c>
      <c r="J20" s="217"/>
      <c r="K20" s="218"/>
      <c r="L20" s="218"/>
    </row>
    <row r="21" spans="1:12" s="232" customFormat="1" ht="14.1" customHeight="1" x14ac:dyDescent="0.2">
      <c r="A21" s="159" t="s">
        <v>319</v>
      </c>
      <c r="B21" s="180" t="str">
        <f>IF(Principal!$AA$10=1,"R","T")</f>
        <v>R</v>
      </c>
      <c r="C21" s="180" t="str">
        <f>IF(Principal!$AA$10=1,"R","T")</f>
        <v>R</v>
      </c>
      <c r="D21" s="229" t="s">
        <v>526</v>
      </c>
      <c r="E21" s="229" t="s">
        <v>526</v>
      </c>
      <c r="F21" s="180" t="str">
        <f>IF(Principal!$AA$10=1,"R","T")</f>
        <v>R</v>
      </c>
      <c r="G21" s="229" t="s">
        <v>526</v>
      </c>
      <c r="H21" s="180"/>
      <c r="I21" s="216"/>
      <c r="J21" s="217"/>
      <c r="K21" s="218"/>
      <c r="L21" s="218"/>
    </row>
    <row r="22" spans="1:12" ht="14.1" customHeight="1" x14ac:dyDescent="0.2">
      <c r="A22" s="180" t="s">
        <v>279</v>
      </c>
      <c r="B22" s="246">
        <v>100</v>
      </c>
      <c r="C22" s="246">
        <v>100</v>
      </c>
      <c r="D22" s="246">
        <v>100</v>
      </c>
      <c r="E22" s="246">
        <v>100</v>
      </c>
      <c r="F22" s="246">
        <v>40</v>
      </c>
      <c r="G22" s="246">
        <v>40</v>
      </c>
      <c r="H22" s="180" t="s">
        <v>19</v>
      </c>
      <c r="I22" s="216"/>
      <c r="J22" s="245" t="s">
        <v>206</v>
      </c>
    </row>
    <row r="23" spans="1:12" ht="14.1" customHeight="1" x14ac:dyDescent="0.2">
      <c r="A23" s="180" t="s">
        <v>280</v>
      </c>
      <c r="B23" s="269">
        <f>Principal!$R$19</f>
        <v>100</v>
      </c>
      <c r="C23" s="269">
        <f>Principal!$R$19</f>
        <v>100</v>
      </c>
      <c r="D23" s="269">
        <f>Principal!$R$19</f>
        <v>100</v>
      </c>
      <c r="E23" s="269">
        <f>Principal!$R$19</f>
        <v>100</v>
      </c>
      <c r="F23" s="246">
        <v>40</v>
      </c>
      <c r="G23" s="246">
        <v>40</v>
      </c>
      <c r="H23" s="180" t="s">
        <v>19</v>
      </c>
      <c r="I23" s="216"/>
      <c r="J23" s="224" t="s">
        <v>268</v>
      </c>
    </row>
    <row r="24" spans="1:12" ht="14.1" customHeight="1" x14ac:dyDescent="0.2">
      <c r="A24" s="180" t="s">
        <v>484</v>
      </c>
      <c r="B24" s="179">
        <f t="shared" ref="B24:G24" si="4">B22-B23</f>
        <v>0</v>
      </c>
      <c r="C24" s="179">
        <f t="shared" si="4"/>
        <v>0</v>
      </c>
      <c r="D24" s="179">
        <f t="shared" si="4"/>
        <v>0</v>
      </c>
      <c r="E24" s="179">
        <f t="shared" si="4"/>
        <v>0</v>
      </c>
      <c r="F24" s="179">
        <f t="shared" si="4"/>
        <v>0</v>
      </c>
      <c r="G24" s="179">
        <f t="shared" si="4"/>
        <v>0</v>
      </c>
      <c r="H24" s="180" t="s">
        <v>19</v>
      </c>
      <c r="I24" s="216" t="s">
        <v>484</v>
      </c>
      <c r="J24" s="224"/>
    </row>
    <row r="25" spans="1:12" ht="14.1" customHeight="1" x14ac:dyDescent="0.2">
      <c r="A25" s="180" t="s">
        <v>139</v>
      </c>
      <c r="B25" s="268">
        <f>Principal!$R$12</f>
        <v>12</v>
      </c>
      <c r="C25" s="268">
        <f>Principal!$R$12</f>
        <v>12</v>
      </c>
      <c r="D25" s="268">
        <f>Principal!$R$12</f>
        <v>12</v>
      </c>
      <c r="E25" s="268">
        <f>Principal!$R$12</f>
        <v>12</v>
      </c>
      <c r="F25" s="244">
        <v>100</v>
      </c>
      <c r="G25" s="244">
        <v>100</v>
      </c>
      <c r="H25" s="180" t="s">
        <v>19</v>
      </c>
      <c r="I25" s="216"/>
      <c r="J25" s="245" t="s">
        <v>207</v>
      </c>
    </row>
    <row r="26" spans="1:12" ht="14.1" customHeight="1" x14ac:dyDescent="0.2">
      <c r="A26" s="180" t="s">
        <v>281</v>
      </c>
      <c r="B26" s="322">
        <f>Principal!$AA$8</f>
        <v>12</v>
      </c>
      <c r="C26" s="322">
        <f>Principal!$AA$8</f>
        <v>12</v>
      </c>
      <c r="D26" s="322">
        <f>Principal!$AA$8</f>
        <v>12</v>
      </c>
      <c r="E26" s="322">
        <f>Principal!$AA$8</f>
        <v>12</v>
      </c>
      <c r="F26" s="248">
        <v>0</v>
      </c>
      <c r="G26" s="248">
        <v>0</v>
      </c>
      <c r="H26" s="180" t="s">
        <v>19</v>
      </c>
      <c r="I26" s="216"/>
      <c r="J26" s="224" t="s">
        <v>270</v>
      </c>
    </row>
    <row r="27" spans="1:12" ht="14.1" customHeight="1" x14ac:dyDescent="0.2">
      <c r="A27" s="205" t="s">
        <v>315</v>
      </c>
      <c r="B27" s="250"/>
      <c r="C27" s="250"/>
      <c r="D27" s="250"/>
      <c r="E27" s="250"/>
      <c r="F27" s="250"/>
      <c r="G27" s="250"/>
      <c r="H27" s="180"/>
      <c r="I27" s="205"/>
      <c r="J27" s="217"/>
    </row>
    <row r="28" spans="1:12" ht="14.1" customHeight="1" x14ac:dyDescent="0.2">
      <c r="A28" s="159" t="s">
        <v>138</v>
      </c>
      <c r="B28" s="269">
        <f>Principal!$E$39</f>
        <v>3.3510321638291134</v>
      </c>
      <c r="C28" s="269">
        <f>Principal!$G$39</f>
        <v>2.2266037932317659</v>
      </c>
      <c r="D28" s="269">
        <f>Principal!$E$39</f>
        <v>3.3510321638291134</v>
      </c>
      <c r="E28" s="269">
        <f>Principal!$G$39</f>
        <v>2.2266037932317659</v>
      </c>
      <c r="F28" s="246">
        <v>37.700000000000003</v>
      </c>
      <c r="G28" s="246">
        <v>37.700000000000003</v>
      </c>
      <c r="H28" s="180" t="s">
        <v>246</v>
      </c>
      <c r="I28" s="205"/>
      <c r="J28" s="224" t="s">
        <v>229</v>
      </c>
    </row>
    <row r="29" spans="1:12" ht="14.1" customHeight="1" x14ac:dyDescent="0.2">
      <c r="A29" s="158" t="s">
        <v>480</v>
      </c>
      <c r="B29" s="252">
        <f t="shared" ref="B29:G29" si="5">B28/(B23*B36)</f>
        <v>3.723369070921237E-3</v>
      </c>
      <c r="C29" s="252">
        <f t="shared" si="5"/>
        <v>2.4740042147019621E-3</v>
      </c>
      <c r="D29" s="252">
        <f t="shared" si="5"/>
        <v>3.723369070921237E-3</v>
      </c>
      <c r="E29" s="252">
        <f t="shared" si="5"/>
        <v>2.4740042147019621E-3</v>
      </c>
      <c r="F29" s="252">
        <f t="shared" si="5"/>
        <v>1.0134408602150539E-2</v>
      </c>
      <c r="G29" s="252">
        <f t="shared" si="5"/>
        <v>1.0134408602150539E-2</v>
      </c>
      <c r="H29" s="180"/>
      <c r="I29" s="205" t="s">
        <v>590</v>
      </c>
      <c r="J29" s="224" t="s">
        <v>429</v>
      </c>
    </row>
    <row r="30" spans="1:12" ht="14.1" customHeight="1" x14ac:dyDescent="0.2">
      <c r="A30" s="236" t="s">
        <v>22</v>
      </c>
      <c r="B30" s="322">
        <f>Principal!$E$33</f>
        <v>8</v>
      </c>
      <c r="C30" s="322">
        <f>Principal!$G$33</f>
        <v>6.3</v>
      </c>
      <c r="D30" s="322">
        <f>Principal!$E$33</f>
        <v>8</v>
      </c>
      <c r="E30" s="322">
        <f>Principal!$G$33</f>
        <v>6.3</v>
      </c>
      <c r="F30" s="248">
        <v>40</v>
      </c>
      <c r="G30" s="248">
        <v>40</v>
      </c>
      <c r="H30" s="180" t="s">
        <v>18</v>
      </c>
      <c r="I30" s="205"/>
      <c r="J30" s="217" t="s">
        <v>384</v>
      </c>
    </row>
    <row r="31" spans="1:12" ht="14.1" customHeight="1" x14ac:dyDescent="0.2">
      <c r="A31" s="180" t="s">
        <v>564</v>
      </c>
      <c r="B31" s="322">
        <f>Principal!$R$20</f>
        <v>2</v>
      </c>
      <c r="C31" s="322">
        <f>Principal!$R$20</f>
        <v>2</v>
      </c>
      <c r="D31" s="322">
        <f>Principal!$R$20</f>
        <v>2</v>
      </c>
      <c r="E31" s="322">
        <f>Principal!$R$20</f>
        <v>2</v>
      </c>
      <c r="F31" s="248">
        <v>5</v>
      </c>
      <c r="G31" s="248">
        <v>5</v>
      </c>
      <c r="H31" s="180" t="s">
        <v>19</v>
      </c>
      <c r="I31" s="205"/>
      <c r="J31" s="217" t="s">
        <v>565</v>
      </c>
    </row>
    <row r="32" spans="1:12" ht="14.1" customHeight="1" x14ac:dyDescent="0.2">
      <c r="A32" s="159" t="s">
        <v>261</v>
      </c>
      <c r="B32" s="269">
        <f>Principal!$E$40</f>
        <v>0</v>
      </c>
      <c r="C32" s="269">
        <f>Principal!$G$40</f>
        <v>0</v>
      </c>
      <c r="D32" s="269">
        <f>Principal!$E$40</f>
        <v>0</v>
      </c>
      <c r="E32" s="269">
        <f>Principal!$G$40</f>
        <v>0</v>
      </c>
      <c r="F32" s="246">
        <v>0</v>
      </c>
      <c r="G32" s="246">
        <v>0</v>
      </c>
      <c r="H32" s="180" t="s">
        <v>246</v>
      </c>
      <c r="I32" s="205"/>
      <c r="J32" s="224" t="s">
        <v>227</v>
      </c>
    </row>
    <row r="33" spans="1:10" ht="14.1" customHeight="1" x14ac:dyDescent="0.2">
      <c r="A33" s="158" t="s">
        <v>354</v>
      </c>
      <c r="B33" s="252">
        <f t="shared" ref="B33:G33" si="6">B32/(B23*B36)</f>
        <v>0</v>
      </c>
      <c r="C33" s="252">
        <f t="shared" si="6"/>
        <v>0</v>
      </c>
      <c r="D33" s="252">
        <f t="shared" si="6"/>
        <v>0</v>
      </c>
      <c r="E33" s="252">
        <f t="shared" si="6"/>
        <v>0</v>
      </c>
      <c r="F33" s="252">
        <f t="shared" si="6"/>
        <v>0</v>
      </c>
      <c r="G33" s="252">
        <f t="shared" si="6"/>
        <v>0</v>
      </c>
      <c r="H33" s="180"/>
      <c r="I33" s="205" t="s">
        <v>591</v>
      </c>
      <c r="J33" s="224" t="s">
        <v>324</v>
      </c>
    </row>
    <row r="34" spans="1:10" ht="14.1" customHeight="1" x14ac:dyDescent="0.2">
      <c r="A34" s="180" t="s">
        <v>448</v>
      </c>
      <c r="B34" s="261">
        <f>Principal!$R$20+1</f>
        <v>3</v>
      </c>
      <c r="C34" s="261">
        <f>Principal!$R$20+1</f>
        <v>3</v>
      </c>
      <c r="D34" s="261">
        <f>Principal!$R$20+1</f>
        <v>3</v>
      </c>
      <c r="E34" s="261">
        <f>Principal!$R$20+1</f>
        <v>3</v>
      </c>
      <c r="F34" s="233">
        <v>7</v>
      </c>
      <c r="G34" s="233">
        <v>7</v>
      </c>
      <c r="H34" s="180" t="s">
        <v>19</v>
      </c>
      <c r="I34" s="216"/>
      <c r="J34" s="216" t="s">
        <v>449</v>
      </c>
    </row>
    <row r="35" spans="1:10" ht="14.1" customHeight="1" x14ac:dyDescent="0.2">
      <c r="A35" s="180" t="s">
        <v>209</v>
      </c>
      <c r="B35" s="269">
        <f>Principal!$R$20+1</f>
        <v>3</v>
      </c>
      <c r="C35" s="269">
        <f>Principal!$R$20+1</f>
        <v>3</v>
      </c>
      <c r="D35" s="269">
        <f>Principal!$R$20+1</f>
        <v>3</v>
      </c>
      <c r="E35" s="269">
        <f>Principal!$R$20+1</f>
        <v>3</v>
      </c>
      <c r="F35" s="246">
        <v>5</v>
      </c>
      <c r="G35" s="246">
        <v>5</v>
      </c>
      <c r="H35" s="180" t="s">
        <v>19</v>
      </c>
      <c r="I35" s="216" t="s">
        <v>209</v>
      </c>
      <c r="J35" s="245" t="s">
        <v>210</v>
      </c>
    </row>
    <row r="36" spans="1:10" ht="14.1" customHeight="1" x14ac:dyDescent="0.2">
      <c r="A36" s="180" t="s">
        <v>14</v>
      </c>
      <c r="B36" s="247">
        <f t="shared" ref="B36:G36" si="7">B25-B34</f>
        <v>9</v>
      </c>
      <c r="C36" s="247">
        <f t="shared" si="7"/>
        <v>9</v>
      </c>
      <c r="D36" s="247">
        <f t="shared" si="7"/>
        <v>9</v>
      </c>
      <c r="E36" s="247">
        <f t="shared" si="7"/>
        <v>9</v>
      </c>
      <c r="F36" s="247">
        <f t="shared" si="7"/>
        <v>93</v>
      </c>
      <c r="G36" s="247">
        <f t="shared" si="7"/>
        <v>93</v>
      </c>
      <c r="H36" s="180" t="s">
        <v>19</v>
      </c>
      <c r="I36" s="216" t="s">
        <v>456</v>
      </c>
      <c r="J36" s="245" t="s">
        <v>208</v>
      </c>
    </row>
    <row r="37" spans="1:10" ht="14.1" customHeight="1" x14ac:dyDescent="0.2">
      <c r="A37" s="216" t="s">
        <v>501</v>
      </c>
      <c r="B37" s="179"/>
      <c r="C37" s="179"/>
      <c r="D37" s="179"/>
      <c r="E37" s="179"/>
      <c r="F37" s="179"/>
      <c r="G37" s="179"/>
      <c r="H37" s="180"/>
      <c r="I37" s="216"/>
      <c r="J37" s="245"/>
    </row>
    <row r="38" spans="1:10" ht="14.1" customHeight="1" x14ac:dyDescent="0.2">
      <c r="A38" s="180" t="s">
        <v>245</v>
      </c>
      <c r="B38" s="194">
        <f t="shared" ref="B38:G38" si="8">B24*B26+B23*B25</f>
        <v>1200</v>
      </c>
      <c r="C38" s="194">
        <f t="shared" si="8"/>
        <v>1200</v>
      </c>
      <c r="D38" s="194">
        <f t="shared" si="8"/>
        <v>1200</v>
      </c>
      <c r="E38" s="194">
        <f t="shared" si="8"/>
        <v>1200</v>
      </c>
      <c r="F38" s="194">
        <f t="shared" si="8"/>
        <v>4000</v>
      </c>
      <c r="G38" s="194">
        <f t="shared" si="8"/>
        <v>4000</v>
      </c>
      <c r="H38" s="180" t="s">
        <v>246</v>
      </c>
      <c r="I38" s="216" t="s">
        <v>282</v>
      </c>
      <c r="J38" s="224" t="s">
        <v>211</v>
      </c>
    </row>
    <row r="39" spans="1:10" ht="14.1" customHeight="1" x14ac:dyDescent="0.2">
      <c r="A39" s="180" t="s">
        <v>362</v>
      </c>
      <c r="B39" s="179">
        <f t="shared" ref="B39:G39" si="9">0.5*(B23*B25^2+B24*B26^2)/B38</f>
        <v>6</v>
      </c>
      <c r="C39" s="179">
        <f t="shared" si="9"/>
        <v>6</v>
      </c>
      <c r="D39" s="179">
        <f t="shared" si="9"/>
        <v>6</v>
      </c>
      <c r="E39" s="179">
        <f t="shared" si="9"/>
        <v>6</v>
      </c>
      <c r="F39" s="179">
        <f t="shared" si="9"/>
        <v>50</v>
      </c>
      <c r="G39" s="179">
        <f t="shared" si="9"/>
        <v>50</v>
      </c>
      <c r="H39" s="180" t="s">
        <v>19</v>
      </c>
      <c r="I39" s="216" t="s">
        <v>485</v>
      </c>
      <c r="J39" s="245" t="s">
        <v>360</v>
      </c>
    </row>
    <row r="40" spans="1:10" ht="14.1" customHeight="1" x14ac:dyDescent="0.2">
      <c r="A40" s="180" t="s">
        <v>335</v>
      </c>
      <c r="B40" s="194">
        <f t="shared" ref="B40:G40" si="10">B23*B25^3/12+B23*B25*(B25/2-B39)^2+B24*B26^3/12+B24*B26*(B39-B26/2)^2</f>
        <v>14400</v>
      </c>
      <c r="C40" s="194">
        <f t="shared" si="10"/>
        <v>14400</v>
      </c>
      <c r="D40" s="194">
        <f t="shared" si="10"/>
        <v>14400</v>
      </c>
      <c r="E40" s="194">
        <f t="shared" si="10"/>
        <v>14400</v>
      </c>
      <c r="F40" s="194">
        <f t="shared" si="10"/>
        <v>3333333.3333333335</v>
      </c>
      <c r="G40" s="194">
        <f t="shared" si="10"/>
        <v>3333333.3333333335</v>
      </c>
      <c r="H40" s="159" t="s">
        <v>336</v>
      </c>
      <c r="I40" s="216" t="s">
        <v>364</v>
      </c>
      <c r="J40" s="217" t="s">
        <v>361</v>
      </c>
    </row>
    <row r="41" spans="1:10" ht="14.1" customHeight="1" x14ac:dyDescent="0.2">
      <c r="A41" s="180" t="s">
        <v>505</v>
      </c>
      <c r="B41" s="179">
        <f t="shared" ref="B41:G41" si="11">B25-B39</f>
        <v>6</v>
      </c>
      <c r="C41" s="179">
        <f t="shared" si="11"/>
        <v>6</v>
      </c>
      <c r="D41" s="179">
        <f t="shared" si="11"/>
        <v>6</v>
      </c>
      <c r="E41" s="179">
        <f t="shared" si="11"/>
        <v>6</v>
      </c>
      <c r="F41" s="179">
        <f t="shared" si="11"/>
        <v>50</v>
      </c>
      <c r="G41" s="179">
        <f t="shared" si="11"/>
        <v>50</v>
      </c>
      <c r="H41" s="180" t="s">
        <v>19</v>
      </c>
      <c r="I41" s="216" t="s">
        <v>365</v>
      </c>
      <c r="J41" s="217" t="s">
        <v>311</v>
      </c>
    </row>
    <row r="42" spans="1:10" ht="14.1" customHeight="1" x14ac:dyDescent="0.2">
      <c r="A42" s="180" t="s">
        <v>338</v>
      </c>
      <c r="B42" s="194">
        <f t="shared" ref="B42:G42" si="12">B40/B41</f>
        <v>2400</v>
      </c>
      <c r="C42" s="194">
        <f>C40/C41</f>
        <v>2400</v>
      </c>
      <c r="D42" s="194">
        <f t="shared" si="12"/>
        <v>2400</v>
      </c>
      <c r="E42" s="194">
        <f t="shared" si="12"/>
        <v>2400</v>
      </c>
      <c r="F42" s="194">
        <f t="shared" si="12"/>
        <v>66666.666666666672</v>
      </c>
      <c r="G42" s="194">
        <f t="shared" si="12"/>
        <v>66666.666666666672</v>
      </c>
      <c r="H42" s="180" t="s">
        <v>339</v>
      </c>
      <c r="I42" s="216" t="s">
        <v>506</v>
      </c>
      <c r="J42" s="217" t="s">
        <v>312</v>
      </c>
    </row>
    <row r="43" spans="1:10" ht="14.1" customHeight="1" x14ac:dyDescent="0.2">
      <c r="A43" s="216" t="s">
        <v>487</v>
      </c>
      <c r="B43" s="179"/>
      <c r="C43" s="179"/>
      <c r="D43" s="179"/>
      <c r="E43" s="179"/>
      <c r="F43" s="179"/>
      <c r="G43" s="179"/>
      <c r="H43" s="180"/>
      <c r="I43" s="216"/>
      <c r="J43" s="245"/>
    </row>
    <row r="44" spans="1:10" ht="14.1" customHeight="1" x14ac:dyDescent="0.2">
      <c r="A44" s="180" t="s">
        <v>488</v>
      </c>
      <c r="B44" s="194">
        <f t="shared" ref="B44:G44" si="13">B24*B26+B23*B25+(B19-1)*B28+(B19-1)*B32</f>
        <v>1226.2168986934867</v>
      </c>
      <c r="C44" s="194">
        <f t="shared" si="13"/>
        <v>1217.4199002646956</v>
      </c>
      <c r="D44" s="194">
        <f t="shared" si="13"/>
        <v>1260.5272140320524</v>
      </c>
      <c r="E44" s="194">
        <f t="shared" si="13"/>
        <v>1240.217496511141</v>
      </c>
      <c r="F44" s="194">
        <f t="shared" si="13"/>
        <v>4294.947058823529</v>
      </c>
      <c r="G44" s="194">
        <f t="shared" si="13"/>
        <v>4831.863111977972</v>
      </c>
      <c r="H44" s="180" t="s">
        <v>246</v>
      </c>
      <c r="I44" s="216" t="s">
        <v>489</v>
      </c>
      <c r="J44" s="224" t="s">
        <v>492</v>
      </c>
    </row>
    <row r="45" spans="1:10" ht="14.1" customHeight="1" x14ac:dyDescent="0.2">
      <c r="A45" s="180" t="s">
        <v>490</v>
      </c>
      <c r="B45" s="179">
        <f t="shared" ref="B45:G45" si="14">(0.5*B23*B25^2+0.5*B24*B26^2+(B19-1)*B28*B36+(B19-1)*B32*B35)/B44</f>
        <v>6.0641409331124532</v>
      </c>
      <c r="C45" s="179">
        <f t="shared" si="14"/>
        <v>6.0429266030419946</v>
      </c>
      <c r="D45" s="179">
        <f t="shared" si="14"/>
        <v>6.1440521395133789</v>
      </c>
      <c r="E45" s="179">
        <f t="shared" si="14"/>
        <v>6.0972833312486161</v>
      </c>
      <c r="F45" s="179">
        <f t="shared" si="14"/>
        <v>52.952940596405362</v>
      </c>
      <c r="G45" s="179">
        <f t="shared" si="14"/>
        <v>57.40296506463114</v>
      </c>
      <c r="H45" s="180" t="s">
        <v>19</v>
      </c>
      <c r="I45" s="216" t="s">
        <v>491</v>
      </c>
      <c r="J45" s="245" t="s">
        <v>493</v>
      </c>
    </row>
    <row r="46" spans="1:10" ht="14.1" customHeight="1" x14ac:dyDescent="0.2">
      <c r="A46" s="180" t="s">
        <v>495</v>
      </c>
      <c r="B46" s="194">
        <f t="shared" ref="B46:G46" si="15">B23*B25^3/12+B23*B25*(B45-B25/2)^2+B24*B26^3/12+B24*B26*(B45-B26/2)^2+(B19-1)*B28*(B36-B45)^2+(B19-1)*B32*(B45-B35)^2</f>
        <v>14630.907359204835</v>
      </c>
      <c r="C46" s="194">
        <f t="shared" si="15"/>
        <v>14554.535770951179</v>
      </c>
      <c r="D46" s="194">
        <f t="shared" si="15"/>
        <v>14918.587702248165</v>
      </c>
      <c r="E46" s="194">
        <f t="shared" si="15"/>
        <v>14750.219992495018</v>
      </c>
      <c r="F46" s="194">
        <f t="shared" si="15"/>
        <v>3841239.115915054</v>
      </c>
      <c r="G46" s="194">
        <f t="shared" si="15"/>
        <v>4606643.3244498884</v>
      </c>
      <c r="H46" s="159" t="s">
        <v>336</v>
      </c>
      <c r="I46" s="216" t="s">
        <v>498</v>
      </c>
      <c r="J46" s="217" t="s">
        <v>494</v>
      </c>
    </row>
    <row r="47" spans="1:10" ht="14.1" customHeight="1" x14ac:dyDescent="0.2">
      <c r="A47" s="180" t="s">
        <v>507</v>
      </c>
      <c r="B47" s="179">
        <f t="shared" ref="B47:G47" si="16">B25-B45</f>
        <v>5.9358590668875468</v>
      </c>
      <c r="C47" s="179">
        <f t="shared" si="16"/>
        <v>5.9570733969580054</v>
      </c>
      <c r="D47" s="179">
        <f t="shared" si="16"/>
        <v>5.8559478604866211</v>
      </c>
      <c r="E47" s="179">
        <f t="shared" si="16"/>
        <v>5.9027166687513839</v>
      </c>
      <c r="F47" s="179">
        <f t="shared" si="16"/>
        <v>47.047059403594638</v>
      </c>
      <c r="G47" s="179">
        <f t="shared" si="16"/>
        <v>42.59703493536886</v>
      </c>
      <c r="H47" s="180" t="s">
        <v>19</v>
      </c>
      <c r="I47" s="216" t="s">
        <v>497</v>
      </c>
      <c r="J47" s="217" t="s">
        <v>311</v>
      </c>
    </row>
    <row r="48" spans="1:10" ht="14.1" customHeight="1" x14ac:dyDescent="0.2">
      <c r="A48" s="180" t="s">
        <v>496</v>
      </c>
      <c r="B48" s="194">
        <f t="shared" ref="B48:G48" si="17">B46/B47</f>
        <v>2464.8340188569396</v>
      </c>
      <c r="C48" s="194">
        <f t="shared" si="17"/>
        <v>2443.2359316545417</v>
      </c>
      <c r="D48" s="194">
        <f t="shared" si="17"/>
        <v>2547.595719373166</v>
      </c>
      <c r="E48" s="194">
        <f t="shared" si="17"/>
        <v>2498.8866686727092</v>
      </c>
      <c r="F48" s="194">
        <f t="shared" si="17"/>
        <v>81646.741892258695</v>
      </c>
      <c r="G48" s="194">
        <f t="shared" si="17"/>
        <v>108144.69437695378</v>
      </c>
      <c r="H48" s="180" t="s">
        <v>339</v>
      </c>
      <c r="I48" s="216" t="s">
        <v>508</v>
      </c>
      <c r="J48" s="217" t="s">
        <v>312</v>
      </c>
    </row>
    <row r="49" spans="1:10" ht="14.1" customHeight="1" x14ac:dyDescent="0.2">
      <c r="A49" s="216" t="s">
        <v>499</v>
      </c>
      <c r="B49" s="292"/>
      <c r="C49" s="292"/>
      <c r="D49" s="292"/>
      <c r="E49" s="292"/>
      <c r="F49" s="292"/>
      <c r="G49" s="292"/>
      <c r="H49" s="292"/>
      <c r="I49" s="292"/>
      <c r="J49" s="217"/>
    </row>
    <row r="50" spans="1:10" ht="14.1" customHeight="1" x14ac:dyDescent="0.2">
      <c r="A50" s="216" t="s">
        <v>366</v>
      </c>
      <c r="B50" s="184"/>
      <c r="C50" s="184"/>
      <c r="D50" s="184"/>
      <c r="E50" s="184"/>
      <c r="F50" s="184"/>
      <c r="G50" s="184"/>
      <c r="H50" s="180"/>
      <c r="I50" s="216"/>
      <c r="J50" s="217"/>
    </row>
    <row r="51" spans="1:10" ht="14.1" customHeight="1" x14ac:dyDescent="0.3">
      <c r="A51" s="180" t="s">
        <v>344</v>
      </c>
      <c r="B51" s="179">
        <f t="shared" ref="B51:G51" si="18">0.5*B22</f>
        <v>50</v>
      </c>
      <c r="C51" s="179">
        <f t="shared" si="18"/>
        <v>50</v>
      </c>
      <c r="D51" s="179">
        <f t="shared" si="18"/>
        <v>50</v>
      </c>
      <c r="E51" s="179">
        <f t="shared" si="18"/>
        <v>50</v>
      </c>
      <c r="F51" s="179">
        <f t="shared" si="18"/>
        <v>20</v>
      </c>
      <c r="G51" s="179">
        <f t="shared" si="18"/>
        <v>20</v>
      </c>
      <c r="H51" s="180" t="s">
        <v>19</v>
      </c>
      <c r="I51" s="216" t="s">
        <v>367</v>
      </c>
      <c r="J51" s="217" t="s">
        <v>345</v>
      </c>
    </row>
    <row r="52" spans="1:10" ht="14.1" customHeight="1" x14ac:dyDescent="0.3">
      <c r="A52" s="180" t="s">
        <v>346</v>
      </c>
      <c r="B52" s="247">
        <f t="shared" ref="B52:G52" si="19">B19*B28+(B19-1)*B32</f>
        <v>29.567930857315709</v>
      </c>
      <c r="C52" s="247">
        <f t="shared" si="19"/>
        <v>19.646504057927348</v>
      </c>
      <c r="D52" s="247">
        <f t="shared" si="19"/>
        <v>63.878246195881388</v>
      </c>
      <c r="E52" s="247">
        <f t="shared" si="19"/>
        <v>42.444100304372746</v>
      </c>
      <c r="F52" s="247">
        <f t="shared" si="19"/>
        <v>332.64705882352945</v>
      </c>
      <c r="G52" s="247">
        <f t="shared" si="19"/>
        <v>869.56311197797208</v>
      </c>
      <c r="H52" s="180" t="s">
        <v>246</v>
      </c>
      <c r="I52" s="251" t="s">
        <v>347</v>
      </c>
      <c r="J52" s="217" t="s">
        <v>345</v>
      </c>
    </row>
    <row r="53" spans="1:10" ht="14.1" customHeight="1" x14ac:dyDescent="0.3">
      <c r="A53" s="180" t="s">
        <v>348</v>
      </c>
      <c r="B53" s="247">
        <f t="shared" ref="B53:G53" si="20">-B19*B28*B36-(B19-1)*B32*B35</f>
        <v>-266.1113777158414</v>
      </c>
      <c r="C53" s="247">
        <f t="shared" si="20"/>
        <v>-176.81853652134615</v>
      </c>
      <c r="D53" s="247">
        <f t="shared" si="20"/>
        <v>-574.90421576293249</v>
      </c>
      <c r="E53" s="247">
        <f t="shared" si="20"/>
        <v>-381.99690273935471</v>
      </c>
      <c r="F53" s="247">
        <f t="shared" si="20"/>
        <v>-30936.176470588238</v>
      </c>
      <c r="G53" s="247">
        <f t="shared" si="20"/>
        <v>-80869.369413951397</v>
      </c>
      <c r="H53" s="180" t="s">
        <v>339</v>
      </c>
      <c r="I53" s="251" t="s">
        <v>349</v>
      </c>
      <c r="J53" s="217" t="s">
        <v>345</v>
      </c>
    </row>
    <row r="54" spans="1:10" ht="14.1" customHeight="1" x14ac:dyDescent="0.2">
      <c r="A54" s="180" t="s">
        <v>368</v>
      </c>
      <c r="B54" s="179">
        <f t="shared" ref="B54:G54" si="21">(-B52+SQRT(B52^2-4*B51*B53))/(2*B51)</f>
        <v>2.0301869403403803</v>
      </c>
      <c r="C54" s="179">
        <f t="shared" si="21"/>
        <v>1.6942938659439082</v>
      </c>
      <c r="D54" s="179">
        <f t="shared" si="21"/>
        <v>2.8117432007431482</v>
      </c>
      <c r="E54" s="179">
        <f t="shared" si="21"/>
        <v>2.372001061411007</v>
      </c>
      <c r="F54" s="179">
        <f t="shared" si="21"/>
        <v>31.882923203650456</v>
      </c>
      <c r="G54" s="179">
        <f t="shared" si="21"/>
        <v>45.462529132737068</v>
      </c>
      <c r="H54" s="180" t="s">
        <v>19</v>
      </c>
      <c r="I54" s="216" t="s">
        <v>351</v>
      </c>
      <c r="J54" s="217" t="s">
        <v>321</v>
      </c>
    </row>
    <row r="55" spans="1:10" ht="14.1" customHeight="1" x14ac:dyDescent="0.2">
      <c r="A55" s="180" t="s">
        <v>369</v>
      </c>
      <c r="B55" s="194">
        <f t="shared" ref="B55:G55" si="22">B22*B54^3/3+B19*B28*(B36-B54)^2+(B19-1)*B32*(B54-B35)^2</f>
        <v>1715.2842507249202</v>
      </c>
      <c r="C55" s="194">
        <f t="shared" si="22"/>
        <v>1210.722705416018</v>
      </c>
      <c r="D55" s="194">
        <f t="shared" si="22"/>
        <v>3187.1655873811669</v>
      </c>
      <c r="E55" s="194">
        <f t="shared" si="22"/>
        <v>2309.4450531719631</v>
      </c>
      <c r="F55" s="194">
        <f t="shared" si="22"/>
        <v>1674664.3108279319</v>
      </c>
      <c r="G55" s="194">
        <f t="shared" si="22"/>
        <v>3217899.6631461075</v>
      </c>
      <c r="H55" s="159" t="s">
        <v>336</v>
      </c>
      <c r="I55" s="216" t="s">
        <v>370</v>
      </c>
      <c r="J55" s="217" t="s">
        <v>322</v>
      </c>
    </row>
    <row r="56" spans="1:10" ht="14.1" customHeight="1" x14ac:dyDescent="0.2">
      <c r="A56" s="216" t="s">
        <v>371</v>
      </c>
      <c r="B56" s="194"/>
      <c r="C56" s="194"/>
      <c r="D56" s="194"/>
      <c r="E56" s="194"/>
      <c r="F56" s="194"/>
      <c r="G56" s="194"/>
      <c r="H56" s="159"/>
      <c r="I56" s="216"/>
      <c r="J56" s="217"/>
    </row>
    <row r="57" spans="1:10" ht="14.1" customHeight="1" x14ac:dyDescent="0.3">
      <c r="A57" s="180" t="s">
        <v>344</v>
      </c>
      <c r="B57" s="179">
        <f t="shared" ref="B57:G57" si="23">0.5*B23</f>
        <v>50</v>
      </c>
      <c r="C57" s="179">
        <f t="shared" si="23"/>
        <v>50</v>
      </c>
      <c r="D57" s="179">
        <f t="shared" si="23"/>
        <v>50</v>
      </c>
      <c r="E57" s="179">
        <f t="shared" si="23"/>
        <v>50</v>
      </c>
      <c r="F57" s="179">
        <f t="shared" si="23"/>
        <v>20</v>
      </c>
      <c r="G57" s="179">
        <f t="shared" si="23"/>
        <v>20</v>
      </c>
      <c r="H57" s="180" t="s">
        <v>19</v>
      </c>
      <c r="I57" s="216" t="s">
        <v>372</v>
      </c>
      <c r="J57" s="217" t="s">
        <v>345</v>
      </c>
    </row>
    <row r="58" spans="1:10" ht="14.1" customHeight="1" x14ac:dyDescent="0.3">
      <c r="A58" s="180" t="s">
        <v>346</v>
      </c>
      <c r="B58" s="247">
        <f t="shared" ref="B58:G58" si="24">B24*B26+B19*B28+(B19-1)*B32</f>
        <v>29.567930857315709</v>
      </c>
      <c r="C58" s="247">
        <f t="shared" si="24"/>
        <v>19.646504057927348</v>
      </c>
      <c r="D58" s="247">
        <f t="shared" si="24"/>
        <v>63.878246195881388</v>
      </c>
      <c r="E58" s="247">
        <f t="shared" si="24"/>
        <v>42.444100304372746</v>
      </c>
      <c r="F58" s="247">
        <f t="shared" si="24"/>
        <v>332.64705882352945</v>
      </c>
      <c r="G58" s="247">
        <f t="shared" si="24"/>
        <v>869.56311197797208</v>
      </c>
      <c r="H58" s="180" t="s">
        <v>246</v>
      </c>
      <c r="I58" s="216" t="s">
        <v>373</v>
      </c>
      <c r="J58" s="217" t="s">
        <v>345</v>
      </c>
    </row>
    <row r="59" spans="1:10" ht="14.1" customHeight="1" x14ac:dyDescent="0.3">
      <c r="A59" s="180" t="s">
        <v>348</v>
      </c>
      <c r="B59" s="247">
        <f t="shared" ref="B59:G59" si="25">-B24*B26^2/2-B19*B28*B36-(B19-1)*B32*B35</f>
        <v>-266.1113777158414</v>
      </c>
      <c r="C59" s="247">
        <f t="shared" si="25"/>
        <v>-176.81853652134615</v>
      </c>
      <c r="D59" s="247">
        <f t="shared" si="25"/>
        <v>-574.90421576293249</v>
      </c>
      <c r="E59" s="247">
        <f t="shared" si="25"/>
        <v>-381.99690273935471</v>
      </c>
      <c r="F59" s="247">
        <f t="shared" si="25"/>
        <v>-30936.176470588238</v>
      </c>
      <c r="G59" s="247">
        <f t="shared" si="25"/>
        <v>-80869.369413951397</v>
      </c>
      <c r="H59" s="180" t="s">
        <v>339</v>
      </c>
      <c r="I59" s="251" t="s">
        <v>374</v>
      </c>
      <c r="J59" s="217" t="s">
        <v>345</v>
      </c>
    </row>
    <row r="60" spans="1:10" ht="14.1" customHeight="1" x14ac:dyDescent="0.2">
      <c r="A60" s="180" t="s">
        <v>375</v>
      </c>
      <c r="B60" s="179">
        <f t="shared" ref="B60:G60" si="26">(-B58+SQRT(B58^2-4*B57*B59))/(2*B57)</f>
        <v>2.0301869403403803</v>
      </c>
      <c r="C60" s="179">
        <f t="shared" si="26"/>
        <v>1.6942938659439082</v>
      </c>
      <c r="D60" s="179">
        <f t="shared" si="26"/>
        <v>2.8117432007431482</v>
      </c>
      <c r="E60" s="179">
        <f t="shared" si="26"/>
        <v>2.372001061411007</v>
      </c>
      <c r="F60" s="179">
        <f t="shared" si="26"/>
        <v>31.882923203650456</v>
      </c>
      <c r="G60" s="179">
        <f t="shared" si="26"/>
        <v>45.462529132737068</v>
      </c>
      <c r="H60" s="180" t="s">
        <v>19</v>
      </c>
      <c r="I60" s="216" t="s">
        <v>351</v>
      </c>
      <c r="J60" s="217" t="s">
        <v>321</v>
      </c>
    </row>
    <row r="61" spans="1:10" ht="14.1" customHeight="1" x14ac:dyDescent="0.2">
      <c r="A61" s="180" t="s">
        <v>376</v>
      </c>
      <c r="B61" s="194">
        <f t="shared" ref="B61:G61" si="27">B23*B60^3/3+B24*B26^3/12+B24*B26*(B60-B26/2)^2+B19*B28*(B36-B60)^2+(B19-1)*B32*(B60-B35)^2</f>
        <v>1715.2842507249202</v>
      </c>
      <c r="C61" s="194">
        <f t="shared" si="27"/>
        <v>1210.722705416018</v>
      </c>
      <c r="D61" s="194">
        <f t="shared" si="27"/>
        <v>3187.1655873811669</v>
      </c>
      <c r="E61" s="194">
        <f t="shared" si="27"/>
        <v>2309.4450531719631</v>
      </c>
      <c r="F61" s="194">
        <f t="shared" si="27"/>
        <v>1674664.3108279319</v>
      </c>
      <c r="G61" s="194">
        <f t="shared" si="27"/>
        <v>3217899.6631461075</v>
      </c>
      <c r="H61" s="159" t="s">
        <v>336</v>
      </c>
      <c r="I61" s="216" t="s">
        <v>377</v>
      </c>
      <c r="J61" s="217" t="s">
        <v>322</v>
      </c>
    </row>
    <row r="62" spans="1:10" ht="14.1" customHeight="1" x14ac:dyDescent="0.2">
      <c r="A62" s="180" t="s">
        <v>278</v>
      </c>
      <c r="B62" s="185" t="str">
        <f t="shared" ref="B62:G62" si="28">IF(B54&lt;=B26,"C1","C2")</f>
        <v>C1</v>
      </c>
      <c r="C62" s="185" t="str">
        <f t="shared" si="28"/>
        <v>C1</v>
      </c>
      <c r="D62" s="185" t="str">
        <f t="shared" si="28"/>
        <v>C1</v>
      </c>
      <c r="E62" s="185" t="str">
        <f t="shared" si="28"/>
        <v>C1</v>
      </c>
      <c r="F62" s="185" t="str">
        <f t="shared" si="28"/>
        <v>C2</v>
      </c>
      <c r="G62" s="185" t="str">
        <f t="shared" si="28"/>
        <v>C2</v>
      </c>
      <c r="H62" s="159"/>
      <c r="I62" s="216" t="s">
        <v>378</v>
      </c>
      <c r="J62" s="217"/>
    </row>
    <row r="63" spans="1:10" ht="14.1" customHeight="1" x14ac:dyDescent="0.2">
      <c r="A63" s="180" t="s">
        <v>350</v>
      </c>
      <c r="B63" s="179">
        <f t="shared" ref="B63:G63" si="29">IF(B62="C1",B54,B60)</f>
        <v>2.0301869403403803</v>
      </c>
      <c r="C63" s="179">
        <f t="shared" si="29"/>
        <v>1.6942938659439082</v>
      </c>
      <c r="D63" s="179">
        <f t="shared" si="29"/>
        <v>2.8117432007431482</v>
      </c>
      <c r="E63" s="179">
        <f t="shared" si="29"/>
        <v>2.372001061411007</v>
      </c>
      <c r="F63" s="179">
        <f t="shared" si="29"/>
        <v>31.882923203650456</v>
      </c>
      <c r="G63" s="179">
        <f t="shared" si="29"/>
        <v>45.462529132737068</v>
      </c>
      <c r="H63" s="180" t="s">
        <v>19</v>
      </c>
      <c r="I63" s="216" t="s">
        <v>379</v>
      </c>
      <c r="J63" s="217" t="s">
        <v>321</v>
      </c>
    </row>
    <row r="64" spans="1:10" ht="14.1" customHeight="1" x14ac:dyDescent="0.2">
      <c r="A64" s="180" t="s">
        <v>352</v>
      </c>
      <c r="B64" s="194">
        <f t="shared" ref="B64:G64" si="30">IF(B62="C1",B55,B61)</f>
        <v>1715.2842507249202</v>
      </c>
      <c r="C64" s="194">
        <f t="shared" si="30"/>
        <v>1210.722705416018</v>
      </c>
      <c r="D64" s="194">
        <f t="shared" si="30"/>
        <v>3187.1655873811669</v>
      </c>
      <c r="E64" s="194">
        <f t="shared" si="30"/>
        <v>2309.4450531719631</v>
      </c>
      <c r="F64" s="194">
        <f t="shared" si="30"/>
        <v>1674664.3108279319</v>
      </c>
      <c r="G64" s="194">
        <f t="shared" si="30"/>
        <v>3217899.6631461075</v>
      </c>
      <c r="H64" s="159" t="s">
        <v>336</v>
      </c>
      <c r="I64" s="216" t="s">
        <v>380</v>
      </c>
      <c r="J64" s="217" t="s">
        <v>322</v>
      </c>
    </row>
    <row r="65" spans="1:10" ht="14.1" customHeight="1" x14ac:dyDescent="0.2">
      <c r="A65" s="205" t="s">
        <v>500</v>
      </c>
      <c r="B65" s="250"/>
      <c r="C65" s="250"/>
      <c r="D65" s="250"/>
      <c r="E65" s="250"/>
      <c r="F65" s="250"/>
      <c r="G65" s="250"/>
      <c r="H65" s="180"/>
      <c r="I65" s="205"/>
      <c r="J65" s="224"/>
    </row>
    <row r="66" spans="1:10" ht="14.1" customHeight="1" x14ac:dyDescent="0.2">
      <c r="A66" s="159" t="s">
        <v>504</v>
      </c>
      <c r="B66" s="269">
        <f>Principal!$E$60</f>
        <v>8.4549850000000006</v>
      </c>
      <c r="C66" s="269">
        <f>Principal!$G$60</f>
        <v>5.8288999999999991</v>
      </c>
      <c r="D66" s="269">
        <f>Principal!$E$60</f>
        <v>8.4549850000000006</v>
      </c>
      <c r="E66" s="269">
        <f>Principal!$G$60</f>
        <v>5.8288999999999991</v>
      </c>
      <c r="F66" s="246">
        <v>650</v>
      </c>
      <c r="G66" s="246">
        <v>650</v>
      </c>
      <c r="H66" s="180" t="s">
        <v>213</v>
      </c>
      <c r="I66" s="205"/>
      <c r="J66" s="217" t="s">
        <v>316</v>
      </c>
    </row>
    <row r="67" spans="1:10" ht="14.1" customHeight="1" x14ac:dyDescent="0.2">
      <c r="A67" s="205" t="s">
        <v>317</v>
      </c>
      <c r="B67" s="250"/>
      <c r="C67" s="250"/>
      <c r="D67" s="250"/>
      <c r="E67" s="250"/>
      <c r="F67" s="250"/>
      <c r="G67" s="250"/>
      <c r="H67" s="180"/>
      <c r="I67" s="205"/>
      <c r="J67" s="224"/>
    </row>
    <row r="68" spans="1:10" ht="14.1" customHeight="1" x14ac:dyDescent="0.2">
      <c r="A68" s="159" t="s">
        <v>514</v>
      </c>
      <c r="B68" s="179">
        <f t="shared" ref="B68:G68" si="31">B42*(B11/10)/100</f>
        <v>6.1559134080361062</v>
      </c>
      <c r="C68" s="179">
        <f t="shared" si="31"/>
        <v>6.1559134080361062</v>
      </c>
      <c r="D68" s="179">
        <f t="shared" si="31"/>
        <v>6.1559134080361062</v>
      </c>
      <c r="E68" s="179">
        <f t="shared" si="31"/>
        <v>6.1559134080361062</v>
      </c>
      <c r="F68" s="179">
        <f t="shared" si="31"/>
        <v>170.99759466766963</v>
      </c>
      <c r="G68" s="179">
        <f t="shared" si="31"/>
        <v>170.99759466766963</v>
      </c>
      <c r="H68" s="180" t="s">
        <v>213</v>
      </c>
      <c r="I68" s="205" t="s">
        <v>503</v>
      </c>
      <c r="J68" s="217" t="s">
        <v>318</v>
      </c>
    </row>
    <row r="69" spans="1:10" ht="14.1" customHeight="1" x14ac:dyDescent="0.2">
      <c r="A69" s="159" t="s">
        <v>515</v>
      </c>
      <c r="B69" s="180">
        <f t="shared" ref="B69:G69" si="32">B68/B66</f>
        <v>0.72808093781787975</v>
      </c>
      <c r="C69" s="180">
        <f t="shared" si="32"/>
        <v>1.0561020789576261</v>
      </c>
      <c r="D69" s="180">
        <f t="shared" si="32"/>
        <v>0.72808093781787975</v>
      </c>
      <c r="E69" s="180">
        <f t="shared" si="32"/>
        <v>1.0561020789576261</v>
      </c>
      <c r="F69" s="180">
        <f t="shared" si="32"/>
        <v>0.26307322256564558</v>
      </c>
      <c r="G69" s="180">
        <f t="shared" si="32"/>
        <v>0.26307322256564558</v>
      </c>
      <c r="H69" s="180"/>
      <c r="I69" s="205" t="s">
        <v>515</v>
      </c>
      <c r="J69" s="205" t="s">
        <v>343</v>
      </c>
    </row>
    <row r="70" spans="1:10" ht="14.1" customHeight="1" x14ac:dyDescent="0.2">
      <c r="A70" s="180" t="s">
        <v>319</v>
      </c>
      <c r="B70" s="184" t="str">
        <f t="shared" ref="B70:G70" si="33">IF(B66&lt;B68,"não fissurada","fissurada")</f>
        <v>fissurada</v>
      </c>
      <c r="C70" s="184" t="str">
        <f t="shared" si="33"/>
        <v>não fissurada</v>
      </c>
      <c r="D70" s="184" t="str">
        <f t="shared" si="33"/>
        <v>fissurada</v>
      </c>
      <c r="E70" s="184" t="str">
        <f t="shared" si="33"/>
        <v>não fissurada</v>
      </c>
      <c r="F70" s="184" t="str">
        <f t="shared" si="33"/>
        <v>fissurada</v>
      </c>
      <c r="G70" s="184" t="str">
        <f t="shared" si="33"/>
        <v>fissurada</v>
      </c>
      <c r="H70" s="180"/>
      <c r="I70" s="216" t="s">
        <v>516</v>
      </c>
      <c r="J70" s="217" t="s">
        <v>320</v>
      </c>
    </row>
    <row r="71" spans="1:10" ht="14.1" customHeight="1" x14ac:dyDescent="0.2">
      <c r="A71" s="205" t="s">
        <v>388</v>
      </c>
      <c r="B71" s="184"/>
      <c r="C71" s="184"/>
      <c r="D71" s="184"/>
      <c r="E71" s="184"/>
      <c r="F71" s="184"/>
      <c r="G71" s="184"/>
      <c r="H71" s="180"/>
      <c r="I71" s="216"/>
      <c r="J71" s="217"/>
    </row>
    <row r="72" spans="1:10" ht="14.1" customHeight="1" x14ac:dyDescent="0.2">
      <c r="A72" s="236" t="s">
        <v>406</v>
      </c>
      <c r="B72" s="225">
        <f t="shared" ref="B72:G72" si="34">10*B19*(B66*100)*(B36-B63)/B64</f>
        <v>303.13787992035401</v>
      </c>
      <c r="C72" s="225">
        <f t="shared" si="34"/>
        <v>310.34621592471615</v>
      </c>
      <c r="D72" s="225">
        <f t="shared" si="34"/>
        <v>312.93268695350298</v>
      </c>
      <c r="E72" s="225">
        <f t="shared" si="34"/>
        <v>318.88624648678564</v>
      </c>
      <c r="F72" s="225">
        <f t="shared" si="34"/>
        <v>209.3102532677683</v>
      </c>
      <c r="G72" s="225">
        <f t="shared" si="34"/>
        <v>221.48110853025912</v>
      </c>
      <c r="H72" s="180" t="s">
        <v>192</v>
      </c>
      <c r="I72" s="216" t="s">
        <v>563</v>
      </c>
      <c r="J72" s="217" t="s">
        <v>389</v>
      </c>
    </row>
    <row r="73" spans="1:10" ht="14.1" customHeight="1" x14ac:dyDescent="0.2">
      <c r="A73" s="216" t="s">
        <v>391</v>
      </c>
      <c r="B73" s="225"/>
      <c r="C73" s="225"/>
      <c r="D73" s="225"/>
      <c r="E73" s="225"/>
      <c r="F73" s="225"/>
      <c r="G73" s="225"/>
      <c r="H73" s="180"/>
      <c r="I73" s="216"/>
      <c r="J73" s="217"/>
    </row>
    <row r="74" spans="1:10" ht="14.1" customHeight="1" x14ac:dyDescent="0.2">
      <c r="A74" s="180" t="s">
        <v>468</v>
      </c>
      <c r="B74" s="179">
        <f>MIN(B25-B36+7.5*(B30/10),B25/2)</f>
        <v>6</v>
      </c>
      <c r="C74" s="179">
        <f>MIN(C25-C36+7.5*(C30/10),C25/2)</f>
        <v>6</v>
      </c>
      <c r="D74" s="179">
        <f>MIN(2.5*(D25-D36),(D25-D63)/3,D25/2)</f>
        <v>3.0627522664189506</v>
      </c>
      <c r="E74" s="179">
        <f>MIN(2.5*(E25-E36),(E25-E63)/3,E25/2)</f>
        <v>3.2093329795296643</v>
      </c>
      <c r="F74" s="179">
        <f>MIN(F25-F36+7.5*(F30/10),F25/2)</f>
        <v>37</v>
      </c>
      <c r="G74" s="179">
        <f>MIN(2.5*(G25-G36),(G25-G63)/3,G25/2)</f>
        <v>17.5</v>
      </c>
      <c r="H74" s="180" t="s">
        <v>19</v>
      </c>
      <c r="I74" s="216" t="s">
        <v>567</v>
      </c>
      <c r="J74" s="224" t="s">
        <v>465</v>
      </c>
    </row>
    <row r="75" spans="1:10" ht="14.1" customHeight="1" x14ac:dyDescent="0.2">
      <c r="A75" s="180" t="s">
        <v>410</v>
      </c>
      <c r="B75" s="247">
        <f t="shared" ref="B75:G75" si="35">B23*B74</f>
        <v>600</v>
      </c>
      <c r="C75" s="247">
        <f t="shared" si="35"/>
        <v>600</v>
      </c>
      <c r="D75" s="247">
        <f t="shared" si="35"/>
        <v>306.27522664189507</v>
      </c>
      <c r="E75" s="247">
        <f t="shared" si="35"/>
        <v>320.93329795296643</v>
      </c>
      <c r="F75" s="247">
        <f t="shared" si="35"/>
        <v>1480</v>
      </c>
      <c r="G75" s="247">
        <f t="shared" si="35"/>
        <v>700</v>
      </c>
      <c r="H75" s="180" t="s">
        <v>246</v>
      </c>
      <c r="I75" s="216" t="s">
        <v>466</v>
      </c>
      <c r="J75" s="224" t="s">
        <v>392</v>
      </c>
    </row>
    <row r="76" spans="1:10" ht="14.1" customHeight="1" x14ac:dyDescent="0.3">
      <c r="A76" s="236" t="s">
        <v>566</v>
      </c>
      <c r="B76" s="323">
        <f t="shared" ref="B76:G76" si="36">B28/B75</f>
        <v>5.5850536063818557E-3</v>
      </c>
      <c r="C76" s="323">
        <f t="shared" si="36"/>
        <v>3.7110063220529431E-3</v>
      </c>
      <c r="D76" s="323">
        <f t="shared" si="36"/>
        <v>1.0941244581127114E-2</v>
      </c>
      <c r="E76" s="323">
        <f t="shared" si="36"/>
        <v>6.9379020732154763E-3</v>
      </c>
      <c r="F76" s="323">
        <f t="shared" si="36"/>
        <v>2.5472972972972976E-2</v>
      </c>
      <c r="G76" s="323">
        <f t="shared" si="36"/>
        <v>5.385714285714286E-2</v>
      </c>
      <c r="H76" s="180"/>
      <c r="I76" s="216" t="s">
        <v>411</v>
      </c>
      <c r="J76" s="224" t="s">
        <v>412</v>
      </c>
    </row>
    <row r="77" spans="1:10" ht="14.1" customHeight="1" x14ac:dyDescent="0.2">
      <c r="A77" s="216" t="s">
        <v>393</v>
      </c>
      <c r="B77" s="256"/>
      <c r="C77" s="225"/>
      <c r="D77" s="225"/>
      <c r="E77" s="225"/>
      <c r="F77" s="256"/>
      <c r="G77" s="225"/>
      <c r="H77" s="180"/>
      <c r="I77" s="216"/>
      <c r="J77" s="217"/>
    </row>
    <row r="78" spans="1:10" ht="14.1" customHeight="1" x14ac:dyDescent="0.2">
      <c r="A78" s="180" t="s">
        <v>413</v>
      </c>
      <c r="B78" s="221">
        <f>B30*B72*3*B72/(12.5*B18*B17*B9)</f>
        <v>0.1455789468284211</v>
      </c>
      <c r="C78" s="221">
        <f>C30*C72*3*C72/(12.5*C18*C17*C9)</f>
        <v>0.12016047226205115</v>
      </c>
      <c r="D78" s="225" t="s">
        <v>526</v>
      </c>
      <c r="E78" s="225" t="s">
        <v>526</v>
      </c>
      <c r="F78" s="221">
        <f>F30*F72*3*F72/(12.5*F18*F17*F9)</f>
        <v>0.34703171468239724</v>
      </c>
      <c r="G78" s="225" t="s">
        <v>526</v>
      </c>
      <c r="H78" s="180" t="s">
        <v>18</v>
      </c>
      <c r="I78" s="237" t="s">
        <v>588</v>
      </c>
      <c r="J78" s="217" t="s">
        <v>394</v>
      </c>
    </row>
    <row r="79" spans="1:10" ht="14.1" customHeight="1" x14ac:dyDescent="0.2">
      <c r="A79" s="180" t="s">
        <v>415</v>
      </c>
      <c r="B79" s="221">
        <f>B30*B72*(4/B76+45)/(12.5*B18*B17)</f>
        <v>0.31254717456411596</v>
      </c>
      <c r="C79" s="221">
        <f>C30*C72*(4/C76+45)/(12.5*C18*C17)</f>
        <v>0.37171192389035501</v>
      </c>
      <c r="D79" s="225" t="s">
        <v>526</v>
      </c>
      <c r="E79" s="225" t="s">
        <v>526</v>
      </c>
      <c r="F79" s="221">
        <f>F30*F72*(4/F76+45)/(12.5*F18*F17)</f>
        <v>0.28638664706578881</v>
      </c>
      <c r="G79" s="225" t="s">
        <v>526</v>
      </c>
      <c r="H79" s="180" t="s">
        <v>18</v>
      </c>
      <c r="I79" s="237" t="s">
        <v>589</v>
      </c>
      <c r="J79" s="217" t="s">
        <v>394</v>
      </c>
    </row>
    <row r="80" spans="1:10" ht="14.1" customHeight="1" x14ac:dyDescent="0.2">
      <c r="A80" s="180" t="s">
        <v>569</v>
      </c>
      <c r="B80" s="221" t="s">
        <v>526</v>
      </c>
      <c r="C80" s="221" t="s">
        <v>526</v>
      </c>
      <c r="D80" s="225">
        <v>0.4</v>
      </c>
      <c r="E80" s="225">
        <v>0.4</v>
      </c>
      <c r="F80" s="221" t="s">
        <v>526</v>
      </c>
      <c r="G80" s="225">
        <v>0.4</v>
      </c>
      <c r="H80" s="180"/>
      <c r="I80" s="216" t="s">
        <v>571</v>
      </c>
      <c r="J80" s="217" t="s">
        <v>570</v>
      </c>
    </row>
    <row r="81" spans="1:12" ht="14.1" customHeight="1" x14ac:dyDescent="0.3">
      <c r="A81" s="236" t="s">
        <v>572</v>
      </c>
      <c r="B81" s="221" t="s">
        <v>526</v>
      </c>
      <c r="C81" s="221" t="s">
        <v>526</v>
      </c>
      <c r="D81" s="252">
        <f>MAX((D72-(D80*D11/D76)*(1+(D17/D12)*D76))/D17,0.6*D72/D17)</f>
        <v>1.0632059750299472E-3</v>
      </c>
      <c r="E81" s="252">
        <f>MAX((E72-(E80*E11/E76)*(1+(E17/E12)*E76))/E17,0.6*E72/E17)</f>
        <v>9.5665873946035687E-4</v>
      </c>
      <c r="F81" s="221" t="s">
        <v>526</v>
      </c>
      <c r="G81" s="252">
        <f>MAX((G72-(G80*G11/G76)*(1+(G17/G12)*G76))/G17,0.6*G72/G17)</f>
        <v>9.7955888710390873E-4</v>
      </c>
      <c r="H81" s="180"/>
      <c r="I81" s="216" t="s">
        <v>574</v>
      </c>
      <c r="J81" s="324" t="s">
        <v>573</v>
      </c>
    </row>
    <row r="82" spans="1:12" ht="14.1" customHeight="1" x14ac:dyDescent="0.2">
      <c r="A82" s="180" t="s">
        <v>577</v>
      </c>
      <c r="B82" s="221" t="s">
        <v>526</v>
      </c>
      <c r="C82" s="221" t="s">
        <v>526</v>
      </c>
      <c r="D82" s="247">
        <v>0.8</v>
      </c>
      <c r="E82" s="247">
        <v>0.8</v>
      </c>
      <c r="F82" s="221" t="s">
        <v>526</v>
      </c>
      <c r="G82" s="247">
        <v>0.8</v>
      </c>
      <c r="H82" s="180"/>
      <c r="I82" s="216" t="s">
        <v>579</v>
      </c>
      <c r="J82" s="324"/>
    </row>
    <row r="83" spans="1:12" ht="14.1" customHeight="1" x14ac:dyDescent="0.2">
      <c r="A83" s="180" t="s">
        <v>578</v>
      </c>
      <c r="B83" s="221" t="s">
        <v>526</v>
      </c>
      <c r="C83" s="221" t="s">
        <v>526</v>
      </c>
      <c r="D83" s="247">
        <v>0.5</v>
      </c>
      <c r="E83" s="247">
        <v>0.5</v>
      </c>
      <c r="F83" s="221" t="s">
        <v>526</v>
      </c>
      <c r="G83" s="247">
        <v>0.5</v>
      </c>
      <c r="H83" s="180"/>
      <c r="I83" s="216" t="s">
        <v>580</v>
      </c>
      <c r="J83" s="324"/>
    </row>
    <row r="84" spans="1:12" ht="14.1" customHeight="1" x14ac:dyDescent="0.2">
      <c r="A84" s="180" t="s">
        <v>584</v>
      </c>
      <c r="B84" s="221" t="s">
        <v>526</v>
      </c>
      <c r="C84" s="221" t="s">
        <v>526</v>
      </c>
      <c r="D84" s="225">
        <f>3.4*(D31*10)+0.425*D82*D83*D30/D76</f>
        <v>192.30030147995279</v>
      </c>
      <c r="E84" s="225">
        <f>3.4*(E31*10)+0.425*E82*E83*E30/E76</f>
        <v>222.36943166648484</v>
      </c>
      <c r="F84" s="221" t="s">
        <v>526</v>
      </c>
      <c r="G84" s="225">
        <f>3.4*(G31*10)+0.425*G82*G83*G30/G76</f>
        <v>296.25994694960212</v>
      </c>
      <c r="H84" s="180" t="s">
        <v>18</v>
      </c>
      <c r="I84" s="216" t="s">
        <v>576</v>
      </c>
      <c r="J84" s="217" t="s">
        <v>575</v>
      </c>
    </row>
    <row r="85" spans="1:12" ht="14.1" customHeight="1" x14ac:dyDescent="0.2">
      <c r="A85" s="180" t="s">
        <v>581</v>
      </c>
      <c r="B85" s="221" t="s">
        <v>526</v>
      </c>
      <c r="C85" s="221" t="s">
        <v>526</v>
      </c>
      <c r="D85" s="225">
        <f>5*((D31*10)+D30/2)</f>
        <v>120</v>
      </c>
      <c r="E85" s="225">
        <f>5*((E31*10)+E30/2)</f>
        <v>115.75</v>
      </c>
      <c r="F85" s="221" t="s">
        <v>526</v>
      </c>
      <c r="G85" s="225">
        <f>5*((G31*10)+G30/2)</f>
        <v>350</v>
      </c>
      <c r="H85" s="180" t="s">
        <v>18</v>
      </c>
      <c r="I85" s="216" t="s">
        <v>582</v>
      </c>
      <c r="J85" s="324"/>
    </row>
    <row r="86" spans="1:12" ht="14.1" customHeight="1" x14ac:dyDescent="0.2">
      <c r="A86" s="180" t="s">
        <v>583</v>
      </c>
      <c r="B86" s="221" t="s">
        <v>526</v>
      </c>
      <c r="C86" s="221" t="s">
        <v>526</v>
      </c>
      <c r="D86" s="225">
        <f>IF(D84&lt;=D85,D84,1.3*(D25-D63)*10)</f>
        <v>119.44733839033908</v>
      </c>
      <c r="E86" s="225">
        <f>IF(E84&lt;=E85,E84,1.3*(E25-E63)*10)</f>
        <v>125.16398620165691</v>
      </c>
      <c r="F86" s="221" t="s">
        <v>526</v>
      </c>
      <c r="G86" s="225">
        <f>IF(G84&lt;=G85,G84,1.3*(G25-G63)*10)</f>
        <v>296.25994694960212</v>
      </c>
      <c r="H86" s="180" t="s">
        <v>18</v>
      </c>
      <c r="I86" s="216" t="s">
        <v>585</v>
      </c>
      <c r="J86" s="217"/>
    </row>
    <row r="87" spans="1:12" ht="14.1" customHeight="1" x14ac:dyDescent="0.2">
      <c r="A87" s="180" t="s">
        <v>417</v>
      </c>
      <c r="B87" s="257">
        <f>IF(B70="fissurada",MIN(B78,B79),0)</f>
        <v>0.1455789468284211</v>
      </c>
      <c r="C87" s="257">
        <f>IF(C70="fissurada",MIN(C78,C79),0)</f>
        <v>0</v>
      </c>
      <c r="D87" s="257">
        <f>IF(D70="fissurada",D81*D86,0)</f>
        <v>0.1269971238780325</v>
      </c>
      <c r="E87" s="257">
        <f>IF(E70="fissurada",E81*E86,0)</f>
        <v>0</v>
      </c>
      <c r="F87" s="257">
        <f>IF(F70="fissurada",MIN(F78,F79),0)</f>
        <v>0.28638664706578881</v>
      </c>
      <c r="G87" s="257">
        <f>IF(G70="fissurada",G81*G86,0)</f>
        <v>0.29020406392741527</v>
      </c>
      <c r="H87" s="180" t="s">
        <v>18</v>
      </c>
      <c r="I87" s="216" t="s">
        <v>586</v>
      </c>
      <c r="J87" s="217" t="s">
        <v>394</v>
      </c>
    </row>
    <row r="88" spans="1:12" ht="14.1" customHeight="1" x14ac:dyDescent="0.2">
      <c r="A88" s="216" t="s">
        <v>395</v>
      </c>
      <c r="B88" s="221"/>
      <c r="C88" s="221"/>
      <c r="D88" s="180"/>
      <c r="E88" s="180"/>
      <c r="F88" s="221"/>
      <c r="G88" s="180"/>
      <c r="H88" s="180"/>
      <c r="I88" s="237"/>
      <c r="J88" s="217"/>
    </row>
    <row r="89" spans="1:12" ht="14.1" customHeight="1" x14ac:dyDescent="0.2">
      <c r="A89" s="180" t="s">
        <v>170</v>
      </c>
      <c r="B89" s="261">
        <f>Principal!$E$65</f>
        <v>0.3</v>
      </c>
      <c r="C89" s="261">
        <f>Principal!$E$65</f>
        <v>0.3</v>
      </c>
      <c r="D89" s="261">
        <f>Principal!$E$65</f>
        <v>0.3</v>
      </c>
      <c r="E89" s="261">
        <f>Principal!$E$65</f>
        <v>0.3</v>
      </c>
      <c r="F89" s="233">
        <v>0.3</v>
      </c>
      <c r="G89" s="233">
        <v>0.3</v>
      </c>
      <c r="H89" s="180" t="s">
        <v>18</v>
      </c>
      <c r="I89" s="216"/>
      <c r="J89" s="217" t="s">
        <v>396</v>
      </c>
    </row>
    <row r="90" spans="1:12" ht="14.1" customHeight="1" x14ac:dyDescent="0.2">
      <c r="A90" s="180" t="s">
        <v>84</v>
      </c>
      <c r="B90" s="238">
        <f t="shared" ref="B90:G90" si="37">B87/B89</f>
        <v>0.48526315609473702</v>
      </c>
      <c r="C90" s="238">
        <f t="shared" si="37"/>
        <v>0</v>
      </c>
      <c r="D90" s="238">
        <f t="shared" si="37"/>
        <v>0.42332374626010832</v>
      </c>
      <c r="E90" s="238">
        <f t="shared" si="37"/>
        <v>0</v>
      </c>
      <c r="F90" s="238">
        <f t="shared" si="37"/>
        <v>0.95462215688596275</v>
      </c>
      <c r="G90" s="238">
        <f t="shared" si="37"/>
        <v>0.96734687975805089</v>
      </c>
      <c r="H90" s="180"/>
      <c r="I90" s="216" t="s">
        <v>84</v>
      </c>
      <c r="J90" s="216" t="s">
        <v>419</v>
      </c>
    </row>
    <row r="91" spans="1:12" ht="14.1" customHeight="1" x14ac:dyDescent="0.2">
      <c r="A91" s="211"/>
      <c r="B91" s="211"/>
      <c r="C91" s="211"/>
      <c r="D91" s="211"/>
      <c r="E91" s="211"/>
      <c r="F91" s="211"/>
      <c r="G91" s="211"/>
      <c r="H91" s="211"/>
      <c r="I91" s="211"/>
      <c r="J91" s="211"/>
    </row>
    <row r="92" spans="1:12" ht="14.1" customHeight="1" x14ac:dyDescent="0.2">
      <c r="A92" s="211"/>
      <c r="B92" s="211"/>
      <c r="C92" s="211"/>
      <c r="D92" s="211"/>
      <c r="E92" s="211"/>
      <c r="F92" s="211"/>
      <c r="G92" s="211"/>
      <c r="H92" s="211"/>
      <c r="I92" s="211"/>
      <c r="J92" s="211"/>
    </row>
    <row r="93" spans="1:12" ht="14.1" customHeight="1" x14ac:dyDescent="0.2">
      <c r="A93" s="211"/>
      <c r="B93" s="211"/>
      <c r="C93" s="211"/>
      <c r="D93" s="211"/>
      <c r="E93" s="211"/>
      <c r="F93" s="211"/>
      <c r="G93" s="211"/>
      <c r="H93" s="211"/>
      <c r="I93" s="211"/>
      <c r="J93" s="211"/>
    </row>
    <row r="94" spans="1:12" s="220" customFormat="1" ht="14.1" customHeight="1" x14ac:dyDescent="0.2">
      <c r="K94" s="222"/>
      <c r="L94" s="222"/>
    </row>
    <row r="95" spans="1:12" s="220" customFormat="1" ht="14.1" customHeight="1" x14ac:dyDescent="0.2">
      <c r="K95" s="222"/>
      <c r="L95" s="222"/>
    </row>
    <row r="96" spans="1:12" s="220" customFormat="1" ht="14.1" customHeight="1" x14ac:dyDescent="0.2">
      <c r="K96" s="222"/>
      <c r="L96" s="222"/>
    </row>
    <row r="97" spans="1:10" ht="14.1" customHeight="1" x14ac:dyDescent="0.2">
      <c r="A97" s="211"/>
      <c r="B97" s="211"/>
      <c r="C97" s="211"/>
      <c r="D97" s="211"/>
      <c r="E97" s="211"/>
      <c r="F97" s="211"/>
      <c r="G97" s="211"/>
      <c r="H97" s="211"/>
      <c r="I97" s="211"/>
      <c r="J97" s="211"/>
    </row>
    <row r="98" spans="1:10" ht="14.1" customHeight="1" x14ac:dyDescent="0.2">
      <c r="A98" s="211"/>
      <c r="B98" s="211"/>
      <c r="C98" s="211"/>
      <c r="D98" s="211"/>
      <c r="E98" s="211"/>
      <c r="F98" s="211"/>
      <c r="G98" s="211"/>
      <c r="H98" s="211"/>
      <c r="I98" s="211"/>
      <c r="J98" s="211"/>
    </row>
    <row r="99" spans="1:10" ht="14.1" customHeight="1" x14ac:dyDescent="0.2">
      <c r="A99" s="211"/>
      <c r="B99" s="211"/>
      <c r="C99" s="211"/>
      <c r="D99" s="211"/>
      <c r="E99" s="211"/>
      <c r="F99" s="211"/>
      <c r="G99" s="211"/>
      <c r="H99" s="211"/>
      <c r="I99" s="211"/>
      <c r="J99" s="211"/>
    </row>
    <row r="100" spans="1:10" ht="14.1" customHeight="1" x14ac:dyDescent="0.2">
      <c r="A100" s="211"/>
      <c r="B100" s="211"/>
      <c r="C100" s="211"/>
      <c r="D100" s="211"/>
      <c r="E100" s="211"/>
      <c r="F100" s="211"/>
      <c r="G100" s="211"/>
      <c r="H100" s="211"/>
      <c r="I100" s="211"/>
      <c r="J100" s="211"/>
    </row>
    <row r="101" spans="1:10" ht="14.1" customHeight="1" x14ac:dyDescent="0.2">
      <c r="A101" s="211"/>
      <c r="B101" s="211"/>
      <c r="C101" s="211"/>
      <c r="D101" s="211"/>
      <c r="E101" s="211"/>
      <c r="F101" s="211"/>
      <c r="G101" s="211"/>
      <c r="H101" s="211"/>
      <c r="I101" s="211"/>
      <c r="J101" s="211"/>
    </row>
    <row r="102" spans="1:10" ht="14.1" customHeight="1" x14ac:dyDescent="0.2">
      <c r="A102" s="211"/>
      <c r="B102" s="211"/>
      <c r="C102" s="211"/>
      <c r="D102" s="211"/>
      <c r="E102" s="211"/>
      <c r="F102" s="211"/>
      <c r="G102" s="211"/>
      <c r="H102" s="211"/>
      <c r="I102" s="211"/>
      <c r="J102" s="211"/>
    </row>
    <row r="103" spans="1:10" ht="14.1" customHeight="1" x14ac:dyDescent="0.2">
      <c r="A103" s="211"/>
      <c r="B103" s="211"/>
      <c r="C103" s="211"/>
      <c r="D103" s="211"/>
      <c r="E103" s="211"/>
      <c r="F103" s="211"/>
      <c r="G103" s="211"/>
      <c r="H103" s="211"/>
      <c r="I103" s="211"/>
      <c r="J103" s="211"/>
    </row>
    <row r="104" spans="1:10" ht="14.1" customHeight="1" x14ac:dyDescent="0.2">
      <c r="A104" s="211"/>
      <c r="B104" s="211"/>
      <c r="C104" s="211"/>
      <c r="D104" s="211"/>
      <c r="E104" s="211"/>
      <c r="F104" s="211"/>
      <c r="G104" s="211"/>
      <c r="H104" s="211"/>
      <c r="I104" s="211"/>
      <c r="J104" s="211"/>
    </row>
    <row r="105" spans="1:10" ht="14.1" customHeight="1" x14ac:dyDescent="0.2">
      <c r="A105" s="211"/>
      <c r="B105" s="211"/>
      <c r="C105" s="211"/>
      <c r="D105" s="211"/>
      <c r="E105" s="211"/>
      <c r="F105" s="211"/>
      <c r="G105" s="211"/>
      <c r="H105" s="211"/>
      <c r="I105" s="211"/>
      <c r="J105" s="211"/>
    </row>
    <row r="106" spans="1:10" ht="14.1" customHeight="1" x14ac:dyDescent="0.2">
      <c r="A106" s="211"/>
      <c r="B106" s="211"/>
      <c r="C106" s="211"/>
      <c r="D106" s="211"/>
      <c r="E106" s="211"/>
      <c r="F106" s="211"/>
      <c r="G106" s="211"/>
      <c r="H106" s="211"/>
      <c r="I106" s="211"/>
      <c r="J106" s="211"/>
    </row>
    <row r="107" spans="1:10" ht="14.1" customHeight="1" x14ac:dyDescent="0.2">
      <c r="A107" s="211"/>
      <c r="B107" s="211"/>
      <c r="C107" s="211"/>
      <c r="D107" s="211"/>
      <c r="E107" s="211"/>
      <c r="F107" s="211"/>
      <c r="G107" s="211"/>
      <c r="H107" s="211"/>
      <c r="I107" s="211"/>
      <c r="J107" s="211"/>
    </row>
    <row r="108" spans="1:10" ht="14.1" customHeight="1" x14ac:dyDescent="0.2">
      <c r="A108" s="211"/>
      <c r="B108" s="211"/>
      <c r="C108" s="211"/>
      <c r="D108" s="211"/>
      <c r="E108" s="211"/>
      <c r="F108" s="211"/>
      <c r="G108" s="211"/>
      <c r="H108" s="211"/>
      <c r="I108" s="211"/>
      <c r="J108" s="211"/>
    </row>
    <row r="109" spans="1:10" ht="14.1" customHeight="1" x14ac:dyDescent="0.2">
      <c r="A109" s="211"/>
      <c r="B109" s="211"/>
      <c r="C109" s="211"/>
      <c r="D109" s="211"/>
      <c r="E109" s="211"/>
      <c r="F109" s="211"/>
      <c r="G109" s="211"/>
      <c r="H109" s="211"/>
      <c r="I109" s="211"/>
      <c r="J109" s="211"/>
    </row>
    <row r="110" spans="1:10" ht="14.1" customHeight="1" x14ac:dyDescent="0.2">
      <c r="A110" s="211"/>
      <c r="B110" s="211"/>
      <c r="C110" s="211"/>
      <c r="D110" s="211"/>
      <c r="E110" s="211"/>
      <c r="F110" s="211"/>
      <c r="G110" s="211"/>
      <c r="H110" s="211"/>
      <c r="I110" s="211"/>
      <c r="J110" s="211"/>
    </row>
    <row r="111" spans="1:10" ht="14.1" customHeight="1" x14ac:dyDescent="0.2">
      <c r="A111" s="211"/>
      <c r="B111" s="211"/>
      <c r="C111" s="211"/>
      <c r="D111" s="211"/>
      <c r="E111" s="211"/>
      <c r="F111" s="211"/>
      <c r="G111" s="211"/>
      <c r="H111" s="211"/>
      <c r="I111" s="211"/>
      <c r="J111" s="211"/>
    </row>
    <row r="112" spans="1:10" ht="14.1" customHeight="1" x14ac:dyDescent="0.2">
      <c r="A112" s="211"/>
      <c r="B112" s="211"/>
      <c r="C112" s="211"/>
      <c r="D112" s="211"/>
      <c r="E112" s="211"/>
      <c r="F112" s="211"/>
      <c r="G112" s="211"/>
      <c r="H112" s="211"/>
      <c r="I112" s="211"/>
      <c r="J112" s="211"/>
    </row>
    <row r="113" spans="1:10" ht="14.1" customHeight="1" x14ac:dyDescent="0.2">
      <c r="A113" s="211"/>
      <c r="B113" s="211"/>
      <c r="C113" s="211"/>
      <c r="D113" s="211"/>
      <c r="E113" s="211"/>
      <c r="F113" s="211"/>
      <c r="G113" s="211"/>
      <c r="H113" s="211"/>
      <c r="I113" s="211"/>
      <c r="J113" s="211"/>
    </row>
    <row r="114" spans="1:10" ht="14.1" customHeight="1" x14ac:dyDescent="0.2">
      <c r="A114" s="211"/>
      <c r="B114" s="211"/>
      <c r="C114" s="211"/>
      <c r="D114" s="211"/>
      <c r="E114" s="211"/>
      <c r="F114" s="211"/>
      <c r="G114" s="211"/>
      <c r="H114" s="211"/>
      <c r="I114" s="211"/>
      <c r="J114" s="211"/>
    </row>
    <row r="115" spans="1:10" ht="14.1" customHeight="1" x14ac:dyDescent="0.2">
      <c r="A115" s="211"/>
      <c r="B115" s="211"/>
      <c r="C115" s="211"/>
      <c r="D115" s="211"/>
      <c r="E115" s="211"/>
      <c r="F115" s="211"/>
      <c r="G115" s="211"/>
      <c r="H115" s="211"/>
      <c r="I115" s="211"/>
      <c r="J115" s="211"/>
    </row>
    <row r="116" spans="1:10" ht="14.1" customHeight="1" x14ac:dyDescent="0.2">
      <c r="A116" s="211"/>
      <c r="B116" s="211"/>
      <c r="C116" s="211"/>
      <c r="D116" s="211"/>
      <c r="E116" s="211"/>
      <c r="F116" s="211"/>
      <c r="G116" s="211"/>
      <c r="H116" s="211"/>
      <c r="I116" s="211"/>
      <c r="J116" s="211"/>
    </row>
    <row r="117" spans="1:10" ht="14.1" customHeight="1" x14ac:dyDescent="0.2">
      <c r="A117" s="211"/>
      <c r="B117" s="211"/>
      <c r="C117" s="211"/>
      <c r="D117" s="211"/>
      <c r="E117" s="211"/>
      <c r="F117" s="211"/>
      <c r="G117" s="211"/>
      <c r="H117" s="211"/>
      <c r="I117" s="211"/>
      <c r="J117" s="211"/>
    </row>
    <row r="118" spans="1:10" ht="14.1" customHeight="1" x14ac:dyDescent="0.2">
      <c r="A118" s="211"/>
      <c r="B118" s="211"/>
      <c r="C118" s="211"/>
      <c r="D118" s="211"/>
      <c r="E118" s="211"/>
      <c r="F118" s="211"/>
      <c r="G118" s="211"/>
      <c r="H118" s="211"/>
      <c r="I118" s="211"/>
      <c r="J118" s="211"/>
    </row>
    <row r="119" spans="1:10" ht="14.1" customHeight="1" x14ac:dyDescent="0.2">
      <c r="A119" s="211"/>
      <c r="B119" s="211"/>
      <c r="C119" s="211"/>
      <c r="D119" s="211"/>
      <c r="E119" s="211"/>
      <c r="F119" s="211"/>
      <c r="G119" s="211"/>
      <c r="H119" s="211"/>
      <c r="I119" s="211"/>
      <c r="J119" s="211"/>
    </row>
    <row r="120" spans="1:10" ht="14.1" customHeight="1" x14ac:dyDescent="0.2">
      <c r="A120" s="211"/>
      <c r="B120" s="211"/>
      <c r="C120" s="211"/>
      <c r="D120" s="211"/>
      <c r="E120" s="211"/>
      <c r="F120" s="211"/>
      <c r="G120" s="211"/>
      <c r="H120" s="211"/>
      <c r="I120" s="211"/>
      <c r="J120" s="211"/>
    </row>
    <row r="121" spans="1:10" ht="15" customHeight="1" x14ac:dyDescent="0.2">
      <c r="B121" s="253"/>
      <c r="C121" s="253"/>
      <c r="D121" s="253"/>
      <c r="E121" s="253"/>
      <c r="F121" s="253"/>
      <c r="G121" s="253"/>
    </row>
    <row r="122" spans="1:10" ht="15" customHeight="1" x14ac:dyDescent="0.2">
      <c r="B122" s="253"/>
      <c r="C122" s="253"/>
      <c r="D122" s="253"/>
      <c r="E122" s="253"/>
      <c r="F122" s="253"/>
      <c r="G122" s="253"/>
    </row>
    <row r="123" spans="1:10" ht="15" customHeight="1" x14ac:dyDescent="0.2">
      <c r="B123" s="253"/>
      <c r="C123" s="253"/>
      <c r="D123" s="253"/>
      <c r="E123" s="253"/>
      <c r="F123" s="253"/>
      <c r="G123" s="253"/>
    </row>
    <row r="124" spans="1:10" ht="15" customHeight="1" x14ac:dyDescent="0.2">
      <c r="B124" s="253"/>
      <c r="C124" s="253"/>
      <c r="D124" s="253"/>
      <c r="E124" s="253"/>
      <c r="F124" s="253"/>
      <c r="G124" s="253"/>
    </row>
    <row r="125" spans="1:10" ht="15" customHeight="1" x14ac:dyDescent="0.2">
      <c r="B125" s="253"/>
      <c r="C125" s="253"/>
      <c r="D125" s="253"/>
      <c r="E125" s="253"/>
      <c r="F125" s="253"/>
      <c r="G125" s="253"/>
    </row>
    <row r="126" spans="1:10" ht="15" customHeight="1" x14ac:dyDescent="0.2"/>
    <row r="127" spans="1:10" ht="15" customHeight="1" x14ac:dyDescent="0.2"/>
    <row r="128" spans="1:10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</sheetData>
  <phoneticPr fontId="25" type="noConversion"/>
  <conditionalFormatting sqref="B57:G61">
    <cfRule type="expression" dxfId="9" priority="1" stopIfTrue="1">
      <formula>B$62="C1"</formula>
    </cfRule>
  </conditionalFormatting>
  <conditionalFormatting sqref="B51:G55">
    <cfRule type="expression" dxfId="8" priority="2" stopIfTrue="1">
      <formula>B$62="C2"</formula>
    </cfRule>
  </conditionalFormatting>
  <conditionalFormatting sqref="B90:G90">
    <cfRule type="cellIs" dxfId="7" priority="3" stopIfTrue="1" operator="greaterThan">
      <formula>1</formula>
    </cfRule>
  </conditionalFormatting>
  <printOptions horizontalCentered="1" verticalCentered="1"/>
  <pageMargins left="0" right="0.11811023622047245" top="0.62992125984251968" bottom="0.59055118110236227" header="0.51181102362204722" footer="0.51181102362204722"/>
  <pageSetup paperSize="9" scale="75" orientation="landscape" blackAndWhite="1" horizontalDpi="4294967294" r:id="rId1"/>
  <headerFooter alignWithMargins="0"/>
  <rowBreaks count="1" manualBreakCount="1">
    <brk id="40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8"/>
  <sheetViews>
    <sheetView showGridLines="0" topLeftCell="A4" zoomScale="117" zoomScaleNormal="117" zoomScaleSheetLayoutView="150" workbookViewId="0">
      <selection activeCell="E11" sqref="B11:E11"/>
    </sheetView>
  </sheetViews>
  <sheetFormatPr defaultRowHeight="12.75" x14ac:dyDescent="0.2"/>
  <cols>
    <col min="1" max="1" width="10.7109375" style="240" customWidth="1"/>
    <col min="2" max="5" width="10.7109375" style="210" customWidth="1"/>
    <col min="6" max="6" width="10.7109375" style="240" customWidth="1"/>
    <col min="7" max="7" width="83.42578125" style="241" customWidth="1"/>
    <col min="8" max="8" width="85.42578125" style="254" customWidth="1"/>
    <col min="9" max="9" width="6.140625" style="210" bestFit="1" customWidth="1"/>
    <col min="10" max="10" width="10.7109375" style="210" bestFit="1" customWidth="1"/>
    <col min="11" max="16384" width="9.140625" style="211"/>
  </cols>
  <sheetData>
    <row r="1" spans="1:12" ht="14.1" customHeight="1" x14ac:dyDescent="0.2">
      <c r="A1" s="206" t="s">
        <v>9</v>
      </c>
      <c r="B1" s="207"/>
      <c r="C1" s="207"/>
      <c r="D1" s="207"/>
      <c r="E1" s="207"/>
      <c r="F1" s="208"/>
      <c r="G1" s="208" t="s">
        <v>10</v>
      </c>
      <c r="H1" s="209" t="s">
        <v>92</v>
      </c>
    </row>
    <row r="2" spans="1:12" ht="14.1" customHeight="1" x14ac:dyDescent="0.2">
      <c r="A2" s="212" t="s">
        <v>188</v>
      </c>
      <c r="B2" s="213"/>
      <c r="C2" s="213"/>
      <c r="D2" s="213"/>
      <c r="E2" s="213"/>
      <c r="F2" s="214"/>
      <c r="G2" s="214" t="s">
        <v>189</v>
      </c>
      <c r="H2" s="215" t="s">
        <v>190</v>
      </c>
    </row>
    <row r="3" spans="1:12" s="220" customFormat="1" ht="14.1" customHeight="1" x14ac:dyDescent="0.2">
      <c r="A3" s="216" t="s">
        <v>602</v>
      </c>
      <c r="B3" s="217"/>
      <c r="C3" s="217"/>
      <c r="D3" s="217"/>
      <c r="E3" s="217"/>
      <c r="F3" s="180"/>
      <c r="G3" s="216"/>
      <c r="H3" s="217"/>
      <c r="I3" s="218"/>
      <c r="J3" s="218"/>
      <c r="K3" s="219"/>
      <c r="L3" s="219"/>
    </row>
    <row r="4" spans="1:12" s="220" customFormat="1" ht="14.1" customHeight="1" x14ac:dyDescent="0.2">
      <c r="A4" s="180" t="s">
        <v>511</v>
      </c>
      <c r="B4" s="221" t="s">
        <v>512</v>
      </c>
      <c r="C4" s="221" t="s">
        <v>512</v>
      </c>
      <c r="D4" s="221" t="s">
        <v>513</v>
      </c>
      <c r="E4" s="221" t="s">
        <v>513</v>
      </c>
      <c r="F4" s="180"/>
      <c r="G4" s="216"/>
      <c r="H4" s="217" t="s">
        <v>540</v>
      </c>
      <c r="I4" s="218"/>
      <c r="J4" s="218"/>
      <c r="K4" s="219"/>
      <c r="L4" s="219"/>
    </row>
    <row r="5" spans="1:12" s="220" customFormat="1" ht="14.1" customHeight="1" x14ac:dyDescent="0.3">
      <c r="A5" s="180" t="s">
        <v>319</v>
      </c>
      <c r="B5" s="221" t="s">
        <v>134</v>
      </c>
      <c r="C5" s="221" t="s">
        <v>135</v>
      </c>
      <c r="D5" s="221" t="s">
        <v>134</v>
      </c>
      <c r="E5" s="221" t="s">
        <v>135</v>
      </c>
      <c r="F5" s="180"/>
      <c r="G5" s="216"/>
      <c r="H5" s="217" t="s">
        <v>452</v>
      </c>
      <c r="I5" s="222"/>
      <c r="J5" s="222"/>
    </row>
    <row r="6" spans="1:12" s="220" customFormat="1" ht="14.1" customHeight="1" x14ac:dyDescent="0.2">
      <c r="A6" s="180" t="s">
        <v>457</v>
      </c>
      <c r="B6" s="221" t="s">
        <v>458</v>
      </c>
      <c r="C6" s="221" t="s">
        <v>458</v>
      </c>
      <c r="D6" s="221" t="s">
        <v>458</v>
      </c>
      <c r="E6" s="221" t="s">
        <v>458</v>
      </c>
      <c r="F6" s="180"/>
      <c r="G6" s="216"/>
      <c r="H6" s="217"/>
      <c r="I6" s="222"/>
      <c r="J6" s="222"/>
    </row>
    <row r="7" spans="1:12" s="220" customFormat="1" ht="14.1" customHeight="1" x14ac:dyDescent="0.2">
      <c r="A7" s="216" t="s">
        <v>191</v>
      </c>
      <c r="B7" s="221"/>
      <c r="C7" s="221"/>
      <c r="D7" s="221"/>
      <c r="E7" s="221"/>
      <c r="F7" s="180"/>
      <c r="G7" s="216"/>
      <c r="H7" s="217"/>
      <c r="I7" s="222"/>
      <c r="J7" s="222"/>
    </row>
    <row r="8" spans="1:12" ht="14.1" customHeight="1" x14ac:dyDescent="0.2">
      <c r="A8" s="159" t="s">
        <v>232</v>
      </c>
      <c r="B8" s="268">
        <f>Principal!$D$10</f>
        <v>25</v>
      </c>
      <c r="C8" s="268">
        <f>Principal!$D$10</f>
        <v>25</v>
      </c>
      <c r="D8" s="268">
        <f>Principal!$D$10</f>
        <v>25</v>
      </c>
      <c r="E8" s="268">
        <f>Principal!$D$10</f>
        <v>25</v>
      </c>
      <c r="F8" s="180" t="s">
        <v>192</v>
      </c>
      <c r="G8" s="216"/>
      <c r="H8" s="245" t="s">
        <v>193</v>
      </c>
    </row>
    <row r="9" spans="1:12" ht="14.1" customHeight="1" x14ac:dyDescent="0.2">
      <c r="A9" s="159" t="s">
        <v>330</v>
      </c>
      <c r="B9" s="180">
        <f>0.3*B8^(2/3)</f>
        <v>2.5649639200150443</v>
      </c>
      <c r="C9" s="180">
        <f>0.3*C8^(2/3)</f>
        <v>2.5649639200150443</v>
      </c>
      <c r="D9" s="180">
        <f>0.3*D8^(2/3)</f>
        <v>2.5649639200150443</v>
      </c>
      <c r="E9" s="180">
        <f>0.3*E8^(2/3)</f>
        <v>2.5649639200150443</v>
      </c>
      <c r="F9" s="180" t="s">
        <v>192</v>
      </c>
      <c r="G9" s="216" t="s">
        <v>331</v>
      </c>
      <c r="H9" s="245" t="s">
        <v>308</v>
      </c>
    </row>
    <row r="10" spans="1:12" ht="14.1" customHeight="1" x14ac:dyDescent="0.2">
      <c r="A10" s="159" t="s">
        <v>397</v>
      </c>
      <c r="B10" s="180">
        <f>0.7*B9</f>
        <v>1.7954747440105308</v>
      </c>
      <c r="C10" s="180">
        <f>0.7*C9</f>
        <v>1.7954747440105308</v>
      </c>
      <c r="D10" s="180">
        <f>0.7*D9</f>
        <v>1.7954747440105308</v>
      </c>
      <c r="E10" s="180">
        <f>0.7*E9</f>
        <v>1.7954747440105308</v>
      </c>
      <c r="F10" s="180" t="s">
        <v>192</v>
      </c>
      <c r="G10" s="205" t="s">
        <v>398</v>
      </c>
      <c r="H10" s="224" t="s">
        <v>381</v>
      </c>
    </row>
    <row r="11" spans="1:12" ht="14.1" customHeight="1" x14ac:dyDescent="0.2">
      <c r="A11" s="159" t="s">
        <v>502</v>
      </c>
      <c r="B11" s="369">
        <f>B9</f>
        <v>2.5649639200150443</v>
      </c>
      <c r="C11" s="369">
        <f>C9</f>
        <v>2.5649639200150443</v>
      </c>
      <c r="D11" s="369">
        <f>D9</f>
        <v>2.5649639200150443</v>
      </c>
      <c r="E11" s="369">
        <f>E9</f>
        <v>2.5649639200150443</v>
      </c>
      <c r="F11" s="180" t="s">
        <v>192</v>
      </c>
      <c r="G11" s="370" t="s">
        <v>669</v>
      </c>
      <c r="H11" s="217" t="s">
        <v>309</v>
      </c>
    </row>
    <row r="12" spans="1:12" ht="14.1" customHeight="1" x14ac:dyDescent="0.2">
      <c r="A12" s="159" t="s">
        <v>560</v>
      </c>
      <c r="B12" s="194">
        <f>4760*SQRT(B8)</f>
        <v>23800</v>
      </c>
      <c r="C12" s="194">
        <f>4760*SQRT(C8)</f>
        <v>23800</v>
      </c>
      <c r="D12" s="194">
        <f>22000*((D8+8)/10)^0.3</f>
        <v>31475.806210019346</v>
      </c>
      <c r="E12" s="194">
        <f>22000*((E8+8)/10)^0.3</f>
        <v>31475.806210019346</v>
      </c>
      <c r="F12" s="180" t="s">
        <v>192</v>
      </c>
      <c r="G12" s="205" t="s">
        <v>522</v>
      </c>
      <c r="H12" s="217" t="s">
        <v>310</v>
      </c>
    </row>
    <row r="13" spans="1:12" ht="14.1" customHeight="1" x14ac:dyDescent="0.2">
      <c r="A13" s="158" t="s">
        <v>528</v>
      </c>
      <c r="B13" s="293">
        <v>1.323</v>
      </c>
      <c r="C13" s="293">
        <v>1.323</v>
      </c>
      <c r="D13" s="293">
        <v>2</v>
      </c>
      <c r="E13" s="293">
        <v>2</v>
      </c>
      <c r="F13" s="180"/>
      <c r="G13" s="216" t="s">
        <v>530</v>
      </c>
      <c r="H13" s="217" t="s">
        <v>529</v>
      </c>
    </row>
    <row r="14" spans="1:12" ht="14.1" customHeight="1" x14ac:dyDescent="0.2">
      <c r="A14" s="159" t="s">
        <v>509</v>
      </c>
      <c r="B14" s="194">
        <f>B12/(1+B13)</f>
        <v>10245.372363323289</v>
      </c>
      <c r="C14" s="194">
        <f>C12/(1+C13)</f>
        <v>10245.372363323289</v>
      </c>
      <c r="D14" s="194">
        <f>D12/(1+D13)</f>
        <v>10491.935403339781</v>
      </c>
      <c r="E14" s="194">
        <f>E12/(1+E13)</f>
        <v>10491.935403339781</v>
      </c>
      <c r="F14" s="180" t="s">
        <v>192</v>
      </c>
      <c r="G14" s="216" t="s">
        <v>531</v>
      </c>
      <c r="H14" s="217" t="s">
        <v>510</v>
      </c>
    </row>
    <row r="15" spans="1:12" ht="14.1" customHeight="1" x14ac:dyDescent="0.2">
      <c r="A15" s="216" t="s">
        <v>197</v>
      </c>
      <c r="B15" s="180"/>
      <c r="C15" s="180"/>
      <c r="D15" s="180"/>
      <c r="E15" s="180"/>
      <c r="F15" s="180"/>
      <c r="G15" s="216"/>
      <c r="H15" s="217"/>
    </row>
    <row r="16" spans="1:12" ht="14.1" customHeight="1" x14ac:dyDescent="0.2">
      <c r="A16" s="159" t="s">
        <v>236</v>
      </c>
      <c r="B16" s="260">
        <f>Principal!$D$14</f>
        <v>500</v>
      </c>
      <c r="C16" s="260">
        <f>Principal!$D$14</f>
        <v>500</v>
      </c>
      <c r="D16" s="260">
        <f>Principal!$D$14</f>
        <v>500</v>
      </c>
      <c r="E16" s="260">
        <f>Principal!$D$14</f>
        <v>500</v>
      </c>
      <c r="F16" s="180" t="s">
        <v>192</v>
      </c>
      <c r="G16" s="216"/>
      <c r="H16" s="224" t="s">
        <v>198</v>
      </c>
    </row>
    <row r="17" spans="1:10" ht="14.1" customHeight="1" x14ac:dyDescent="0.2">
      <c r="A17" s="159" t="s">
        <v>239</v>
      </c>
      <c r="B17" s="223">
        <v>210000</v>
      </c>
      <c r="C17" s="223">
        <v>210000</v>
      </c>
      <c r="D17" s="223">
        <v>200000</v>
      </c>
      <c r="E17" s="223">
        <v>200000</v>
      </c>
      <c r="F17" s="180" t="s">
        <v>192</v>
      </c>
      <c r="G17" s="230" t="s">
        <v>523</v>
      </c>
      <c r="H17" s="217" t="s">
        <v>201</v>
      </c>
    </row>
    <row r="18" spans="1:10" ht="14.1" customHeight="1" x14ac:dyDescent="0.2">
      <c r="A18" s="236" t="s">
        <v>156</v>
      </c>
      <c r="B18" s="227">
        <f>IF(B16=250,1,IF(B16=600,1.4,2.25))</f>
        <v>2.25</v>
      </c>
      <c r="C18" s="227">
        <f>IF(C16=250,1,IF(C16=600,1.4,2.25))</f>
        <v>2.25</v>
      </c>
      <c r="D18" s="229" t="s">
        <v>526</v>
      </c>
      <c r="E18" s="229" t="s">
        <v>526</v>
      </c>
      <c r="F18" s="180"/>
      <c r="G18" s="205" t="s">
        <v>568</v>
      </c>
      <c r="H18" s="217" t="s">
        <v>382</v>
      </c>
    </row>
    <row r="19" spans="1:10" ht="14.1" customHeight="1" x14ac:dyDescent="0.3">
      <c r="A19" s="159" t="s">
        <v>559</v>
      </c>
      <c r="B19" s="180">
        <f>B17/B12</f>
        <v>8.8235294117647065</v>
      </c>
      <c r="C19" s="180">
        <f>C17/C12</f>
        <v>8.8235294117647065</v>
      </c>
      <c r="D19" s="180">
        <f>D17/D14</f>
        <v>19.062259946466714</v>
      </c>
      <c r="E19" s="180">
        <f>E17/E14</f>
        <v>19.062259946466714</v>
      </c>
      <c r="F19" s="180"/>
      <c r="G19" s="216" t="s">
        <v>524</v>
      </c>
      <c r="H19" s="217" t="s">
        <v>334</v>
      </c>
    </row>
    <row r="20" spans="1:10" s="232" customFormat="1" ht="14.1" customHeight="1" x14ac:dyDescent="0.2">
      <c r="A20" s="216" t="s">
        <v>486</v>
      </c>
      <c r="B20" s="180"/>
      <c r="C20" s="180"/>
      <c r="D20" s="180"/>
      <c r="E20" s="180"/>
      <c r="F20" s="180"/>
      <c r="G20" s="216" t="s">
        <v>359</v>
      </c>
      <c r="H20" s="217"/>
      <c r="I20" s="218"/>
      <c r="J20" s="218"/>
    </row>
    <row r="21" spans="1:10" s="232" customFormat="1" ht="14.1" customHeight="1" x14ac:dyDescent="0.2">
      <c r="A21" s="159" t="s">
        <v>319</v>
      </c>
      <c r="B21" s="180" t="str">
        <f>IF(Principal!$AA$10=1,"R","T")</f>
        <v>R</v>
      </c>
      <c r="C21" s="180" t="str">
        <f>IF(Principal!$AA$10=1,"R","T")</f>
        <v>R</v>
      </c>
      <c r="D21" s="229" t="s">
        <v>526</v>
      </c>
      <c r="E21" s="229" t="s">
        <v>526</v>
      </c>
      <c r="F21" s="180"/>
      <c r="G21" s="216"/>
      <c r="H21" s="217"/>
      <c r="I21" s="218"/>
      <c r="J21" s="218"/>
    </row>
    <row r="22" spans="1:10" ht="14.1" customHeight="1" x14ac:dyDescent="0.2">
      <c r="A22" s="180" t="s">
        <v>279</v>
      </c>
      <c r="B22" s="246">
        <v>100</v>
      </c>
      <c r="C22" s="246">
        <v>100</v>
      </c>
      <c r="D22" s="246">
        <v>100</v>
      </c>
      <c r="E22" s="246">
        <v>100</v>
      </c>
      <c r="F22" s="180" t="s">
        <v>19</v>
      </c>
      <c r="G22" s="216"/>
      <c r="H22" s="245" t="s">
        <v>206</v>
      </c>
    </row>
    <row r="23" spans="1:10" ht="14.1" customHeight="1" x14ac:dyDescent="0.2">
      <c r="A23" s="180" t="s">
        <v>280</v>
      </c>
      <c r="B23" s="269">
        <f>Principal!$R$19</f>
        <v>100</v>
      </c>
      <c r="C23" s="269">
        <f>Principal!$R$19</f>
        <v>100</v>
      </c>
      <c r="D23" s="269">
        <f>Principal!$R$19</f>
        <v>100</v>
      </c>
      <c r="E23" s="269">
        <f>Principal!$R$19</f>
        <v>100</v>
      </c>
      <c r="F23" s="180" t="s">
        <v>19</v>
      </c>
      <c r="G23" s="216"/>
      <c r="H23" s="224" t="s">
        <v>268</v>
      </c>
    </row>
    <row r="24" spans="1:10" ht="14.1" customHeight="1" x14ac:dyDescent="0.2">
      <c r="A24" s="180" t="s">
        <v>484</v>
      </c>
      <c r="B24" s="179">
        <f>B22-B23</f>
        <v>0</v>
      </c>
      <c r="C24" s="179">
        <f>C22-C23</f>
        <v>0</v>
      </c>
      <c r="D24" s="179">
        <f>D22-D23</f>
        <v>0</v>
      </c>
      <c r="E24" s="179">
        <f>E22-E23</f>
        <v>0</v>
      </c>
      <c r="F24" s="180" t="s">
        <v>19</v>
      </c>
      <c r="G24" s="216" t="s">
        <v>484</v>
      </c>
      <c r="H24" s="224"/>
    </row>
    <row r="25" spans="1:10" ht="14.1" customHeight="1" x14ac:dyDescent="0.2">
      <c r="A25" s="180" t="s">
        <v>139</v>
      </c>
      <c r="B25" s="268">
        <f>Principal!$R$12</f>
        <v>12</v>
      </c>
      <c r="C25" s="268">
        <f>Principal!$R$12</f>
        <v>12</v>
      </c>
      <c r="D25" s="268">
        <f>Principal!$R$12</f>
        <v>12</v>
      </c>
      <c r="E25" s="268">
        <f>Principal!$R$12</f>
        <v>12</v>
      </c>
      <c r="F25" s="180" t="s">
        <v>19</v>
      </c>
      <c r="G25" s="216"/>
      <c r="H25" s="245" t="s">
        <v>207</v>
      </c>
    </row>
    <row r="26" spans="1:10" ht="14.1" customHeight="1" x14ac:dyDescent="0.2">
      <c r="A26" s="180" t="s">
        <v>281</v>
      </c>
      <c r="B26" s="322">
        <f>Principal!$AA$8</f>
        <v>12</v>
      </c>
      <c r="C26" s="322">
        <f>Principal!$AA$8</f>
        <v>12</v>
      </c>
      <c r="D26" s="322">
        <f>Principal!$AA$8</f>
        <v>12</v>
      </c>
      <c r="E26" s="322">
        <f>Principal!$AA$8</f>
        <v>12</v>
      </c>
      <c r="F26" s="180" t="s">
        <v>19</v>
      </c>
      <c r="G26" s="216"/>
      <c r="H26" s="224" t="s">
        <v>270</v>
      </c>
    </row>
    <row r="27" spans="1:10" ht="14.1" customHeight="1" x14ac:dyDescent="0.2">
      <c r="A27" s="205" t="s">
        <v>315</v>
      </c>
      <c r="B27" s="250"/>
      <c r="C27" s="250"/>
      <c r="D27" s="250"/>
      <c r="E27" s="250"/>
      <c r="F27" s="180"/>
      <c r="G27" s="205"/>
      <c r="H27" s="217"/>
    </row>
    <row r="28" spans="1:10" ht="14.1" customHeight="1" x14ac:dyDescent="0.2">
      <c r="A28" s="159" t="s">
        <v>138</v>
      </c>
      <c r="B28" s="269" t="str">
        <f>Principal!$F$39</f>
        <v/>
      </c>
      <c r="C28" s="269">
        <f>Principal!$H$39</f>
        <v>5.8437363348024425</v>
      </c>
      <c r="D28" s="269" t="str">
        <f>Principal!$F$39</f>
        <v/>
      </c>
      <c r="E28" s="269">
        <f>Principal!$H$39</f>
        <v>5.8437363348024425</v>
      </c>
      <c r="F28" s="180" t="s">
        <v>246</v>
      </c>
      <c r="G28" s="205"/>
      <c r="H28" s="224" t="s">
        <v>229</v>
      </c>
    </row>
    <row r="29" spans="1:10" ht="14.1" customHeight="1" x14ac:dyDescent="0.2">
      <c r="A29" s="158" t="s">
        <v>480</v>
      </c>
      <c r="B29" s="252" t="e">
        <f>B28/(B23*B36)</f>
        <v>#VALUE!</v>
      </c>
      <c r="C29" s="252">
        <f>C28/(C23*C36)</f>
        <v>6.4930403720027136E-3</v>
      </c>
      <c r="D29" s="252" t="e">
        <f>D28/(D23*D36)</f>
        <v>#VALUE!</v>
      </c>
      <c r="E29" s="252">
        <f>E28/(E23*E36)</f>
        <v>6.4930403720027136E-3</v>
      </c>
      <c r="F29" s="180"/>
      <c r="G29" s="205" t="s">
        <v>590</v>
      </c>
      <c r="H29" s="224" t="s">
        <v>429</v>
      </c>
    </row>
    <row r="30" spans="1:10" ht="14.1" customHeight="1" x14ac:dyDescent="0.2">
      <c r="A30" s="236" t="s">
        <v>22</v>
      </c>
      <c r="B30" s="322">
        <f>Principal!$F$33</f>
        <v>10</v>
      </c>
      <c r="C30" s="322">
        <f>Principal!$H$33</f>
        <v>12.5</v>
      </c>
      <c r="D30" s="322">
        <f>Principal!$F$33</f>
        <v>10</v>
      </c>
      <c r="E30" s="322">
        <f>Principal!$H$33</f>
        <v>12.5</v>
      </c>
      <c r="F30" s="180" t="s">
        <v>18</v>
      </c>
      <c r="G30" s="205"/>
      <c r="H30" s="217" t="s">
        <v>384</v>
      </c>
    </row>
    <row r="31" spans="1:10" ht="14.1" customHeight="1" x14ac:dyDescent="0.2">
      <c r="A31" s="180" t="s">
        <v>564</v>
      </c>
      <c r="B31" s="322">
        <f>Principal!$R$20</f>
        <v>2</v>
      </c>
      <c r="C31" s="322">
        <f>Principal!$R$20</f>
        <v>2</v>
      </c>
      <c r="D31" s="322">
        <f>Principal!$R$20</f>
        <v>2</v>
      </c>
      <c r="E31" s="322">
        <f>Principal!$R$20</f>
        <v>2</v>
      </c>
      <c r="F31" s="180" t="s">
        <v>19</v>
      </c>
      <c r="G31" s="205"/>
      <c r="H31" s="217" t="s">
        <v>565</v>
      </c>
    </row>
    <row r="32" spans="1:10" ht="14.1" customHeight="1" x14ac:dyDescent="0.2">
      <c r="A32" s="159" t="s">
        <v>261</v>
      </c>
      <c r="B32" s="269" t="str">
        <f>Principal!$F$40</f>
        <v/>
      </c>
      <c r="C32" s="269">
        <f>Principal!$H$40</f>
        <v>0</v>
      </c>
      <c r="D32" s="269" t="str">
        <f>Principal!$F$40</f>
        <v/>
      </c>
      <c r="E32" s="269">
        <f>Principal!$H$40</f>
        <v>0</v>
      </c>
      <c r="F32" s="180" t="s">
        <v>246</v>
      </c>
      <c r="G32" s="205"/>
      <c r="H32" s="224" t="s">
        <v>227</v>
      </c>
    </row>
    <row r="33" spans="1:8" ht="14.1" customHeight="1" x14ac:dyDescent="0.2">
      <c r="A33" s="158" t="s">
        <v>354</v>
      </c>
      <c r="B33" s="252" t="e">
        <f>B32/(B23*B36)</f>
        <v>#VALUE!</v>
      </c>
      <c r="C33" s="252">
        <f>C32/(C23*C36)</f>
        <v>0</v>
      </c>
      <c r="D33" s="252" t="e">
        <f>D32/(D23*D36)</f>
        <v>#VALUE!</v>
      </c>
      <c r="E33" s="252">
        <f>E32/(E23*E36)</f>
        <v>0</v>
      </c>
      <c r="F33" s="180"/>
      <c r="G33" s="205" t="s">
        <v>591</v>
      </c>
      <c r="H33" s="224" t="s">
        <v>324</v>
      </c>
    </row>
    <row r="34" spans="1:8" ht="14.1" customHeight="1" x14ac:dyDescent="0.2">
      <c r="A34" s="180" t="s">
        <v>448</v>
      </c>
      <c r="B34" s="261">
        <f>Principal!$R$20+1</f>
        <v>3</v>
      </c>
      <c r="C34" s="261">
        <f>Principal!$R$20+1</f>
        <v>3</v>
      </c>
      <c r="D34" s="261">
        <f>Principal!$R$20+1</f>
        <v>3</v>
      </c>
      <c r="E34" s="261">
        <f>Principal!$R$20+1</f>
        <v>3</v>
      </c>
      <c r="F34" s="180" t="s">
        <v>19</v>
      </c>
      <c r="G34" s="216"/>
      <c r="H34" s="216" t="s">
        <v>449</v>
      </c>
    </row>
    <row r="35" spans="1:8" ht="14.1" customHeight="1" x14ac:dyDescent="0.2">
      <c r="A35" s="180" t="s">
        <v>209</v>
      </c>
      <c r="B35" s="269">
        <f>Principal!$R$20+1</f>
        <v>3</v>
      </c>
      <c r="C35" s="269">
        <f>Principal!$R$20+1</f>
        <v>3</v>
      </c>
      <c r="D35" s="269">
        <f>Principal!$R$20+1</f>
        <v>3</v>
      </c>
      <c r="E35" s="269">
        <f>Principal!$R$20+1</f>
        <v>3</v>
      </c>
      <c r="F35" s="180" t="s">
        <v>19</v>
      </c>
      <c r="G35" s="216" t="s">
        <v>209</v>
      </c>
      <c r="H35" s="245" t="s">
        <v>210</v>
      </c>
    </row>
    <row r="36" spans="1:8" ht="14.1" customHeight="1" x14ac:dyDescent="0.2">
      <c r="A36" s="180" t="s">
        <v>14</v>
      </c>
      <c r="B36" s="247">
        <f>B25-B34</f>
        <v>9</v>
      </c>
      <c r="C36" s="247">
        <f>C25-C34</f>
        <v>9</v>
      </c>
      <c r="D36" s="247">
        <f>D25-D34</f>
        <v>9</v>
      </c>
      <c r="E36" s="247">
        <f>E25-E34</f>
        <v>9</v>
      </c>
      <c r="F36" s="180" t="s">
        <v>19</v>
      </c>
      <c r="G36" s="216" t="s">
        <v>456</v>
      </c>
      <c r="H36" s="245" t="s">
        <v>208</v>
      </c>
    </row>
    <row r="37" spans="1:8" ht="14.1" customHeight="1" x14ac:dyDescent="0.2">
      <c r="A37" s="216" t="s">
        <v>501</v>
      </c>
      <c r="B37" s="179"/>
      <c r="C37" s="179"/>
      <c r="D37" s="179"/>
      <c r="E37" s="179"/>
      <c r="F37" s="180"/>
      <c r="G37" s="216"/>
      <c r="H37" s="245"/>
    </row>
    <row r="38" spans="1:8" ht="14.1" customHeight="1" x14ac:dyDescent="0.2">
      <c r="A38" s="180" t="s">
        <v>245</v>
      </c>
      <c r="B38" s="194">
        <f>B24*B26+B23*B25</f>
        <v>1200</v>
      </c>
      <c r="C38" s="194">
        <f>C24*C26+C23*C25</f>
        <v>1200</v>
      </c>
      <c r="D38" s="194">
        <f>D24*D26+D23*D25</f>
        <v>1200</v>
      </c>
      <c r="E38" s="194">
        <f>E24*E26+E23*E25</f>
        <v>1200</v>
      </c>
      <c r="F38" s="180" t="s">
        <v>246</v>
      </c>
      <c r="G38" s="216" t="s">
        <v>282</v>
      </c>
      <c r="H38" s="224" t="s">
        <v>211</v>
      </c>
    </row>
    <row r="39" spans="1:8" ht="14.1" customHeight="1" x14ac:dyDescent="0.2">
      <c r="A39" s="180" t="s">
        <v>362</v>
      </c>
      <c r="B39" s="179">
        <f>0.5*(B23*B25^2+B24*B26^2)/B38</f>
        <v>6</v>
      </c>
      <c r="C39" s="179">
        <f>0.5*(C23*C25^2+C24*C26^2)/C38</f>
        <v>6</v>
      </c>
      <c r="D39" s="179">
        <f>0.5*(D23*D25^2+D24*D26^2)/D38</f>
        <v>6</v>
      </c>
      <c r="E39" s="179">
        <f>0.5*(E23*E25^2+E24*E26^2)/E38</f>
        <v>6</v>
      </c>
      <c r="F39" s="180" t="s">
        <v>19</v>
      </c>
      <c r="G39" s="216" t="s">
        <v>485</v>
      </c>
      <c r="H39" s="245" t="s">
        <v>360</v>
      </c>
    </row>
    <row r="40" spans="1:8" ht="14.1" customHeight="1" x14ac:dyDescent="0.2">
      <c r="A40" s="180" t="s">
        <v>335</v>
      </c>
      <c r="B40" s="194">
        <f>B23*B25^3/12+B23*B25*(B25/2-B39)^2+B24*B26^3/12+B24*B26*(B39-B26/2)^2</f>
        <v>14400</v>
      </c>
      <c r="C40" s="194">
        <f>C23*C25^3/12+C23*C25*(C25/2-C39)^2+C24*C26^3/12+C24*C26*(C39-C26/2)^2</f>
        <v>14400</v>
      </c>
      <c r="D40" s="194">
        <f>D23*D25^3/12+D23*D25*(D25/2-D39)^2+D24*D26^3/12+D24*D26*(D39-D26/2)^2</f>
        <v>14400</v>
      </c>
      <c r="E40" s="194">
        <f>E23*E25^3/12+E23*E25*(E25/2-E39)^2+E24*E26^3/12+E24*E26*(E39-E26/2)^2</f>
        <v>14400</v>
      </c>
      <c r="F40" s="159" t="s">
        <v>336</v>
      </c>
      <c r="G40" s="216" t="s">
        <v>364</v>
      </c>
      <c r="H40" s="217" t="s">
        <v>361</v>
      </c>
    </row>
    <row r="41" spans="1:8" ht="14.1" customHeight="1" x14ac:dyDescent="0.2">
      <c r="A41" s="180" t="s">
        <v>505</v>
      </c>
      <c r="B41" s="179">
        <f>B25-B39</f>
        <v>6</v>
      </c>
      <c r="C41" s="179">
        <f>C25-C39</f>
        <v>6</v>
      </c>
      <c r="D41" s="179">
        <f>D25-D39</f>
        <v>6</v>
      </c>
      <c r="E41" s="179">
        <f>E25-E39</f>
        <v>6</v>
      </c>
      <c r="F41" s="180" t="s">
        <v>19</v>
      </c>
      <c r="G41" s="216" t="s">
        <v>365</v>
      </c>
      <c r="H41" s="217" t="s">
        <v>311</v>
      </c>
    </row>
    <row r="42" spans="1:8" ht="14.1" customHeight="1" x14ac:dyDescent="0.2">
      <c r="A42" s="180" t="s">
        <v>338</v>
      </c>
      <c r="B42" s="329">
        <f>B40/B39</f>
        <v>2400</v>
      </c>
      <c r="C42" s="329">
        <f>C40/C39</f>
        <v>2400</v>
      </c>
      <c r="D42" s="329">
        <f>D40/D39</f>
        <v>2400</v>
      </c>
      <c r="E42" s="329">
        <f>E40/E39</f>
        <v>2400</v>
      </c>
      <c r="F42" s="180" t="s">
        <v>339</v>
      </c>
      <c r="G42" s="283" t="s">
        <v>603</v>
      </c>
      <c r="H42" s="217" t="s">
        <v>312</v>
      </c>
    </row>
    <row r="43" spans="1:8" ht="14.1" customHeight="1" x14ac:dyDescent="0.2">
      <c r="A43" s="216" t="s">
        <v>487</v>
      </c>
      <c r="B43" s="179"/>
      <c r="C43" s="179"/>
      <c r="D43" s="179"/>
      <c r="E43" s="179"/>
      <c r="F43" s="180"/>
      <c r="G43" s="216"/>
      <c r="H43" s="245"/>
    </row>
    <row r="44" spans="1:8" ht="14.1" customHeight="1" x14ac:dyDescent="0.2">
      <c r="A44" s="180" t="s">
        <v>488</v>
      </c>
      <c r="B44" s="194" t="e">
        <f>B24*B26+B23*B25+(B19-1)*B28+(B19-1)*B32</f>
        <v>#VALUE!</v>
      </c>
      <c r="C44" s="194">
        <f>C24*C26+C23*C25+(C19-1)*C28+(C19-1)*C32</f>
        <v>1245.7186430899251</v>
      </c>
      <c r="D44" s="194" t="e">
        <f>D24*D26+D23*D25+(D19-1)*D28+(D19-1)*D32</f>
        <v>#VALUE!</v>
      </c>
      <c r="E44" s="194">
        <f>E24*E26+E23*E25+(E19-1)*E28+(E19-1)*E32</f>
        <v>1305.5510847378143</v>
      </c>
      <c r="F44" s="180" t="s">
        <v>246</v>
      </c>
      <c r="G44" s="216" t="s">
        <v>489</v>
      </c>
      <c r="H44" s="224" t="s">
        <v>492</v>
      </c>
    </row>
    <row r="45" spans="1:8" ht="14.1" customHeight="1" x14ac:dyDescent="0.2">
      <c r="A45" s="180" t="s">
        <v>490</v>
      </c>
      <c r="B45" s="179" t="e">
        <f>(0.5*B23*B25^2+0.5*B24*B26^2+(B19-1)*B28*B36+(B19-1)*B32*B35)/B44</f>
        <v>#VALUE!</v>
      </c>
      <c r="C45" s="179">
        <f>(0.5*C23*C25^2+0.5*C24*C26^2+(C19-1)*C28*C36+(C19-1)*C32*C35)/C44</f>
        <v>6.1101018516746031</v>
      </c>
      <c r="D45" s="179" t="e">
        <f>(0.5*D23*D25^2+0.5*D24*D26^2+(D19-1)*D28*D36+(D19-1)*D32*D35)/D44</f>
        <v>#VALUE!</v>
      </c>
      <c r="E45" s="179">
        <f>(0.5*E23*E25^2+0.5*E24*E26^2+(E19-1)*E28*E36+(E19-1)*E32*E35)/E44</f>
        <v>6.2425437487013653</v>
      </c>
      <c r="F45" s="180" t="s">
        <v>19</v>
      </c>
      <c r="G45" s="216" t="s">
        <v>491</v>
      </c>
      <c r="H45" s="245" t="s">
        <v>493</v>
      </c>
    </row>
    <row r="46" spans="1:8" ht="14.1" customHeight="1" x14ac:dyDescent="0.2">
      <c r="A46" s="180" t="s">
        <v>495</v>
      </c>
      <c r="B46" s="194" t="e">
        <f>B23*B25^3/12+B23*B25*(B45-B25/2)^2+B24*B26^3/12+B24*B26*(B45-B26/2)^2+(B19-1)*B28*(B36-B45)^2+(B19-1)*B32*(B45-B35)^2</f>
        <v>#VALUE!</v>
      </c>
      <c r="C46" s="194">
        <f>C23*C25^3/12+C23*C25*(C45-C25/2)^2+C24*C26^3/12+C24*C26*(C45-C26/2)^2+(C19-1)*C28*(C36-C45)^2+(C19-1)*C32*(C45-C35)^2</f>
        <v>14796.366666028573</v>
      </c>
      <c r="D46" s="194" t="e">
        <f>D23*D25^3/12+D23*D25*(D45-D25/2)^2+D24*D26^3/12+D24*D26*(D45-D26/2)^2+(D19-1)*D28*(D36-D45)^2+(D19-1)*D32*(D45-D35)^2</f>
        <v>#VALUE!</v>
      </c>
      <c r="E46" s="194">
        <f>E23*E25^3/12+E23*E25*(E45-E25/2)^2+E24*E26^3/12+E24*E26*(E45-E26/2)^2+(E19-1)*E28*(E36-E45)^2+(E19-1)*E32*(E45-E35)^2</f>
        <v>15273.157495324915</v>
      </c>
      <c r="F46" s="159" t="s">
        <v>336</v>
      </c>
      <c r="G46" s="216" t="s">
        <v>498</v>
      </c>
      <c r="H46" s="217" t="s">
        <v>494</v>
      </c>
    </row>
    <row r="47" spans="1:8" ht="14.1" customHeight="1" x14ac:dyDescent="0.2">
      <c r="A47" s="180" t="s">
        <v>507</v>
      </c>
      <c r="B47" s="179" t="e">
        <f>B25-B45</f>
        <v>#VALUE!</v>
      </c>
      <c r="C47" s="179">
        <f>C25-C45</f>
        <v>5.8898981483253969</v>
      </c>
      <c r="D47" s="179" t="e">
        <f>D25-D45</f>
        <v>#VALUE!</v>
      </c>
      <c r="E47" s="179">
        <f>E25-E45</f>
        <v>5.7574562512986347</v>
      </c>
      <c r="F47" s="180" t="s">
        <v>19</v>
      </c>
      <c r="G47" s="216" t="s">
        <v>497</v>
      </c>
      <c r="H47" s="217" t="s">
        <v>311</v>
      </c>
    </row>
    <row r="48" spans="1:8" ht="14.1" customHeight="1" x14ac:dyDescent="0.2">
      <c r="A48" s="180" t="s">
        <v>496</v>
      </c>
      <c r="B48" s="194" t="e">
        <f>B46/B47</f>
        <v>#VALUE!</v>
      </c>
      <c r="C48" s="194">
        <f>C46/C47</f>
        <v>2512.1600227052218</v>
      </c>
      <c r="D48" s="194" t="e">
        <f>D46/D47</f>
        <v>#VALUE!</v>
      </c>
      <c r="E48" s="194">
        <f>E46/E47</f>
        <v>2652.7613634719232</v>
      </c>
      <c r="F48" s="180" t="s">
        <v>339</v>
      </c>
      <c r="G48" s="216" t="s">
        <v>508</v>
      </c>
      <c r="H48" s="217" t="s">
        <v>312</v>
      </c>
    </row>
    <row r="49" spans="1:8" ht="14.1" customHeight="1" x14ac:dyDescent="0.2">
      <c r="A49" s="216" t="s">
        <v>499</v>
      </c>
      <c r="B49" s="292"/>
      <c r="C49" s="292"/>
      <c r="D49" s="292"/>
      <c r="E49" s="292"/>
      <c r="F49" s="292"/>
      <c r="G49" s="292"/>
      <c r="H49" s="217"/>
    </row>
    <row r="50" spans="1:8" ht="14.1" customHeight="1" x14ac:dyDescent="0.3">
      <c r="A50" s="180" t="s">
        <v>344</v>
      </c>
      <c r="B50" s="330">
        <f>0.5*B23</f>
        <v>50</v>
      </c>
      <c r="C50" s="330">
        <f>0.5*C23</f>
        <v>50</v>
      </c>
      <c r="D50" s="330">
        <f>0.5*D23</f>
        <v>50</v>
      </c>
      <c r="E50" s="330">
        <f>0.5*E23</f>
        <v>50</v>
      </c>
      <c r="F50" s="180" t="s">
        <v>19</v>
      </c>
      <c r="G50" s="283" t="s">
        <v>372</v>
      </c>
      <c r="H50" s="217" t="s">
        <v>345</v>
      </c>
    </row>
    <row r="51" spans="1:8" ht="14.1" customHeight="1" x14ac:dyDescent="0.3">
      <c r="A51" s="180" t="s">
        <v>346</v>
      </c>
      <c r="B51" s="247" t="e">
        <f>B19*B28+(B19-1)*B32</f>
        <v>#VALUE!</v>
      </c>
      <c r="C51" s="247">
        <f>C19*C28+(C19-1)*C32</f>
        <v>51.562379424727439</v>
      </c>
      <c r="D51" s="247" t="e">
        <f>D19*D28+(D19-1)*D32</f>
        <v>#VALUE!</v>
      </c>
      <c r="E51" s="247">
        <f>E19*E28+(E19-1)*E32</f>
        <v>111.39482107261679</v>
      </c>
      <c r="F51" s="180" t="s">
        <v>246</v>
      </c>
      <c r="G51" s="251" t="s">
        <v>347</v>
      </c>
      <c r="H51" s="217" t="s">
        <v>345</v>
      </c>
    </row>
    <row r="52" spans="1:8" ht="14.1" customHeight="1" x14ac:dyDescent="0.3">
      <c r="A52" s="180" t="s">
        <v>348</v>
      </c>
      <c r="B52" s="247" t="e">
        <f>-B19*B28*B36-(B19-1)*B32*B35</f>
        <v>#VALUE!</v>
      </c>
      <c r="C52" s="247">
        <f>-C19*C28*C36-(C19-1)*C32*C35</f>
        <v>-464.06141482254696</v>
      </c>
      <c r="D52" s="247" t="e">
        <f>-D19*D28*D36-(D19-1)*D32*D35</f>
        <v>#VALUE!</v>
      </c>
      <c r="E52" s="247">
        <f>-E19*E28*E36-(E19-1)*E32*E35</f>
        <v>-1002.5533896535511</v>
      </c>
      <c r="F52" s="180" t="s">
        <v>339</v>
      </c>
      <c r="G52" s="251" t="s">
        <v>349</v>
      </c>
      <c r="H52" s="217" t="s">
        <v>345</v>
      </c>
    </row>
    <row r="53" spans="1:8" ht="14.1" customHeight="1" x14ac:dyDescent="0.2">
      <c r="A53" s="180" t="s">
        <v>350</v>
      </c>
      <c r="B53" s="179" t="e">
        <f>(-B51+SQRT(B51^2-4*B50*B52))/(2*B50)</f>
        <v>#VALUE!</v>
      </c>
      <c r="C53" s="179">
        <f>(-C51+SQRT(C51^2-4*C50*C52))/(2*C50)</f>
        <v>2.5742137732706194</v>
      </c>
      <c r="D53" s="179" t="e">
        <f>(-D51+SQRT(D51^2-4*D50*D52))/(2*D50)</f>
        <v>#VALUE!</v>
      </c>
      <c r="E53" s="179">
        <f>(-E51+SQRT(E51^2-4*E50*E52))/(2*E50)</f>
        <v>3.5003717184997036</v>
      </c>
      <c r="F53" s="180" t="s">
        <v>19</v>
      </c>
      <c r="G53" s="216" t="s">
        <v>351</v>
      </c>
      <c r="H53" s="217" t="s">
        <v>321</v>
      </c>
    </row>
    <row r="54" spans="1:8" ht="14.1" customHeight="1" x14ac:dyDescent="0.2">
      <c r="A54" s="180" t="s">
        <v>352</v>
      </c>
      <c r="B54" s="329" t="e">
        <f>B23*B53^3/3+B19*B28*(B36-B53)^2+(B19-1)*B32*(B53-B35)^2</f>
        <v>#VALUE!</v>
      </c>
      <c r="C54" s="329">
        <f>C23*C53^3/3+C19*C28*(C36-C53)^2+(C19-1)*C32*(C53-C35)^2</f>
        <v>2697.6557039579493</v>
      </c>
      <c r="D54" s="329" t="e">
        <f>D23*D53^3/3+D19*D28*(D36-D53)^2+(D19-1)*D32*(D53-D35)^2</f>
        <v>#VALUE!</v>
      </c>
      <c r="E54" s="329">
        <f>E23*E53^3/3+E19*E28*(E36-E53)^2+(E19-1)*E32*(E53-E35)^2</f>
        <v>4798.859940356836</v>
      </c>
      <c r="F54" s="159" t="s">
        <v>336</v>
      </c>
      <c r="G54" s="283" t="s">
        <v>469</v>
      </c>
      <c r="H54" s="217" t="s">
        <v>322</v>
      </c>
    </row>
    <row r="55" spans="1:8" ht="14.1" customHeight="1" x14ac:dyDescent="0.2">
      <c r="A55" s="205" t="s">
        <v>500</v>
      </c>
      <c r="B55" s="250"/>
      <c r="C55" s="250"/>
      <c r="D55" s="250"/>
      <c r="E55" s="250"/>
      <c r="F55" s="180"/>
      <c r="G55" s="205"/>
      <c r="H55" s="224"/>
    </row>
    <row r="56" spans="1:8" ht="14.1" customHeight="1" x14ac:dyDescent="0.2">
      <c r="A56" s="159" t="s">
        <v>504</v>
      </c>
      <c r="B56" s="269" t="str">
        <f>Principal!$F$60</f>
        <v/>
      </c>
      <c r="C56" s="269">
        <f>Principal!$H$60</f>
        <v>14.660800000000002</v>
      </c>
      <c r="D56" s="269" t="str">
        <f>Principal!$F$60</f>
        <v/>
      </c>
      <c r="E56" s="269">
        <f>Principal!$H$60</f>
        <v>14.660800000000002</v>
      </c>
      <c r="F56" s="180" t="s">
        <v>213</v>
      </c>
      <c r="G56" s="205"/>
      <c r="H56" s="217" t="s">
        <v>316</v>
      </c>
    </row>
    <row r="57" spans="1:8" ht="14.1" customHeight="1" x14ac:dyDescent="0.2">
      <c r="A57" s="205" t="s">
        <v>317</v>
      </c>
      <c r="B57" s="250"/>
      <c r="C57" s="250"/>
      <c r="D57" s="250"/>
      <c r="E57" s="250"/>
      <c r="F57" s="180"/>
      <c r="G57" s="205"/>
      <c r="H57" s="224"/>
    </row>
    <row r="58" spans="1:8" ht="14.1" customHeight="1" x14ac:dyDescent="0.2">
      <c r="A58" s="159" t="s">
        <v>514</v>
      </c>
      <c r="B58" s="179">
        <f>B42*(B11/10)/100</f>
        <v>6.1559134080361062</v>
      </c>
      <c r="C58" s="179">
        <f>C42*(C11/10)/100</f>
        <v>6.1559134080361062</v>
      </c>
      <c r="D58" s="179">
        <f>D42*(D11/10)/100</f>
        <v>6.1559134080361062</v>
      </c>
      <c r="E58" s="179">
        <f>E42*(E11/10)/100</f>
        <v>6.1559134080361062</v>
      </c>
      <c r="F58" s="180" t="s">
        <v>213</v>
      </c>
      <c r="G58" s="205" t="s">
        <v>503</v>
      </c>
      <c r="H58" s="217" t="s">
        <v>318</v>
      </c>
    </row>
    <row r="59" spans="1:8" ht="14.1" customHeight="1" x14ac:dyDescent="0.2">
      <c r="A59" s="159" t="s">
        <v>515</v>
      </c>
      <c r="B59" s="180" t="e">
        <f>B58/B56</f>
        <v>#VALUE!</v>
      </c>
      <c r="C59" s="180">
        <f>C58/C56</f>
        <v>0.41988932445951826</v>
      </c>
      <c r="D59" s="180" t="e">
        <f>D58/D56</f>
        <v>#VALUE!</v>
      </c>
      <c r="E59" s="180">
        <f>E58/E56</f>
        <v>0.41988932445951826</v>
      </c>
      <c r="F59" s="180"/>
      <c r="G59" s="205" t="s">
        <v>515</v>
      </c>
      <c r="H59" s="205" t="s">
        <v>343</v>
      </c>
    </row>
    <row r="60" spans="1:8" ht="14.1" customHeight="1" x14ac:dyDescent="0.2">
      <c r="A60" s="180" t="s">
        <v>319</v>
      </c>
      <c r="B60" s="184" t="str">
        <f>IF(B56&lt;B58,"não fissurada","fissurada")</f>
        <v>fissurada</v>
      </c>
      <c r="C60" s="184" t="str">
        <f>IF(C56&lt;C58,"não fissurada","fissurada")</f>
        <v>fissurada</v>
      </c>
      <c r="D60" s="184" t="str">
        <f>IF(D56&lt;D58,"não fissurada","fissurada")</f>
        <v>fissurada</v>
      </c>
      <c r="E60" s="184" t="str">
        <f>IF(E56&lt;E58,"não fissurada","fissurada")</f>
        <v>fissurada</v>
      </c>
      <c r="F60" s="180"/>
      <c r="G60" s="216" t="s">
        <v>516</v>
      </c>
      <c r="H60" s="217" t="s">
        <v>320</v>
      </c>
    </row>
    <row r="61" spans="1:8" ht="14.1" customHeight="1" x14ac:dyDescent="0.2">
      <c r="A61" s="205" t="s">
        <v>388</v>
      </c>
      <c r="B61" s="184"/>
      <c r="C61" s="184"/>
      <c r="D61" s="184"/>
      <c r="E61" s="184"/>
      <c r="F61" s="180"/>
      <c r="G61" s="216"/>
      <c r="H61" s="217"/>
    </row>
    <row r="62" spans="1:8" ht="14.1" customHeight="1" x14ac:dyDescent="0.2">
      <c r="A62" s="236" t="s">
        <v>406</v>
      </c>
      <c r="B62" s="225" t="e">
        <f>10*B19*(B56*100)*(B36-B53)/B54</f>
        <v>#VALUE!</v>
      </c>
      <c r="C62" s="225">
        <f>10*C19*(C56*100)*(C36-C53)/C54</f>
        <v>308.13409771681899</v>
      </c>
      <c r="D62" s="225" t="e">
        <f>10*D19*(D56*100)*(D36-D53)/D54</f>
        <v>#VALUE!</v>
      </c>
      <c r="E62" s="225">
        <f>10*E19*(E56*100)*(E36-E53)/E54</f>
        <v>320.2781554601105</v>
      </c>
      <c r="F62" s="180" t="s">
        <v>192</v>
      </c>
      <c r="G62" s="216" t="s">
        <v>563</v>
      </c>
      <c r="H62" s="217" t="s">
        <v>389</v>
      </c>
    </row>
    <row r="63" spans="1:8" ht="14.1" customHeight="1" x14ac:dyDescent="0.2">
      <c r="A63" s="216" t="s">
        <v>391</v>
      </c>
      <c r="B63" s="225"/>
      <c r="C63" s="225"/>
      <c r="D63" s="225"/>
      <c r="E63" s="225"/>
      <c r="F63" s="180"/>
      <c r="G63" s="216"/>
      <c r="H63" s="217"/>
    </row>
    <row r="64" spans="1:8" ht="14.1" customHeight="1" x14ac:dyDescent="0.2">
      <c r="A64" s="180" t="s">
        <v>468</v>
      </c>
      <c r="B64" s="179">
        <f>MIN(B25-B36+7.5*(B30/10),B25/2)</f>
        <v>6</v>
      </c>
      <c r="C64" s="179">
        <f>MIN(C25-C36+7.5*(C30/10),C25/2)</f>
        <v>6</v>
      </c>
      <c r="D64" s="179" t="e">
        <f>MIN(2.5*(D25-D36),(D25-D53)/3,D25/2)</f>
        <v>#VALUE!</v>
      </c>
      <c r="E64" s="179">
        <f>MIN(2.5*(E25-E36),(E25-E53)/3,E25/2)</f>
        <v>2.8332094271667656</v>
      </c>
      <c r="F64" s="180" t="s">
        <v>19</v>
      </c>
      <c r="G64" s="216" t="s">
        <v>567</v>
      </c>
      <c r="H64" s="224" t="s">
        <v>465</v>
      </c>
    </row>
    <row r="65" spans="1:8" ht="14.1" customHeight="1" x14ac:dyDescent="0.2">
      <c r="A65" s="180" t="s">
        <v>410</v>
      </c>
      <c r="B65" s="247">
        <f>B23*B64</f>
        <v>600</v>
      </c>
      <c r="C65" s="247">
        <f>C23*C64</f>
        <v>600</v>
      </c>
      <c r="D65" s="247" t="e">
        <f>D23*D64</f>
        <v>#VALUE!</v>
      </c>
      <c r="E65" s="247">
        <f>E23*E64</f>
        <v>283.32094271667654</v>
      </c>
      <c r="F65" s="180" t="s">
        <v>246</v>
      </c>
      <c r="G65" s="216" t="s">
        <v>466</v>
      </c>
      <c r="H65" s="224" t="s">
        <v>392</v>
      </c>
    </row>
    <row r="66" spans="1:8" ht="14.1" customHeight="1" x14ac:dyDescent="0.3">
      <c r="A66" s="236" t="s">
        <v>566</v>
      </c>
      <c r="B66" s="323" t="e">
        <f>B28/B65</f>
        <v>#VALUE!</v>
      </c>
      <c r="C66" s="323">
        <f>C28/C65</f>
        <v>9.7395605580040713E-3</v>
      </c>
      <c r="D66" s="323" t="e">
        <f>D28/D65</f>
        <v>#VALUE!</v>
      </c>
      <c r="E66" s="323">
        <f>E28/E65</f>
        <v>2.0625853771234378E-2</v>
      </c>
      <c r="F66" s="180"/>
      <c r="G66" s="216" t="s">
        <v>411</v>
      </c>
      <c r="H66" s="224" t="s">
        <v>412</v>
      </c>
    </row>
    <row r="67" spans="1:8" ht="14.1" customHeight="1" x14ac:dyDescent="0.2">
      <c r="A67" s="216" t="s">
        <v>393</v>
      </c>
      <c r="B67" s="256"/>
      <c r="C67" s="256"/>
      <c r="D67" s="225"/>
      <c r="E67" s="225"/>
      <c r="F67" s="180"/>
      <c r="G67" s="216"/>
      <c r="H67" s="217"/>
    </row>
    <row r="68" spans="1:8" ht="14.1" customHeight="1" x14ac:dyDescent="0.2">
      <c r="A68" s="180" t="s">
        <v>413</v>
      </c>
      <c r="B68" s="221" t="e">
        <f>B30*B62*3*B62/(12.5*B18*B17*B9)</f>
        <v>#VALUE!</v>
      </c>
      <c r="C68" s="221">
        <f>C30*C62*3*C62/(12.5*C18*C17*C9)</f>
        <v>0.23502696924894143</v>
      </c>
      <c r="D68" s="225" t="s">
        <v>526</v>
      </c>
      <c r="E68" s="225" t="s">
        <v>526</v>
      </c>
      <c r="F68" s="180" t="s">
        <v>18</v>
      </c>
      <c r="G68" s="237" t="s">
        <v>588</v>
      </c>
      <c r="H68" s="217" t="s">
        <v>394</v>
      </c>
    </row>
    <row r="69" spans="1:8" ht="14.1" customHeight="1" x14ac:dyDescent="0.2">
      <c r="A69" s="180" t="s">
        <v>415</v>
      </c>
      <c r="B69" s="221" t="e">
        <f>B30*B62*(4/B66+45)/(12.5*B18*B17)</f>
        <v>#VALUE!</v>
      </c>
      <c r="C69" s="221">
        <f>C30*C62*(4/C66+45)/(12.5*C18*C17)</f>
        <v>0.2971757063667303</v>
      </c>
      <c r="D69" s="225" t="s">
        <v>526</v>
      </c>
      <c r="E69" s="225" t="s">
        <v>526</v>
      </c>
      <c r="F69" s="180" t="s">
        <v>18</v>
      </c>
      <c r="G69" s="237" t="s">
        <v>589</v>
      </c>
      <c r="H69" s="217" t="s">
        <v>394</v>
      </c>
    </row>
    <row r="70" spans="1:8" ht="14.1" customHeight="1" x14ac:dyDescent="0.2">
      <c r="A70" s="180" t="s">
        <v>569</v>
      </c>
      <c r="B70" s="221" t="s">
        <v>526</v>
      </c>
      <c r="C70" s="221" t="s">
        <v>526</v>
      </c>
      <c r="D70" s="225">
        <v>0.4</v>
      </c>
      <c r="E70" s="225">
        <v>0.4</v>
      </c>
      <c r="F70" s="180"/>
      <c r="G70" s="216" t="s">
        <v>571</v>
      </c>
      <c r="H70" s="217" t="s">
        <v>570</v>
      </c>
    </row>
    <row r="71" spans="1:8" ht="14.1" customHeight="1" x14ac:dyDescent="0.3">
      <c r="A71" s="236" t="s">
        <v>572</v>
      </c>
      <c r="B71" s="221" t="s">
        <v>526</v>
      </c>
      <c r="C71" s="221" t="s">
        <v>526</v>
      </c>
      <c r="D71" s="252" t="e">
        <f>MAX((D62-(D70*D11/D66)*(1+(D17/D12)*D66))/D17,0.6*D62/D17)</f>
        <v>#VALUE!</v>
      </c>
      <c r="E71" s="252">
        <f>MAX((E62-(E70*E11/E66)*(1+(E17/E12)*E66))/E17,0.6*E62/E17)</f>
        <v>1.3200812927274515E-3</v>
      </c>
      <c r="F71" s="180"/>
      <c r="G71" s="216" t="s">
        <v>574</v>
      </c>
      <c r="H71" s="324" t="s">
        <v>573</v>
      </c>
    </row>
    <row r="72" spans="1:8" ht="14.1" customHeight="1" x14ac:dyDescent="0.2">
      <c r="A72" s="180" t="s">
        <v>577</v>
      </c>
      <c r="B72" s="221" t="s">
        <v>526</v>
      </c>
      <c r="C72" s="221" t="s">
        <v>526</v>
      </c>
      <c r="D72" s="247">
        <v>0.8</v>
      </c>
      <c r="E72" s="247">
        <v>0.8</v>
      </c>
      <c r="F72" s="180"/>
      <c r="G72" s="216" t="s">
        <v>579</v>
      </c>
      <c r="H72" s="324"/>
    </row>
    <row r="73" spans="1:8" ht="14.1" customHeight="1" x14ac:dyDescent="0.2">
      <c r="A73" s="180" t="s">
        <v>578</v>
      </c>
      <c r="B73" s="221" t="s">
        <v>526</v>
      </c>
      <c r="C73" s="221" t="s">
        <v>526</v>
      </c>
      <c r="D73" s="247">
        <v>0.5</v>
      </c>
      <c r="E73" s="247">
        <v>0.5</v>
      </c>
      <c r="F73" s="180"/>
      <c r="G73" s="216" t="s">
        <v>580</v>
      </c>
      <c r="H73" s="324"/>
    </row>
    <row r="74" spans="1:8" ht="14.1" customHeight="1" x14ac:dyDescent="0.2">
      <c r="A74" s="180" t="s">
        <v>584</v>
      </c>
      <c r="B74" s="221" t="s">
        <v>526</v>
      </c>
      <c r="C74" s="221" t="s">
        <v>526</v>
      </c>
      <c r="D74" s="225" t="e">
        <f>3.4*(D31*10)+0.425*D72*D73*D30/D66</f>
        <v>#VALUE!</v>
      </c>
      <c r="E74" s="225">
        <f>3.4*(E31*10)+0.425*E72*E73*E30/E66</f>
        <v>171.02603827064885</v>
      </c>
      <c r="F74" s="180" t="s">
        <v>18</v>
      </c>
      <c r="G74" s="216" t="s">
        <v>576</v>
      </c>
      <c r="H74" s="217" t="s">
        <v>575</v>
      </c>
    </row>
    <row r="75" spans="1:8" ht="14.1" customHeight="1" x14ac:dyDescent="0.2">
      <c r="A75" s="180" t="s">
        <v>581</v>
      </c>
      <c r="B75" s="221" t="s">
        <v>526</v>
      </c>
      <c r="C75" s="221" t="s">
        <v>526</v>
      </c>
      <c r="D75" s="225">
        <f>5*((D31*10)+D30/2)</f>
        <v>125</v>
      </c>
      <c r="E75" s="225">
        <f>5*((E31*10)+E30/2)</f>
        <v>131.25</v>
      </c>
      <c r="F75" s="180" t="s">
        <v>18</v>
      </c>
      <c r="G75" s="216" t="s">
        <v>582</v>
      </c>
      <c r="H75" s="324"/>
    </row>
    <row r="76" spans="1:8" ht="14.1" customHeight="1" x14ac:dyDescent="0.2">
      <c r="A76" s="180" t="s">
        <v>583</v>
      </c>
      <c r="B76" s="221" t="s">
        <v>526</v>
      </c>
      <c r="C76" s="221" t="s">
        <v>526</v>
      </c>
      <c r="D76" s="225" t="e">
        <f>IF(D74&lt;=D75,D74,1.3*(D25-D53)*10)</f>
        <v>#VALUE!</v>
      </c>
      <c r="E76" s="225">
        <f>IF(E74&lt;=E75,E74,1.3*(E25-E53)*10)</f>
        <v>110.49516765950386</v>
      </c>
      <c r="F76" s="180" t="s">
        <v>18</v>
      </c>
      <c r="G76" s="216" t="s">
        <v>585</v>
      </c>
      <c r="H76" s="217"/>
    </row>
    <row r="77" spans="1:8" ht="14.1" customHeight="1" x14ac:dyDescent="0.2">
      <c r="A77" s="180" t="s">
        <v>417</v>
      </c>
      <c r="B77" s="257" t="e">
        <f>IF(B60="fissurada",MIN(B68,B69),0)</f>
        <v>#VALUE!</v>
      </c>
      <c r="C77" s="257">
        <f>IF(C60="fissurada",MIN(C68,C69),0)</f>
        <v>0.23502696924894143</v>
      </c>
      <c r="D77" s="257" t="e">
        <f>IF(D60="fissurada",D71*D76,0)</f>
        <v>#VALUE!</v>
      </c>
      <c r="E77" s="257">
        <f>IF(E60="fissurada",E71*E76,0)</f>
        <v>0.14586260376409435</v>
      </c>
      <c r="F77" s="180" t="s">
        <v>18</v>
      </c>
      <c r="G77" s="216" t="s">
        <v>586</v>
      </c>
      <c r="H77" s="217" t="s">
        <v>394</v>
      </c>
    </row>
    <row r="78" spans="1:8" ht="14.1" customHeight="1" x14ac:dyDescent="0.2">
      <c r="A78" s="216" t="s">
        <v>395</v>
      </c>
      <c r="B78" s="221"/>
      <c r="C78" s="221"/>
      <c r="D78" s="180"/>
      <c r="E78" s="180"/>
      <c r="F78" s="180"/>
      <c r="G78" s="237"/>
      <c r="H78" s="217"/>
    </row>
    <row r="79" spans="1:8" ht="14.1" customHeight="1" x14ac:dyDescent="0.2">
      <c r="A79" s="180" t="s">
        <v>170</v>
      </c>
      <c r="B79" s="261">
        <f>Principal!$E$65</f>
        <v>0.3</v>
      </c>
      <c r="C79" s="261">
        <f>Principal!$E$65</f>
        <v>0.3</v>
      </c>
      <c r="D79" s="261">
        <f>Principal!$E$65</f>
        <v>0.3</v>
      </c>
      <c r="E79" s="261">
        <f>Principal!$E$65</f>
        <v>0.3</v>
      </c>
      <c r="F79" s="180" t="s">
        <v>18</v>
      </c>
      <c r="G79" s="216"/>
      <c r="H79" s="217" t="s">
        <v>396</v>
      </c>
    </row>
    <row r="80" spans="1:8" ht="14.1" customHeight="1" x14ac:dyDescent="0.2">
      <c r="A80" s="180" t="s">
        <v>84</v>
      </c>
      <c r="B80" s="238" t="e">
        <f>B77/B79</f>
        <v>#VALUE!</v>
      </c>
      <c r="C80" s="238">
        <f>C77/C79</f>
        <v>0.78342323082980481</v>
      </c>
      <c r="D80" s="238" t="e">
        <f>D77/D79</f>
        <v>#VALUE!</v>
      </c>
      <c r="E80" s="238">
        <f>E77/E79</f>
        <v>0.48620867921364785</v>
      </c>
      <c r="F80" s="180"/>
      <c r="G80" s="216" t="s">
        <v>84</v>
      </c>
      <c r="H80" s="216" t="s">
        <v>419</v>
      </c>
    </row>
    <row r="81" spans="1:10" ht="14.1" customHeight="1" x14ac:dyDescent="0.2">
      <c r="A81" s="211"/>
      <c r="B81" s="211"/>
      <c r="C81" s="211"/>
      <c r="D81" s="211"/>
      <c r="E81" s="211"/>
      <c r="F81" s="211"/>
      <c r="G81" s="211"/>
      <c r="H81" s="211"/>
    </row>
    <row r="82" spans="1:10" ht="14.1" customHeight="1" x14ac:dyDescent="0.2">
      <c r="A82" s="211"/>
      <c r="B82" s="211"/>
      <c r="C82" s="211"/>
      <c r="D82" s="211"/>
      <c r="E82" s="211"/>
      <c r="F82" s="211"/>
      <c r="G82" s="211"/>
      <c r="H82" s="211"/>
    </row>
    <row r="83" spans="1:10" ht="14.1" customHeight="1" x14ac:dyDescent="0.2">
      <c r="A83" s="211"/>
      <c r="B83" s="211"/>
      <c r="C83" s="211"/>
      <c r="D83" s="211"/>
      <c r="E83" s="211"/>
      <c r="F83" s="211"/>
      <c r="G83" s="211"/>
      <c r="H83" s="211"/>
    </row>
    <row r="84" spans="1:10" s="220" customFormat="1" ht="14.1" customHeight="1" x14ac:dyDescent="0.2">
      <c r="I84" s="222"/>
      <c r="J84" s="222"/>
    </row>
    <row r="85" spans="1:10" s="220" customFormat="1" ht="14.1" customHeight="1" x14ac:dyDescent="0.2">
      <c r="I85" s="222"/>
      <c r="J85" s="222"/>
    </row>
    <row r="86" spans="1:10" s="220" customFormat="1" ht="14.1" customHeight="1" x14ac:dyDescent="0.2">
      <c r="I86" s="222"/>
      <c r="J86" s="222"/>
    </row>
    <row r="87" spans="1:10" ht="14.1" customHeight="1" x14ac:dyDescent="0.2">
      <c r="A87" s="211"/>
      <c r="B87" s="211"/>
      <c r="C87" s="211"/>
      <c r="D87" s="211"/>
      <c r="E87" s="211"/>
      <c r="F87" s="211"/>
      <c r="G87" s="211"/>
      <c r="H87" s="211"/>
    </row>
    <row r="88" spans="1:10" ht="14.1" customHeight="1" x14ac:dyDescent="0.2">
      <c r="A88" s="211"/>
      <c r="B88" s="211"/>
      <c r="C88" s="211"/>
      <c r="D88" s="211"/>
      <c r="E88" s="211"/>
      <c r="F88" s="211"/>
      <c r="G88" s="211"/>
      <c r="H88" s="211"/>
    </row>
    <row r="89" spans="1:10" ht="14.1" customHeight="1" x14ac:dyDescent="0.2">
      <c r="A89" s="211"/>
      <c r="B89" s="211"/>
      <c r="C89" s="211"/>
      <c r="D89" s="211"/>
      <c r="E89" s="211"/>
      <c r="F89" s="211"/>
      <c r="G89" s="211"/>
      <c r="H89" s="211"/>
    </row>
    <row r="90" spans="1:10" ht="14.1" customHeight="1" x14ac:dyDescent="0.2">
      <c r="A90" s="211"/>
      <c r="B90" s="211"/>
      <c r="C90" s="211"/>
      <c r="D90" s="211"/>
      <c r="E90" s="211"/>
      <c r="F90" s="211"/>
      <c r="G90" s="211"/>
      <c r="H90" s="211"/>
    </row>
    <row r="91" spans="1:10" ht="14.1" customHeight="1" x14ac:dyDescent="0.2">
      <c r="A91" s="211"/>
      <c r="B91" s="211"/>
      <c r="C91" s="211"/>
      <c r="D91" s="211"/>
      <c r="E91" s="211"/>
      <c r="F91" s="211"/>
      <c r="G91" s="211"/>
      <c r="H91" s="211"/>
    </row>
    <row r="92" spans="1:10" ht="14.1" customHeight="1" x14ac:dyDescent="0.2">
      <c r="A92" s="211"/>
      <c r="B92" s="211"/>
      <c r="C92" s="211"/>
      <c r="D92" s="211"/>
      <c r="E92" s="211"/>
      <c r="F92" s="211"/>
      <c r="G92" s="211"/>
      <c r="H92" s="211"/>
    </row>
    <row r="93" spans="1:10" ht="14.1" customHeight="1" x14ac:dyDescent="0.2">
      <c r="A93" s="211"/>
      <c r="B93" s="211"/>
      <c r="C93" s="211"/>
      <c r="D93" s="211"/>
      <c r="E93" s="211"/>
      <c r="F93" s="211"/>
      <c r="G93" s="211"/>
      <c r="H93" s="211"/>
    </row>
    <row r="94" spans="1:10" ht="14.1" customHeight="1" x14ac:dyDescent="0.2">
      <c r="A94" s="211"/>
      <c r="B94" s="211"/>
      <c r="C94" s="211"/>
      <c r="D94" s="211"/>
      <c r="E94" s="211"/>
      <c r="F94" s="211"/>
      <c r="G94" s="211"/>
      <c r="H94" s="211"/>
    </row>
    <row r="95" spans="1:10" ht="14.1" customHeight="1" x14ac:dyDescent="0.2">
      <c r="A95" s="211"/>
      <c r="B95" s="211"/>
      <c r="C95" s="211"/>
      <c r="D95" s="211"/>
      <c r="E95" s="211"/>
      <c r="F95" s="211"/>
      <c r="G95" s="211"/>
      <c r="H95" s="211"/>
    </row>
    <row r="96" spans="1:10" ht="14.1" customHeight="1" x14ac:dyDescent="0.2">
      <c r="A96" s="211"/>
      <c r="B96" s="211"/>
      <c r="C96" s="211"/>
      <c r="D96" s="211"/>
      <c r="E96" s="211"/>
      <c r="F96" s="211"/>
      <c r="G96" s="211"/>
      <c r="H96" s="211"/>
    </row>
    <row r="97" spans="1:8" ht="14.1" customHeight="1" x14ac:dyDescent="0.2">
      <c r="A97" s="211"/>
      <c r="B97" s="211"/>
      <c r="C97" s="211"/>
      <c r="D97" s="211"/>
      <c r="E97" s="211"/>
      <c r="F97" s="211"/>
      <c r="G97" s="211"/>
      <c r="H97" s="211"/>
    </row>
    <row r="98" spans="1:8" ht="14.1" customHeight="1" x14ac:dyDescent="0.2">
      <c r="A98" s="211"/>
      <c r="B98" s="211"/>
      <c r="C98" s="211"/>
      <c r="D98" s="211"/>
      <c r="E98" s="211"/>
      <c r="F98" s="211"/>
      <c r="G98" s="211"/>
      <c r="H98" s="211"/>
    </row>
    <row r="99" spans="1:8" ht="14.1" customHeight="1" x14ac:dyDescent="0.2">
      <c r="A99" s="211"/>
      <c r="B99" s="211"/>
      <c r="C99" s="211"/>
      <c r="D99" s="211"/>
      <c r="E99" s="211"/>
      <c r="F99" s="211"/>
      <c r="G99" s="211"/>
      <c r="H99" s="211"/>
    </row>
    <row r="100" spans="1:8" ht="14.1" customHeight="1" x14ac:dyDescent="0.2">
      <c r="A100" s="211"/>
      <c r="B100" s="211"/>
      <c r="C100" s="211"/>
      <c r="D100" s="211"/>
      <c r="E100" s="211"/>
      <c r="F100" s="211"/>
      <c r="G100" s="211"/>
      <c r="H100" s="211"/>
    </row>
    <row r="101" spans="1:8" ht="14.1" customHeight="1" x14ac:dyDescent="0.2">
      <c r="A101" s="211"/>
      <c r="B101" s="211"/>
      <c r="C101" s="211"/>
      <c r="D101" s="211"/>
      <c r="E101" s="211"/>
      <c r="F101" s="211"/>
      <c r="G101" s="211"/>
      <c r="H101" s="211"/>
    </row>
    <row r="102" spans="1:8" ht="14.1" customHeight="1" x14ac:dyDescent="0.2">
      <c r="A102" s="211"/>
      <c r="B102" s="211"/>
      <c r="C102" s="211"/>
      <c r="D102" s="211"/>
      <c r="E102" s="211"/>
      <c r="F102" s="211"/>
      <c r="G102" s="211"/>
      <c r="H102" s="211"/>
    </row>
    <row r="103" spans="1:8" ht="14.1" customHeight="1" x14ac:dyDescent="0.2">
      <c r="A103" s="211"/>
      <c r="B103" s="211"/>
      <c r="C103" s="211"/>
      <c r="D103" s="211"/>
      <c r="E103" s="211"/>
      <c r="F103" s="211"/>
      <c r="G103" s="211"/>
      <c r="H103" s="211"/>
    </row>
    <row r="104" spans="1:8" ht="14.1" customHeight="1" x14ac:dyDescent="0.2">
      <c r="A104" s="211"/>
      <c r="B104" s="211"/>
      <c r="C104" s="211"/>
      <c r="D104" s="211"/>
      <c r="E104" s="211"/>
      <c r="F104" s="211"/>
      <c r="G104" s="211"/>
      <c r="H104" s="211"/>
    </row>
    <row r="105" spans="1:8" ht="14.1" customHeight="1" x14ac:dyDescent="0.2">
      <c r="A105" s="211"/>
      <c r="B105" s="211"/>
      <c r="C105" s="211"/>
      <c r="D105" s="211"/>
      <c r="E105" s="211"/>
      <c r="F105" s="211"/>
      <c r="G105" s="211"/>
      <c r="H105" s="211"/>
    </row>
    <row r="106" spans="1:8" ht="14.1" customHeight="1" x14ac:dyDescent="0.2">
      <c r="A106" s="211"/>
      <c r="B106" s="211"/>
      <c r="C106" s="211"/>
      <c r="D106" s="211"/>
      <c r="E106" s="211"/>
      <c r="F106" s="211"/>
      <c r="G106" s="211"/>
      <c r="H106" s="211"/>
    </row>
    <row r="107" spans="1:8" ht="14.1" customHeight="1" x14ac:dyDescent="0.2">
      <c r="A107" s="211"/>
      <c r="B107" s="211"/>
      <c r="C107" s="211"/>
      <c r="D107" s="211"/>
      <c r="E107" s="211"/>
      <c r="F107" s="211"/>
      <c r="G107" s="211"/>
      <c r="H107" s="211"/>
    </row>
    <row r="108" spans="1:8" ht="14.1" customHeight="1" x14ac:dyDescent="0.2">
      <c r="A108" s="211"/>
      <c r="B108" s="211"/>
      <c r="C108" s="211"/>
      <c r="D108" s="211"/>
      <c r="E108" s="211"/>
      <c r="F108" s="211"/>
      <c r="G108" s="211"/>
      <c r="H108" s="211"/>
    </row>
    <row r="109" spans="1:8" ht="14.1" customHeight="1" x14ac:dyDescent="0.2">
      <c r="A109" s="211"/>
      <c r="B109" s="211"/>
      <c r="C109" s="211"/>
      <c r="D109" s="211"/>
      <c r="E109" s="211"/>
      <c r="F109" s="211"/>
      <c r="G109" s="211"/>
      <c r="H109" s="211"/>
    </row>
    <row r="110" spans="1:8" ht="14.1" customHeight="1" x14ac:dyDescent="0.2">
      <c r="A110" s="211"/>
      <c r="B110" s="211"/>
      <c r="C110" s="211"/>
      <c r="D110" s="211"/>
      <c r="E110" s="211"/>
      <c r="F110" s="211"/>
      <c r="G110" s="211"/>
      <c r="H110" s="211"/>
    </row>
    <row r="111" spans="1:8" ht="15" customHeight="1" x14ac:dyDescent="0.2">
      <c r="B111" s="253"/>
      <c r="C111" s="253"/>
      <c r="D111" s="253"/>
      <c r="E111" s="253"/>
    </row>
    <row r="112" spans="1:8" ht="15" customHeight="1" x14ac:dyDescent="0.2">
      <c r="B112" s="253"/>
      <c r="C112" s="253"/>
      <c r="D112" s="253"/>
      <c r="E112" s="253"/>
    </row>
    <row r="113" spans="2:5" ht="15" customHeight="1" x14ac:dyDescent="0.2">
      <c r="B113" s="253"/>
      <c r="C113" s="253"/>
      <c r="D113" s="253"/>
      <c r="E113" s="253"/>
    </row>
    <row r="114" spans="2:5" ht="15" customHeight="1" x14ac:dyDescent="0.2">
      <c r="B114" s="253"/>
      <c r="C114" s="253"/>
      <c r="D114" s="253"/>
      <c r="E114" s="253"/>
    </row>
    <row r="115" spans="2:5" ht="15" customHeight="1" x14ac:dyDescent="0.2">
      <c r="B115" s="253"/>
      <c r="C115" s="253"/>
      <c r="D115" s="253"/>
      <c r="E115" s="253"/>
    </row>
    <row r="116" spans="2:5" ht="15" customHeight="1" x14ac:dyDescent="0.2"/>
    <row r="117" spans="2:5" ht="15" customHeight="1" x14ac:dyDescent="0.2"/>
    <row r="118" spans="2:5" ht="15" customHeight="1" x14ac:dyDescent="0.2"/>
    <row r="119" spans="2:5" ht="15" customHeight="1" x14ac:dyDescent="0.2"/>
    <row r="120" spans="2:5" ht="15" customHeight="1" x14ac:dyDescent="0.2"/>
    <row r="121" spans="2:5" ht="15" customHeight="1" x14ac:dyDescent="0.2"/>
    <row r="122" spans="2:5" ht="15" customHeight="1" x14ac:dyDescent="0.2"/>
    <row r="123" spans="2:5" ht="15" customHeight="1" x14ac:dyDescent="0.2"/>
    <row r="124" spans="2:5" ht="15" customHeight="1" x14ac:dyDescent="0.2"/>
    <row r="125" spans="2:5" ht="15" customHeight="1" x14ac:dyDescent="0.2"/>
    <row r="126" spans="2:5" ht="15" customHeight="1" x14ac:dyDescent="0.2"/>
    <row r="127" spans="2:5" ht="15" customHeight="1" x14ac:dyDescent="0.2"/>
    <row r="128" spans="2:5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</sheetData>
  <phoneticPr fontId="25" type="noConversion"/>
  <conditionalFormatting sqref="B80:E80">
    <cfRule type="cellIs" dxfId="6" priority="1" stopIfTrue="1" operator="greaterThan">
      <formula>1</formula>
    </cfRule>
  </conditionalFormatting>
  <conditionalFormatting sqref="B50:E54">
    <cfRule type="expression" dxfId="5" priority="2" stopIfTrue="1">
      <formula>#REF!="C2"</formula>
    </cfRule>
  </conditionalFormatting>
  <printOptions horizontalCentered="1" verticalCentered="1"/>
  <pageMargins left="0" right="0.11811023622047245" top="0.62992125984251968" bottom="0.59055118110236227" header="0.51181102362204722" footer="0.51181102362204722"/>
  <pageSetup paperSize="9" scale="75" orientation="landscape" blackAndWhite="1" horizontalDpi="4294967294" r:id="rId1"/>
  <headerFooter alignWithMargins="0"/>
  <rowBreaks count="1" manualBreakCount="1">
    <brk id="40" max="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8"/>
  <sheetViews>
    <sheetView showGridLines="0" topLeftCell="A52" zoomScale="117" zoomScaleNormal="117" zoomScaleSheetLayoutView="150" workbookViewId="0">
      <selection activeCell="C31" sqref="C31"/>
    </sheetView>
  </sheetViews>
  <sheetFormatPr defaultRowHeight="12.75" x14ac:dyDescent="0.2"/>
  <cols>
    <col min="1" max="1" width="10.7109375" style="240" customWidth="1"/>
    <col min="2" max="3" width="10.7109375" style="210" customWidth="1"/>
    <col min="4" max="4" width="10.7109375" style="240" customWidth="1"/>
    <col min="5" max="5" width="66.7109375" style="241" customWidth="1"/>
    <col min="6" max="6" width="75.7109375" style="254" customWidth="1"/>
    <col min="7" max="7" width="6.140625" style="210" bestFit="1" customWidth="1"/>
    <col min="8" max="8" width="10.7109375" style="210" bestFit="1" customWidth="1"/>
    <col min="9" max="16384" width="9.140625" style="211"/>
  </cols>
  <sheetData>
    <row r="1" spans="1:10" ht="14.1" customHeight="1" x14ac:dyDescent="0.2">
      <c r="A1" s="206" t="s">
        <v>9</v>
      </c>
      <c r="B1" s="207"/>
      <c r="C1" s="207"/>
      <c r="D1" s="208"/>
      <c r="E1" s="208" t="s">
        <v>10</v>
      </c>
      <c r="F1" s="209" t="s">
        <v>92</v>
      </c>
    </row>
    <row r="2" spans="1:10" ht="14.1" customHeight="1" x14ac:dyDescent="0.2">
      <c r="A2" s="212" t="s">
        <v>188</v>
      </c>
      <c r="B2" s="213"/>
      <c r="C2" s="213"/>
      <c r="D2" s="214"/>
      <c r="E2" s="214" t="s">
        <v>189</v>
      </c>
      <c r="F2" s="215" t="s">
        <v>190</v>
      </c>
    </row>
    <row r="3" spans="1:10" s="220" customFormat="1" ht="14.1" customHeight="1" x14ac:dyDescent="0.2">
      <c r="A3" s="216" t="s">
        <v>471</v>
      </c>
      <c r="B3" s="217"/>
      <c r="C3" s="217"/>
      <c r="D3" s="180"/>
      <c r="E3" s="216"/>
      <c r="F3" s="217"/>
      <c r="G3" s="218"/>
      <c r="H3" s="218"/>
      <c r="I3" s="219"/>
      <c r="J3" s="219"/>
    </row>
    <row r="4" spans="1:10" s="220" customFormat="1" ht="14.1" customHeight="1" x14ac:dyDescent="0.2">
      <c r="A4" s="216" t="s">
        <v>191</v>
      </c>
      <c r="B4" s="221"/>
      <c r="C4" s="221"/>
      <c r="D4" s="180"/>
      <c r="E4" s="216"/>
      <c r="F4" s="217"/>
      <c r="G4" s="222"/>
      <c r="H4" s="222"/>
    </row>
    <row r="5" spans="1:10" s="220" customFormat="1" ht="14.1" customHeight="1" x14ac:dyDescent="0.2">
      <c r="A5" s="180" t="s">
        <v>319</v>
      </c>
      <c r="B5" s="221" t="s">
        <v>2</v>
      </c>
      <c r="C5" s="221" t="s">
        <v>95</v>
      </c>
      <c r="D5" s="180"/>
      <c r="E5" s="216"/>
      <c r="F5" s="217"/>
      <c r="G5" s="222"/>
      <c r="H5" s="222"/>
    </row>
    <row r="6" spans="1:10" ht="14.1" customHeight="1" x14ac:dyDescent="0.2">
      <c r="A6" s="159" t="s">
        <v>232</v>
      </c>
      <c r="B6" s="260">
        <f>Principal!$D$10</f>
        <v>25</v>
      </c>
      <c r="C6" s="260">
        <f>Principal!$D$10</f>
        <v>25</v>
      </c>
      <c r="D6" s="180" t="s">
        <v>192</v>
      </c>
      <c r="E6" s="216"/>
      <c r="F6" s="245" t="s">
        <v>193</v>
      </c>
    </row>
    <row r="7" spans="1:10" ht="14.1" customHeight="1" x14ac:dyDescent="0.2">
      <c r="A7" s="159" t="s">
        <v>330</v>
      </c>
      <c r="B7" s="221">
        <f>0.3*B6^(2/3)</f>
        <v>2.5649639200150443</v>
      </c>
      <c r="C7" s="221">
        <f>0.3*C6^(2/3)</f>
        <v>2.5649639200150443</v>
      </c>
      <c r="D7" s="180" t="s">
        <v>192</v>
      </c>
      <c r="E7" s="216" t="s">
        <v>331</v>
      </c>
      <c r="F7" s="245" t="s">
        <v>308</v>
      </c>
    </row>
    <row r="8" spans="1:10" ht="14.1" customHeight="1" x14ac:dyDescent="0.2">
      <c r="A8" s="159" t="s">
        <v>397</v>
      </c>
      <c r="B8" s="221">
        <f>0.7*B7</f>
        <v>1.7954747440105308</v>
      </c>
      <c r="C8" s="221">
        <f>0.7*C7</f>
        <v>1.7954747440105308</v>
      </c>
      <c r="D8" s="180" t="s">
        <v>192</v>
      </c>
      <c r="E8" s="205" t="s">
        <v>398</v>
      </c>
      <c r="F8" s="224" t="s">
        <v>381</v>
      </c>
    </row>
    <row r="9" spans="1:10" ht="14.1" customHeight="1" x14ac:dyDescent="0.2">
      <c r="A9" s="159" t="s">
        <v>399</v>
      </c>
      <c r="B9" s="221">
        <f>1.2*B8</f>
        <v>2.154569692812637</v>
      </c>
      <c r="C9" s="221">
        <f>1.2*C8</f>
        <v>2.154569692812637</v>
      </c>
      <c r="D9" s="180" t="s">
        <v>192</v>
      </c>
      <c r="E9" s="205" t="s">
        <v>420</v>
      </c>
      <c r="F9" s="217" t="s">
        <v>309</v>
      </c>
    </row>
    <row r="10" spans="1:10" ht="14.1" customHeight="1" x14ac:dyDescent="0.2">
      <c r="A10" s="159" t="s">
        <v>332</v>
      </c>
      <c r="B10" s="229">
        <f>4760*SQRT(B6)</f>
        <v>23800</v>
      </c>
      <c r="C10" s="229">
        <f>4760*SQRT(C6)</f>
        <v>23800</v>
      </c>
      <c r="D10" s="180" t="s">
        <v>192</v>
      </c>
      <c r="E10" s="205" t="s">
        <v>333</v>
      </c>
      <c r="F10" s="217" t="s">
        <v>310</v>
      </c>
    </row>
    <row r="11" spans="1:10" ht="14.1" customHeight="1" x14ac:dyDescent="0.2">
      <c r="A11" s="216" t="s">
        <v>197</v>
      </c>
      <c r="B11" s="221"/>
      <c r="C11" s="221"/>
      <c r="D11" s="180"/>
      <c r="E11" s="216"/>
      <c r="F11" s="217"/>
    </row>
    <row r="12" spans="1:10" ht="14.1" customHeight="1" x14ac:dyDescent="0.2">
      <c r="A12" s="159" t="s">
        <v>236</v>
      </c>
      <c r="B12" s="260">
        <f>Principal!$D$14</f>
        <v>500</v>
      </c>
      <c r="C12" s="260">
        <f>Principal!$D$14</f>
        <v>500</v>
      </c>
      <c r="D12" s="180" t="s">
        <v>192</v>
      </c>
      <c r="E12" s="216"/>
      <c r="F12" s="224" t="s">
        <v>198</v>
      </c>
    </row>
    <row r="13" spans="1:10" ht="14.1" customHeight="1" x14ac:dyDescent="0.2">
      <c r="A13" s="159" t="s">
        <v>239</v>
      </c>
      <c r="B13" s="223">
        <v>210000</v>
      </c>
      <c r="C13" s="223">
        <v>210000</v>
      </c>
      <c r="D13" s="180" t="s">
        <v>192</v>
      </c>
      <c r="E13" s="230">
        <v>210000</v>
      </c>
      <c r="F13" s="217" t="s">
        <v>201</v>
      </c>
    </row>
    <row r="14" spans="1:10" ht="14.1" customHeight="1" x14ac:dyDescent="0.3">
      <c r="A14" s="159" t="s">
        <v>142</v>
      </c>
      <c r="B14" s="221">
        <f>B13/B10</f>
        <v>8.8235294117647065</v>
      </c>
      <c r="C14" s="221">
        <f>C13/C10</f>
        <v>8.8235294117647065</v>
      </c>
      <c r="D14" s="180"/>
      <c r="E14" s="216" t="s">
        <v>157</v>
      </c>
      <c r="F14" s="217" t="s">
        <v>334</v>
      </c>
    </row>
    <row r="15" spans="1:10" ht="14.1" customHeight="1" x14ac:dyDescent="0.2">
      <c r="A15" s="236" t="s">
        <v>156</v>
      </c>
      <c r="B15" s="227">
        <f>IF(B12=250,1,IF(B12=500,2.25,1.4))</f>
        <v>2.25</v>
      </c>
      <c r="C15" s="227">
        <f>IF(C12=250,1,IF(C12=500,2.25,1.4))</f>
        <v>2.25</v>
      </c>
      <c r="D15" s="180"/>
      <c r="E15" s="205" t="s">
        <v>400</v>
      </c>
      <c r="F15" s="217" t="s">
        <v>382</v>
      </c>
    </row>
    <row r="16" spans="1:10" s="232" customFormat="1" ht="14.1" customHeight="1" x14ac:dyDescent="0.2">
      <c r="A16" s="216" t="s">
        <v>205</v>
      </c>
      <c r="B16" s="217"/>
      <c r="C16" s="217"/>
      <c r="D16" s="180"/>
      <c r="E16" s="216" t="s">
        <v>359</v>
      </c>
      <c r="F16" s="217"/>
      <c r="G16" s="218"/>
      <c r="H16" s="218"/>
    </row>
    <row r="17" spans="1:6" ht="14.1" customHeight="1" x14ac:dyDescent="0.2">
      <c r="A17" s="180" t="s">
        <v>279</v>
      </c>
      <c r="B17" s="223">
        <v>100</v>
      </c>
      <c r="C17" s="223">
        <v>100</v>
      </c>
      <c r="D17" s="180" t="s">
        <v>19</v>
      </c>
      <c r="E17" s="216"/>
      <c r="F17" s="245" t="s">
        <v>206</v>
      </c>
    </row>
    <row r="18" spans="1:6" ht="14.1" customHeight="1" x14ac:dyDescent="0.2">
      <c r="A18" s="180" t="s">
        <v>280</v>
      </c>
      <c r="B18" s="261">
        <f>Principal!$R$19</f>
        <v>100</v>
      </c>
      <c r="C18" s="261">
        <f>Principal!$R$19</f>
        <v>100</v>
      </c>
      <c r="D18" s="180" t="s">
        <v>19</v>
      </c>
      <c r="E18" s="216"/>
      <c r="F18" s="224" t="s">
        <v>268</v>
      </c>
    </row>
    <row r="19" spans="1:6" ht="14.1" customHeight="1" x14ac:dyDescent="0.2">
      <c r="A19" s="180" t="s">
        <v>139</v>
      </c>
      <c r="B19" s="260">
        <f>Principal!$R$12</f>
        <v>12</v>
      </c>
      <c r="C19" s="260">
        <f>Principal!$R$12</f>
        <v>12</v>
      </c>
      <c r="D19" s="180" t="s">
        <v>19</v>
      </c>
      <c r="E19" s="216"/>
      <c r="F19" s="245" t="s">
        <v>207</v>
      </c>
    </row>
    <row r="20" spans="1:6" ht="14.1" customHeight="1" x14ac:dyDescent="0.2">
      <c r="A20" s="180" t="s">
        <v>281</v>
      </c>
      <c r="B20" s="260">
        <f>Principal!$AA$8</f>
        <v>12</v>
      </c>
      <c r="C20" s="260">
        <f>Principal!$AA$8</f>
        <v>12</v>
      </c>
      <c r="D20" s="180" t="s">
        <v>19</v>
      </c>
      <c r="E20" s="216"/>
      <c r="F20" s="224" t="s">
        <v>270</v>
      </c>
    </row>
    <row r="21" spans="1:6" ht="14.1" customHeight="1" x14ac:dyDescent="0.2">
      <c r="A21" s="180" t="s">
        <v>448</v>
      </c>
      <c r="B21" s="261">
        <f>Principal!$R$20+1</f>
        <v>3</v>
      </c>
      <c r="C21" s="261">
        <f>Principal!$R$20+1</f>
        <v>3</v>
      </c>
      <c r="D21" s="180" t="s">
        <v>19</v>
      </c>
      <c r="E21" s="216"/>
      <c r="F21" s="216" t="s">
        <v>449</v>
      </c>
    </row>
    <row r="22" spans="1:6" ht="14.1" customHeight="1" x14ac:dyDescent="0.2">
      <c r="A22" s="180" t="s">
        <v>209</v>
      </c>
      <c r="B22" s="261">
        <f>Principal!$R$20+1</f>
        <v>3</v>
      </c>
      <c r="C22" s="261">
        <f>Principal!$R$20+1</f>
        <v>3</v>
      </c>
      <c r="D22" s="180" t="s">
        <v>19</v>
      </c>
      <c r="E22" s="216"/>
      <c r="F22" s="224" t="s">
        <v>450</v>
      </c>
    </row>
    <row r="23" spans="1:6" ht="14.1" customHeight="1" x14ac:dyDescent="0.2">
      <c r="A23" s="180" t="s">
        <v>14</v>
      </c>
      <c r="B23" s="225">
        <f>B19-B21</f>
        <v>9</v>
      </c>
      <c r="C23" s="225">
        <f>C19-C21</f>
        <v>9</v>
      </c>
      <c r="D23" s="180" t="s">
        <v>19</v>
      </c>
      <c r="E23" s="216" t="s">
        <v>456</v>
      </c>
      <c r="F23" s="245" t="s">
        <v>208</v>
      </c>
    </row>
    <row r="24" spans="1:6" ht="14.1" customHeight="1" x14ac:dyDescent="0.2">
      <c r="A24" s="180" t="s">
        <v>209</v>
      </c>
      <c r="B24" s="227">
        <f>B22</f>
        <v>3</v>
      </c>
      <c r="C24" s="227">
        <f>C22</f>
        <v>3</v>
      </c>
      <c r="D24" s="180" t="s">
        <v>19</v>
      </c>
      <c r="E24" s="216" t="s">
        <v>209</v>
      </c>
      <c r="F24" s="245" t="s">
        <v>210</v>
      </c>
    </row>
    <row r="25" spans="1:6" ht="14.1" customHeight="1" x14ac:dyDescent="0.2">
      <c r="A25" s="180" t="s">
        <v>245</v>
      </c>
      <c r="B25" s="229">
        <f>(B17-B18)*B20+B18*B19</f>
        <v>1200</v>
      </c>
      <c r="C25" s="229">
        <f>(C17-C18)*C20+C18*C19</f>
        <v>1200</v>
      </c>
      <c r="D25" s="180" t="s">
        <v>246</v>
      </c>
      <c r="E25" s="216" t="s">
        <v>282</v>
      </c>
      <c r="F25" s="224" t="s">
        <v>211</v>
      </c>
    </row>
    <row r="26" spans="1:6" ht="14.1" customHeight="1" x14ac:dyDescent="0.2">
      <c r="A26" s="180" t="s">
        <v>362</v>
      </c>
      <c r="B26" s="227">
        <f>0.5*(B18*B19^2+(B17-B18)*B20^2)/(B18*B19+(B17-B18)*B20)</f>
        <v>6</v>
      </c>
      <c r="C26" s="227">
        <f>0.5*(C18*C19^2+(C17-C18)*C20^2)/(C18*C19+(C17-C18)*C20)</f>
        <v>6</v>
      </c>
      <c r="D26" s="180" t="s">
        <v>19</v>
      </c>
      <c r="E26" s="216" t="s">
        <v>363</v>
      </c>
      <c r="F26" s="245" t="s">
        <v>360</v>
      </c>
    </row>
    <row r="27" spans="1:6" ht="14.1" customHeight="1" x14ac:dyDescent="0.2">
      <c r="A27" s="180" t="s">
        <v>335</v>
      </c>
      <c r="B27" s="229">
        <f>B18*B19^3/12+B18*B19*(B19/2-B26)^2+(B17-B18)*B20^3/12+(B17-B18)*B20*(B26-B20/2)^2</f>
        <v>14400</v>
      </c>
      <c r="C27" s="229">
        <f>C18*C19^3/12+C18*C19*(C19/2-C26)^2+(C17-C18)*C20^3/12+(C17-C18)*C20*(C26-C20/2)^2</f>
        <v>14400</v>
      </c>
      <c r="D27" s="159" t="s">
        <v>336</v>
      </c>
      <c r="E27" s="216" t="s">
        <v>364</v>
      </c>
      <c r="F27" s="217" t="s">
        <v>361</v>
      </c>
    </row>
    <row r="28" spans="1:6" ht="14.1" customHeight="1" x14ac:dyDescent="0.2">
      <c r="A28" s="180" t="s">
        <v>337</v>
      </c>
      <c r="B28" s="227">
        <f>B19-B26</f>
        <v>6</v>
      </c>
      <c r="C28" s="227">
        <f>C19-C26</f>
        <v>6</v>
      </c>
      <c r="D28" s="180" t="s">
        <v>19</v>
      </c>
      <c r="E28" s="216" t="s">
        <v>365</v>
      </c>
      <c r="F28" s="217" t="s">
        <v>311</v>
      </c>
    </row>
    <row r="29" spans="1:6" ht="14.1" customHeight="1" x14ac:dyDescent="0.2">
      <c r="A29" s="180" t="s">
        <v>338</v>
      </c>
      <c r="B29" s="229">
        <f>B27/B28</f>
        <v>2400</v>
      </c>
      <c r="C29" s="229">
        <f>C27/C28</f>
        <v>2400</v>
      </c>
      <c r="D29" s="180" t="s">
        <v>339</v>
      </c>
      <c r="E29" s="216" t="s">
        <v>340</v>
      </c>
      <c r="F29" s="217" t="s">
        <v>312</v>
      </c>
    </row>
    <row r="30" spans="1:6" ht="14.1" customHeight="1" x14ac:dyDescent="0.2">
      <c r="A30" s="205" t="s">
        <v>315</v>
      </c>
      <c r="B30" s="255"/>
      <c r="C30" s="255"/>
      <c r="D30" s="180"/>
      <c r="E30" s="205"/>
      <c r="F30" s="224"/>
    </row>
    <row r="31" spans="1:6" ht="14.1" customHeight="1" x14ac:dyDescent="0.2">
      <c r="A31" s="159" t="s">
        <v>138</v>
      </c>
      <c r="B31" s="261">
        <f>Principal!$E$39</f>
        <v>3.3510321638291134</v>
      </c>
      <c r="C31" s="261">
        <f>Principal!$G$39</f>
        <v>2.2266037932317659</v>
      </c>
      <c r="D31" s="180" t="s">
        <v>246</v>
      </c>
      <c r="E31" s="205"/>
      <c r="F31" s="224" t="s">
        <v>229</v>
      </c>
    </row>
    <row r="32" spans="1:6" ht="14.1" customHeight="1" x14ac:dyDescent="0.2">
      <c r="A32" s="159" t="s">
        <v>261</v>
      </c>
      <c r="B32" s="261">
        <f>Principal!$E$40</f>
        <v>0</v>
      </c>
      <c r="C32" s="261">
        <f>Principal!$G$40</f>
        <v>0</v>
      </c>
      <c r="D32" s="180" t="s">
        <v>246</v>
      </c>
      <c r="E32" s="205"/>
      <c r="F32" s="224" t="s">
        <v>227</v>
      </c>
    </row>
    <row r="33" spans="1:6" ht="14.1" customHeight="1" x14ac:dyDescent="0.2">
      <c r="A33" s="205" t="s">
        <v>383</v>
      </c>
      <c r="B33" s="255"/>
      <c r="C33" s="255"/>
      <c r="D33" s="180"/>
      <c r="E33" s="205"/>
      <c r="F33" s="224"/>
    </row>
    <row r="34" spans="1:6" ht="14.1" customHeight="1" x14ac:dyDescent="0.2">
      <c r="A34" s="236" t="s">
        <v>22</v>
      </c>
      <c r="B34" s="263">
        <f>Principal!$E$33</f>
        <v>8</v>
      </c>
      <c r="C34" s="263">
        <f>Principal!$G$33</f>
        <v>6.3</v>
      </c>
      <c r="D34" s="180" t="s">
        <v>18</v>
      </c>
      <c r="E34" s="216"/>
      <c r="F34" s="217" t="s">
        <v>384</v>
      </c>
    </row>
    <row r="35" spans="1:6" ht="14.1" customHeight="1" x14ac:dyDescent="0.2">
      <c r="A35" s="216" t="s">
        <v>385</v>
      </c>
      <c r="B35" s="255"/>
      <c r="C35" s="255"/>
      <c r="D35" s="180"/>
      <c r="E35" s="205"/>
      <c r="F35" s="224"/>
    </row>
    <row r="36" spans="1:6" ht="14.1" customHeight="1" x14ac:dyDescent="0.2">
      <c r="A36" s="159" t="s">
        <v>401</v>
      </c>
      <c r="B36" s="261">
        <f>Principal!$E$60</f>
        <v>8.4549850000000006</v>
      </c>
      <c r="C36" s="261">
        <f>Principal!$G$60</f>
        <v>5.8288999999999991</v>
      </c>
      <c r="D36" s="180" t="s">
        <v>213</v>
      </c>
      <c r="E36" s="205"/>
      <c r="F36" s="217" t="s">
        <v>386</v>
      </c>
    </row>
    <row r="37" spans="1:6" ht="14.1" customHeight="1" x14ac:dyDescent="0.2">
      <c r="A37" s="205" t="s">
        <v>317</v>
      </c>
      <c r="B37" s="255"/>
      <c r="C37" s="255"/>
      <c r="D37" s="180"/>
      <c r="E37" s="205"/>
      <c r="F37" s="224"/>
    </row>
    <row r="38" spans="1:6" ht="14.1" customHeight="1" x14ac:dyDescent="0.2">
      <c r="A38" s="159" t="s">
        <v>402</v>
      </c>
      <c r="B38" s="227">
        <f>B29*B9/10/100</f>
        <v>5.1709672627503291</v>
      </c>
      <c r="C38" s="227">
        <f>C29*C9/10/100</f>
        <v>5.1709672627503291</v>
      </c>
      <c r="D38" s="180" t="s">
        <v>213</v>
      </c>
      <c r="E38" s="205" t="s">
        <v>403</v>
      </c>
      <c r="F38" s="217" t="s">
        <v>387</v>
      </c>
    </row>
    <row r="39" spans="1:6" ht="14.1" customHeight="1" x14ac:dyDescent="0.2">
      <c r="A39" s="159" t="s">
        <v>404</v>
      </c>
      <c r="B39" s="221">
        <f>B38/B36</f>
        <v>0.61158798776701895</v>
      </c>
      <c r="C39" s="221">
        <f>C38/C36</f>
        <v>0.88712574632440599</v>
      </c>
      <c r="D39" s="180"/>
      <c r="E39" s="205" t="s">
        <v>404</v>
      </c>
      <c r="F39" s="205" t="s">
        <v>464</v>
      </c>
    </row>
    <row r="40" spans="1:6" ht="14.1" customHeight="1" x14ac:dyDescent="0.2">
      <c r="A40" s="180" t="s">
        <v>319</v>
      </c>
      <c r="B40" s="238" t="str">
        <f>IF(B36&lt;B38,"não fissurada","fissurada")</f>
        <v>fissurada</v>
      </c>
      <c r="C40" s="238" t="str">
        <f>IF(C36&lt;C38,"não fissurada","fissurada")</f>
        <v>fissurada</v>
      </c>
      <c r="D40" s="180"/>
      <c r="E40" s="216" t="s">
        <v>405</v>
      </c>
      <c r="F40" s="217" t="s">
        <v>320</v>
      </c>
    </row>
    <row r="41" spans="1:6" ht="14.1" customHeight="1" x14ac:dyDescent="0.2">
      <c r="A41" s="216" t="s">
        <v>366</v>
      </c>
      <c r="B41" s="238"/>
      <c r="C41" s="238"/>
      <c r="D41" s="180"/>
      <c r="E41" s="216"/>
      <c r="F41" s="217"/>
    </row>
    <row r="42" spans="1:6" ht="14.1" customHeight="1" x14ac:dyDescent="0.3">
      <c r="A42" s="180" t="s">
        <v>344</v>
      </c>
      <c r="B42" s="227">
        <f>0.5*B17</f>
        <v>50</v>
      </c>
      <c r="C42" s="227">
        <f>0.5*C17</f>
        <v>50</v>
      </c>
      <c r="D42" s="180" t="s">
        <v>19</v>
      </c>
      <c r="E42" s="216" t="s">
        <v>367</v>
      </c>
      <c r="F42" s="217" t="s">
        <v>345</v>
      </c>
    </row>
    <row r="43" spans="1:6" ht="14.1" customHeight="1" x14ac:dyDescent="0.3">
      <c r="A43" s="180" t="s">
        <v>346</v>
      </c>
      <c r="B43" s="225">
        <f>B14*B31+(B14-1)*B32</f>
        <v>29.567930857315709</v>
      </c>
      <c r="C43" s="225">
        <f>C14*C31+(C14-1)*C32</f>
        <v>19.646504057927348</v>
      </c>
      <c r="D43" s="180" t="s">
        <v>246</v>
      </c>
      <c r="E43" s="251" t="s">
        <v>347</v>
      </c>
      <c r="F43" s="217" t="s">
        <v>345</v>
      </c>
    </row>
    <row r="44" spans="1:6" ht="14.1" customHeight="1" x14ac:dyDescent="0.3">
      <c r="A44" s="180" t="s">
        <v>348</v>
      </c>
      <c r="B44" s="225">
        <f>-B14*B31*B23-(B14-1)*B32*B24</f>
        <v>-266.1113777158414</v>
      </c>
      <c r="C44" s="225">
        <f>-C14*C31*C23-(C14-1)*C32*C24</f>
        <v>-176.81853652134615</v>
      </c>
      <c r="D44" s="180" t="s">
        <v>339</v>
      </c>
      <c r="E44" s="251" t="s">
        <v>349</v>
      </c>
      <c r="F44" s="217" t="s">
        <v>345</v>
      </c>
    </row>
    <row r="45" spans="1:6" ht="14.1" customHeight="1" x14ac:dyDescent="0.2">
      <c r="A45" s="180" t="s">
        <v>368</v>
      </c>
      <c r="B45" s="227">
        <f>(-B43+SQRT(B43^2-4*B42*B44))/(2*B42)</f>
        <v>2.0301869403403803</v>
      </c>
      <c r="C45" s="227">
        <f>(-C43+SQRT(C43^2-4*C42*C44))/(2*C42)</f>
        <v>1.6942938659439082</v>
      </c>
      <c r="D45" s="180" t="s">
        <v>19</v>
      </c>
      <c r="E45" s="216" t="s">
        <v>351</v>
      </c>
      <c r="F45" s="217" t="s">
        <v>321</v>
      </c>
    </row>
    <row r="46" spans="1:6" ht="14.1" customHeight="1" x14ac:dyDescent="0.2">
      <c r="A46" s="180" t="s">
        <v>369</v>
      </c>
      <c r="B46" s="229">
        <f>B17*B45^3/3+B14*B31*(B23-B45)^2+(B14-1)*B32*(B45-B24)^2</f>
        <v>1715.2842507249202</v>
      </c>
      <c r="C46" s="229">
        <f>C17*C45^3/3+C14*C31*(C23-C45)^2+(C14-1)*C32*(C45-C24)^2</f>
        <v>1210.722705416018</v>
      </c>
      <c r="D46" s="159" t="s">
        <v>336</v>
      </c>
      <c r="E46" s="216" t="s">
        <v>370</v>
      </c>
      <c r="F46" s="217" t="s">
        <v>322</v>
      </c>
    </row>
    <row r="47" spans="1:6" ht="14.1" customHeight="1" x14ac:dyDescent="0.2">
      <c r="A47" s="216" t="s">
        <v>371</v>
      </c>
      <c r="B47" s="229"/>
      <c r="C47" s="229"/>
      <c r="D47" s="159"/>
      <c r="E47" s="216"/>
      <c r="F47" s="217"/>
    </row>
    <row r="48" spans="1:6" ht="14.1" customHeight="1" x14ac:dyDescent="0.3">
      <c r="A48" s="180" t="s">
        <v>344</v>
      </c>
      <c r="B48" s="227">
        <f>0.5*B18</f>
        <v>50</v>
      </c>
      <c r="C48" s="227">
        <f>0.5*C18</f>
        <v>50</v>
      </c>
      <c r="D48" s="180" t="s">
        <v>19</v>
      </c>
      <c r="E48" s="216" t="s">
        <v>372</v>
      </c>
      <c r="F48" s="217" t="s">
        <v>345</v>
      </c>
    </row>
    <row r="49" spans="1:6" ht="14.1" customHeight="1" x14ac:dyDescent="0.3">
      <c r="A49" s="180" t="s">
        <v>346</v>
      </c>
      <c r="B49" s="225">
        <f>(B17-B18)*B20+B14*B31+(B14-1)*B32</f>
        <v>29.567930857315709</v>
      </c>
      <c r="C49" s="225">
        <f>(C17-C18)*C20+C14*C31+(C14-1)*C32</f>
        <v>19.646504057927348</v>
      </c>
      <c r="D49" s="180" t="s">
        <v>246</v>
      </c>
      <c r="E49" s="216" t="s">
        <v>373</v>
      </c>
      <c r="F49" s="217" t="s">
        <v>345</v>
      </c>
    </row>
    <row r="50" spans="1:6" ht="14.1" customHeight="1" x14ac:dyDescent="0.3">
      <c r="A50" s="180" t="s">
        <v>348</v>
      </c>
      <c r="B50" s="225">
        <f>-(B17-B18)*B20^2/2-B14*B31*B23-(B14-1)*B32*B24</f>
        <v>-266.1113777158414</v>
      </c>
      <c r="C50" s="225">
        <f>-(C17-C18)*C20^2/2-C14*C31*C23-(C14-1)*C32*C24</f>
        <v>-176.81853652134615</v>
      </c>
      <c r="D50" s="180" t="s">
        <v>339</v>
      </c>
      <c r="E50" s="251" t="s">
        <v>374</v>
      </c>
      <c r="F50" s="217" t="s">
        <v>345</v>
      </c>
    </row>
    <row r="51" spans="1:6" ht="14.1" customHeight="1" x14ac:dyDescent="0.2">
      <c r="A51" s="180" t="s">
        <v>375</v>
      </c>
      <c r="B51" s="227">
        <f>(-B49+SQRT(B49^2-4*B48*B50))/(2*B48)</f>
        <v>2.0301869403403803</v>
      </c>
      <c r="C51" s="227">
        <f>(-C49+SQRT(C49^2-4*C48*C50))/(2*C48)</f>
        <v>1.6942938659439082</v>
      </c>
      <c r="D51" s="180" t="s">
        <v>19</v>
      </c>
      <c r="E51" s="216" t="s">
        <v>351</v>
      </c>
      <c r="F51" s="217" t="s">
        <v>321</v>
      </c>
    </row>
    <row r="52" spans="1:6" ht="14.1" customHeight="1" x14ac:dyDescent="0.2">
      <c r="A52" s="180" t="s">
        <v>376</v>
      </c>
      <c r="B52" s="229">
        <f>B18*B51^3/3+(B17-B18)*B20^3/12+(B17-B18)*B20*(B51-B20/2)^2+B14*B31*(B23-B51)^2+(B14-1)*B32*(B51-B24)^2</f>
        <v>1715.2842507249202</v>
      </c>
      <c r="C52" s="229">
        <f>C18*C51^3/3+(C17-C18)*C20^3/12+(C17-C18)*C20*(C51-C20/2)^2+C14*C31*(C23-C51)^2+(C14-1)*C32*(C51-C24)^2</f>
        <v>1210.722705416018</v>
      </c>
      <c r="D52" s="159" t="s">
        <v>336</v>
      </c>
      <c r="E52" s="216" t="s">
        <v>377</v>
      </c>
      <c r="F52" s="217" t="s">
        <v>322</v>
      </c>
    </row>
    <row r="53" spans="1:6" ht="14.1" customHeight="1" x14ac:dyDescent="0.2">
      <c r="A53" s="216" t="s">
        <v>276</v>
      </c>
      <c r="B53" s="229"/>
      <c r="C53" s="229"/>
      <c r="D53" s="159"/>
      <c r="E53" s="216"/>
      <c r="F53" s="217"/>
    </row>
    <row r="54" spans="1:6" ht="14.1" customHeight="1" x14ac:dyDescent="0.2">
      <c r="A54" s="180" t="s">
        <v>278</v>
      </c>
      <c r="B54" s="258" t="str">
        <f>IF(B45&lt;=B20,"C1","C2")</f>
        <v>C1</v>
      </c>
      <c r="C54" s="258" t="str">
        <f>IF(C45&lt;=C20,"C1","C2")</f>
        <v>C1</v>
      </c>
      <c r="D54" s="159"/>
      <c r="E54" s="216" t="s">
        <v>378</v>
      </c>
      <c r="F54" s="217"/>
    </row>
    <row r="55" spans="1:6" ht="14.1" customHeight="1" x14ac:dyDescent="0.2">
      <c r="A55" s="205" t="s">
        <v>388</v>
      </c>
      <c r="B55" s="258"/>
      <c r="C55" s="258"/>
      <c r="D55" s="159"/>
      <c r="E55" s="216"/>
      <c r="F55" s="217"/>
    </row>
    <row r="56" spans="1:6" ht="14.1" customHeight="1" x14ac:dyDescent="0.2">
      <c r="A56" s="180" t="s">
        <v>350</v>
      </c>
      <c r="B56" s="227">
        <f>IF(B54="C1",B45,B51)</f>
        <v>2.0301869403403803</v>
      </c>
      <c r="C56" s="227">
        <f>IF(C54="C1",C45,C51)</f>
        <v>1.6942938659439082</v>
      </c>
      <c r="D56" s="180" t="s">
        <v>19</v>
      </c>
      <c r="E56" s="216" t="s">
        <v>379</v>
      </c>
      <c r="F56" s="217" t="s">
        <v>321</v>
      </c>
    </row>
    <row r="57" spans="1:6" ht="14.1" customHeight="1" x14ac:dyDescent="0.2">
      <c r="A57" s="180" t="s">
        <v>352</v>
      </c>
      <c r="B57" s="229">
        <f>IF(B54="C1",B46,B52)</f>
        <v>1715.2842507249202</v>
      </c>
      <c r="C57" s="229">
        <f>IF(C54="C1",C46,C52)</f>
        <v>1210.722705416018</v>
      </c>
      <c r="D57" s="159" t="s">
        <v>336</v>
      </c>
      <c r="E57" s="216" t="s">
        <v>380</v>
      </c>
      <c r="F57" s="217" t="s">
        <v>322</v>
      </c>
    </row>
    <row r="58" spans="1:6" ht="14.1" customHeight="1" x14ac:dyDescent="0.2">
      <c r="A58" s="236" t="s">
        <v>406</v>
      </c>
      <c r="B58" s="225">
        <f>10*B14*(B36*100)*(B23-B56)/B57</f>
        <v>303.13787992035401</v>
      </c>
      <c r="C58" s="225">
        <f>10*C14*(C36*100)*(C23-C56)/C57</f>
        <v>310.34621592471615</v>
      </c>
      <c r="D58" s="180" t="s">
        <v>192</v>
      </c>
      <c r="E58" s="216" t="s">
        <v>407</v>
      </c>
      <c r="F58" s="217" t="s">
        <v>389</v>
      </c>
    </row>
    <row r="59" spans="1:6" ht="14.1" customHeight="1" x14ac:dyDescent="0.2">
      <c r="A59" s="236" t="s">
        <v>408</v>
      </c>
      <c r="B59" s="225">
        <f>10*(B36*100)/(0.9*B23*B31)</f>
        <v>311.49367049023806</v>
      </c>
      <c r="C59" s="225">
        <f>10*(C36*100)/(0.9*C23*C31)</f>
        <v>323.19054074103633</v>
      </c>
      <c r="D59" s="180" t="s">
        <v>192</v>
      </c>
      <c r="E59" s="216" t="s">
        <v>409</v>
      </c>
      <c r="F59" s="217" t="s">
        <v>390</v>
      </c>
    </row>
    <row r="60" spans="1:6" ht="14.1" customHeight="1" x14ac:dyDescent="0.2">
      <c r="A60" s="216" t="s">
        <v>391</v>
      </c>
      <c r="B60" s="225"/>
      <c r="C60" s="225"/>
      <c r="D60" s="180"/>
      <c r="E60" s="216"/>
      <c r="F60" s="217"/>
    </row>
    <row r="61" spans="1:6" ht="14.1" customHeight="1" x14ac:dyDescent="0.2">
      <c r="A61" s="180" t="s">
        <v>468</v>
      </c>
      <c r="B61" s="225">
        <f>MIN(B19-B23+7.5*(B34/10),B19/2)</f>
        <v>6</v>
      </c>
      <c r="C61" s="225">
        <f>MIN(C19-C23+7.5*(C34/10),C19/2)</f>
        <v>6</v>
      </c>
      <c r="D61" s="180" t="s">
        <v>19</v>
      </c>
      <c r="E61" s="216" t="s">
        <v>467</v>
      </c>
      <c r="F61" s="224" t="s">
        <v>465</v>
      </c>
    </row>
    <row r="62" spans="1:6" ht="14.1" customHeight="1" x14ac:dyDescent="0.2">
      <c r="A62" s="180" t="s">
        <v>410</v>
      </c>
      <c r="B62" s="225">
        <f>B18*B61</f>
        <v>600</v>
      </c>
      <c r="C62" s="225">
        <f>C18*C61</f>
        <v>600</v>
      </c>
      <c r="D62" s="180" t="s">
        <v>246</v>
      </c>
      <c r="E62" s="216" t="s">
        <v>466</v>
      </c>
      <c r="F62" s="224" t="s">
        <v>392</v>
      </c>
    </row>
    <row r="63" spans="1:6" ht="14.1" customHeight="1" x14ac:dyDescent="0.3">
      <c r="A63" s="236" t="s">
        <v>566</v>
      </c>
      <c r="B63" s="256">
        <f>B31/B62</f>
        <v>5.5850536063818557E-3</v>
      </c>
      <c r="C63" s="256">
        <f>C31/C62</f>
        <v>3.7110063220529431E-3</v>
      </c>
      <c r="D63" s="180"/>
      <c r="E63" s="216" t="s">
        <v>411</v>
      </c>
      <c r="F63" s="224" t="s">
        <v>412</v>
      </c>
    </row>
    <row r="64" spans="1:6" ht="14.1" customHeight="1" x14ac:dyDescent="0.2">
      <c r="A64" s="216" t="s">
        <v>393</v>
      </c>
      <c r="B64" s="256"/>
      <c r="C64" s="256"/>
      <c r="D64" s="180"/>
      <c r="E64" s="216"/>
      <c r="F64" s="224"/>
    </row>
    <row r="65" spans="1:8" ht="14.1" customHeight="1" x14ac:dyDescent="0.2">
      <c r="A65" s="180" t="s">
        <v>413</v>
      </c>
      <c r="B65" s="221">
        <f>IF(B40="fissurada",B34*B58*3*B58/(12.5*B15*B13*B7),0)</f>
        <v>0.1455789468284211</v>
      </c>
      <c r="C65" s="221">
        <f>IF(C40="fissurada",C34*C58*3*C58/(12.5*C15*C13*C7),0)</f>
        <v>0.12016047226205115</v>
      </c>
      <c r="D65" s="180" t="s">
        <v>18</v>
      </c>
      <c r="E65" s="216" t="s">
        <v>414</v>
      </c>
      <c r="F65" s="217" t="s">
        <v>394</v>
      </c>
    </row>
    <row r="66" spans="1:8" ht="14.1" customHeight="1" x14ac:dyDescent="0.2">
      <c r="A66" s="180" t="s">
        <v>415</v>
      </c>
      <c r="B66" s="221">
        <f>IF(B40="fissurada",B34*B58*(4/B63+45)/(12.5*B15*B13),0)</f>
        <v>0.31254717456411596</v>
      </c>
      <c r="C66" s="221">
        <f>IF(C40="fissurada",C34*C58*(4/C63+45)/(12.5*C15*C13),0)</f>
        <v>0.37171192389035501</v>
      </c>
      <c r="D66" s="180" t="s">
        <v>18</v>
      </c>
      <c r="E66" s="216" t="s">
        <v>416</v>
      </c>
      <c r="F66" s="217" t="s">
        <v>394</v>
      </c>
    </row>
    <row r="67" spans="1:8" ht="14.1" customHeight="1" x14ac:dyDescent="0.2">
      <c r="A67" s="180" t="s">
        <v>417</v>
      </c>
      <c r="B67" s="257">
        <f>MIN(B65,B66)</f>
        <v>0.1455789468284211</v>
      </c>
      <c r="C67" s="257">
        <f>MIN(C65,C66)</f>
        <v>0.12016047226205115</v>
      </c>
      <c r="D67" s="180" t="s">
        <v>18</v>
      </c>
      <c r="E67" s="216" t="s">
        <v>418</v>
      </c>
      <c r="F67" s="217" t="s">
        <v>394</v>
      </c>
    </row>
    <row r="68" spans="1:8" ht="14.1" customHeight="1" x14ac:dyDescent="0.2">
      <c r="A68" s="216" t="s">
        <v>395</v>
      </c>
      <c r="B68" s="221"/>
      <c r="C68" s="221"/>
      <c r="D68" s="180"/>
      <c r="E68" s="216"/>
      <c r="F68" s="217"/>
    </row>
    <row r="69" spans="1:8" ht="14.1" customHeight="1" x14ac:dyDescent="0.2">
      <c r="A69" s="180" t="s">
        <v>170</v>
      </c>
      <c r="B69" s="261">
        <f>Principal!$E$65</f>
        <v>0.3</v>
      </c>
      <c r="C69" s="261">
        <f>Principal!$E$65</f>
        <v>0.3</v>
      </c>
      <c r="D69" s="180" t="s">
        <v>18</v>
      </c>
      <c r="E69" s="216"/>
      <c r="F69" s="217" t="s">
        <v>396</v>
      </c>
    </row>
    <row r="70" spans="1:8" ht="14.1" customHeight="1" x14ac:dyDescent="0.2">
      <c r="A70" s="180" t="s">
        <v>84</v>
      </c>
      <c r="B70" s="238">
        <f>B67/B69</f>
        <v>0.48526315609473702</v>
      </c>
      <c r="C70" s="238">
        <f>C67/C69</f>
        <v>0.40053490754017052</v>
      </c>
      <c r="D70" s="180"/>
      <c r="E70" s="216" t="s">
        <v>84</v>
      </c>
      <c r="F70" s="216" t="s">
        <v>419</v>
      </c>
    </row>
    <row r="71" spans="1:8" ht="14.1" customHeight="1" x14ac:dyDescent="0.2">
      <c r="A71" s="211"/>
      <c r="B71" s="211"/>
      <c r="C71" s="211"/>
      <c r="D71" s="211"/>
      <c r="E71" s="211"/>
      <c r="F71" s="211"/>
    </row>
    <row r="72" spans="1:8" ht="14.1" customHeight="1" x14ac:dyDescent="0.2">
      <c r="A72" s="211"/>
      <c r="B72" s="211"/>
      <c r="C72" s="211"/>
      <c r="D72" s="211"/>
      <c r="E72" s="211"/>
      <c r="F72" s="211"/>
    </row>
    <row r="73" spans="1:8" ht="14.1" customHeight="1" x14ac:dyDescent="0.2">
      <c r="A73" s="211"/>
      <c r="B73" s="211"/>
      <c r="C73" s="211"/>
      <c r="D73" s="211"/>
      <c r="E73" s="211"/>
      <c r="F73" s="211"/>
    </row>
    <row r="74" spans="1:8" s="220" customFormat="1" ht="14.1" customHeight="1" x14ac:dyDescent="0.2">
      <c r="G74" s="222"/>
      <c r="H74" s="222"/>
    </row>
    <row r="75" spans="1:8" s="220" customFormat="1" ht="14.1" customHeight="1" x14ac:dyDescent="0.2">
      <c r="G75" s="222"/>
      <c r="H75" s="222"/>
    </row>
    <row r="76" spans="1:8" s="220" customFormat="1" ht="14.1" customHeight="1" x14ac:dyDescent="0.2">
      <c r="G76" s="222"/>
      <c r="H76" s="222"/>
    </row>
    <row r="77" spans="1:8" ht="14.1" customHeight="1" x14ac:dyDescent="0.2">
      <c r="A77" s="211"/>
      <c r="B77" s="211"/>
      <c r="C77" s="211"/>
      <c r="D77" s="211"/>
      <c r="E77" s="211"/>
      <c r="F77" s="211"/>
    </row>
    <row r="78" spans="1:8" ht="14.1" customHeight="1" x14ac:dyDescent="0.2">
      <c r="A78" s="211"/>
      <c r="B78" s="211"/>
      <c r="C78" s="211"/>
      <c r="D78" s="211"/>
      <c r="E78" s="211"/>
      <c r="F78" s="211"/>
    </row>
    <row r="79" spans="1:8" ht="14.1" customHeight="1" x14ac:dyDescent="0.2">
      <c r="A79" s="211"/>
      <c r="B79" s="211"/>
      <c r="C79" s="211"/>
      <c r="D79" s="211"/>
      <c r="E79" s="211"/>
      <c r="F79" s="211"/>
    </row>
    <row r="80" spans="1:8" ht="14.1" customHeight="1" x14ac:dyDescent="0.2">
      <c r="A80" s="211"/>
      <c r="B80" s="211"/>
      <c r="C80" s="211"/>
      <c r="D80" s="211"/>
      <c r="E80" s="211"/>
      <c r="F80" s="211"/>
    </row>
    <row r="81" spans="1:6" ht="14.1" customHeight="1" x14ac:dyDescent="0.2">
      <c r="A81" s="211"/>
      <c r="B81" s="211"/>
      <c r="C81" s="211"/>
      <c r="D81" s="211"/>
      <c r="E81" s="211"/>
      <c r="F81" s="211"/>
    </row>
    <row r="82" spans="1:6" ht="14.1" customHeight="1" x14ac:dyDescent="0.2">
      <c r="A82" s="211"/>
      <c r="B82" s="211"/>
      <c r="C82" s="211"/>
      <c r="D82" s="211"/>
      <c r="E82" s="211"/>
      <c r="F82" s="211"/>
    </row>
    <row r="83" spans="1:6" ht="14.1" customHeight="1" x14ac:dyDescent="0.2">
      <c r="A83" s="211"/>
      <c r="B83" s="211"/>
      <c r="C83" s="211"/>
      <c r="D83" s="211"/>
      <c r="E83" s="211"/>
      <c r="F83" s="211"/>
    </row>
    <row r="84" spans="1:6" ht="14.1" customHeight="1" x14ac:dyDescent="0.2">
      <c r="A84" s="211"/>
      <c r="B84" s="211"/>
      <c r="C84" s="211"/>
      <c r="D84" s="211"/>
      <c r="E84" s="211"/>
      <c r="F84" s="211"/>
    </row>
    <row r="85" spans="1:6" ht="14.1" customHeight="1" x14ac:dyDescent="0.2">
      <c r="A85" s="211"/>
      <c r="B85" s="211"/>
      <c r="C85" s="211"/>
      <c r="D85" s="211"/>
      <c r="E85" s="211"/>
      <c r="F85" s="211"/>
    </row>
    <row r="86" spans="1:6" ht="14.1" customHeight="1" x14ac:dyDescent="0.2">
      <c r="A86" s="211"/>
      <c r="B86" s="211"/>
      <c r="C86" s="211"/>
      <c r="D86" s="211"/>
      <c r="E86" s="211"/>
      <c r="F86" s="211"/>
    </row>
    <row r="87" spans="1:6" ht="14.1" customHeight="1" x14ac:dyDescent="0.2">
      <c r="A87" s="211"/>
      <c r="B87" s="211"/>
      <c r="C87" s="211"/>
      <c r="D87" s="211"/>
      <c r="E87" s="211"/>
      <c r="F87" s="211"/>
    </row>
    <row r="88" spans="1:6" ht="14.1" customHeight="1" x14ac:dyDescent="0.2">
      <c r="A88" s="211"/>
      <c r="B88" s="211"/>
      <c r="C88" s="211"/>
      <c r="D88" s="211"/>
      <c r="E88" s="211"/>
      <c r="F88" s="211"/>
    </row>
    <row r="89" spans="1:6" ht="14.1" customHeight="1" x14ac:dyDescent="0.2">
      <c r="A89" s="211"/>
      <c r="B89" s="211"/>
      <c r="C89" s="211"/>
      <c r="D89" s="211"/>
      <c r="E89" s="211"/>
      <c r="F89" s="211"/>
    </row>
    <row r="90" spans="1:6" ht="14.1" customHeight="1" x14ac:dyDescent="0.2">
      <c r="A90" s="211"/>
      <c r="B90" s="211"/>
      <c r="C90" s="211"/>
      <c r="D90" s="211"/>
      <c r="E90" s="211"/>
      <c r="F90" s="211"/>
    </row>
    <row r="91" spans="1:6" ht="14.1" customHeight="1" x14ac:dyDescent="0.2">
      <c r="A91" s="211"/>
      <c r="B91" s="211"/>
      <c r="C91" s="211"/>
      <c r="D91" s="211"/>
      <c r="E91" s="211"/>
      <c r="F91" s="211"/>
    </row>
    <row r="92" spans="1:6" ht="14.1" customHeight="1" x14ac:dyDescent="0.2">
      <c r="A92" s="211"/>
      <c r="B92" s="211"/>
      <c r="C92" s="211"/>
      <c r="D92" s="211"/>
      <c r="E92" s="211"/>
      <c r="F92" s="211"/>
    </row>
    <row r="93" spans="1:6" ht="14.1" customHeight="1" x14ac:dyDescent="0.2">
      <c r="A93" s="211"/>
      <c r="B93" s="211"/>
      <c r="C93" s="211"/>
      <c r="D93" s="211"/>
      <c r="E93" s="211"/>
      <c r="F93" s="211"/>
    </row>
    <row r="94" spans="1:6" ht="14.1" customHeight="1" x14ac:dyDescent="0.2">
      <c r="A94" s="211"/>
      <c r="B94" s="211"/>
      <c r="C94" s="211"/>
      <c r="D94" s="211"/>
      <c r="E94" s="211"/>
      <c r="F94" s="211"/>
    </row>
    <row r="95" spans="1:6" ht="14.1" customHeight="1" x14ac:dyDescent="0.2">
      <c r="A95" s="211"/>
      <c r="B95" s="211"/>
      <c r="C95" s="211"/>
      <c r="D95" s="211"/>
      <c r="E95" s="211"/>
      <c r="F95" s="211"/>
    </row>
    <row r="96" spans="1:6" ht="14.1" customHeight="1" x14ac:dyDescent="0.2">
      <c r="A96" s="211"/>
      <c r="B96" s="211"/>
      <c r="C96" s="211"/>
      <c r="D96" s="211"/>
      <c r="E96" s="211"/>
      <c r="F96" s="211"/>
    </row>
    <row r="97" spans="1:6" ht="14.1" customHeight="1" x14ac:dyDescent="0.2">
      <c r="A97" s="211"/>
      <c r="B97" s="211"/>
      <c r="C97" s="211"/>
      <c r="D97" s="211"/>
      <c r="E97" s="211"/>
      <c r="F97" s="211"/>
    </row>
    <row r="98" spans="1:6" ht="14.1" customHeight="1" x14ac:dyDescent="0.2">
      <c r="A98" s="211"/>
      <c r="B98" s="211"/>
      <c r="C98" s="211"/>
      <c r="D98" s="211"/>
      <c r="E98" s="211"/>
      <c r="F98" s="211"/>
    </row>
    <row r="99" spans="1:6" ht="14.1" customHeight="1" x14ac:dyDescent="0.2">
      <c r="A99" s="211"/>
      <c r="B99" s="211"/>
      <c r="C99" s="211"/>
      <c r="D99" s="211"/>
      <c r="E99" s="211"/>
      <c r="F99" s="211"/>
    </row>
    <row r="100" spans="1:6" ht="14.1" customHeight="1" x14ac:dyDescent="0.2">
      <c r="A100" s="211"/>
      <c r="B100" s="211"/>
      <c r="C100" s="211"/>
      <c r="D100" s="211"/>
      <c r="E100" s="211"/>
      <c r="F100" s="211"/>
    </row>
    <row r="101" spans="1:6" ht="15" customHeight="1" x14ac:dyDescent="0.2">
      <c r="B101" s="253"/>
      <c r="C101" s="253"/>
    </row>
    <row r="102" spans="1:6" ht="15" customHeight="1" x14ac:dyDescent="0.2">
      <c r="B102" s="253"/>
      <c r="C102" s="253"/>
    </row>
    <row r="103" spans="1:6" ht="15" customHeight="1" x14ac:dyDescent="0.2">
      <c r="B103" s="253"/>
      <c r="C103" s="253"/>
    </row>
    <row r="104" spans="1:6" ht="15" customHeight="1" x14ac:dyDescent="0.2">
      <c r="B104" s="253"/>
      <c r="C104" s="253"/>
    </row>
    <row r="105" spans="1:6" ht="15" customHeight="1" x14ac:dyDescent="0.2">
      <c r="B105" s="253"/>
      <c r="C105" s="253"/>
    </row>
    <row r="106" spans="1:6" ht="15" customHeight="1" x14ac:dyDescent="0.2"/>
    <row r="107" spans="1:6" ht="15" customHeight="1" x14ac:dyDescent="0.2"/>
    <row r="108" spans="1:6" ht="15" customHeight="1" x14ac:dyDescent="0.2"/>
    <row r="109" spans="1:6" ht="15" customHeight="1" x14ac:dyDescent="0.2"/>
    <row r="110" spans="1:6" ht="15" customHeight="1" x14ac:dyDescent="0.2"/>
    <row r="111" spans="1:6" ht="15" customHeight="1" x14ac:dyDescent="0.2"/>
    <row r="112" spans="1:6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</sheetData>
  <phoneticPr fontId="25" type="noConversion"/>
  <conditionalFormatting sqref="B70:C70">
    <cfRule type="cellIs" dxfId="4" priority="1" stopIfTrue="1" operator="greaterThan">
      <formula>1</formula>
    </cfRule>
  </conditionalFormatting>
  <conditionalFormatting sqref="B53:C53">
    <cfRule type="expression" dxfId="3" priority="2" stopIfTrue="1">
      <formula>$B$54="C1"</formula>
    </cfRule>
  </conditionalFormatting>
  <conditionalFormatting sqref="B42:C46">
    <cfRule type="expression" dxfId="2" priority="3" stopIfTrue="1">
      <formula>B$54="C2"</formula>
    </cfRule>
  </conditionalFormatting>
  <conditionalFormatting sqref="B48:C52">
    <cfRule type="expression" dxfId="1" priority="4" stopIfTrue="1">
      <formula>B$54="C1"</formula>
    </cfRule>
  </conditionalFormatting>
  <printOptions horizontalCentered="1" verticalCentered="1"/>
  <pageMargins left="0" right="0.11811023622047245" top="0.62992125984251968" bottom="0.59055118110236227" header="0.51181102362204722" footer="0.51181102362204722"/>
  <pageSetup paperSize="9" scale="75" orientation="landscape" blackAndWhite="1" horizontalDpi="4294967294" r:id="rId1"/>
  <headerFooter alignWithMargins="0"/>
  <rowBreaks count="1" manualBreakCount="1">
    <brk id="27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10</vt:i4>
      </vt:variant>
    </vt:vector>
  </HeadingPairs>
  <TitlesOfParts>
    <vt:vector size="20" baseType="lpstr">
      <vt:lpstr>Principal</vt:lpstr>
      <vt:lpstr>Esforços</vt:lpstr>
      <vt:lpstr>ELUM-Pos</vt:lpstr>
      <vt:lpstr>ELUM-Neg</vt:lpstr>
      <vt:lpstr>ELUV</vt:lpstr>
      <vt:lpstr>ELSD</vt:lpstr>
      <vt:lpstr>ELSW-Pos</vt:lpstr>
      <vt:lpstr>ELSW-Neg</vt:lpstr>
      <vt:lpstr>ELSW-Ta</vt:lpstr>
      <vt:lpstr>ELSW-Tb</vt:lpstr>
      <vt:lpstr>ELSD!Area_de_impressao</vt:lpstr>
      <vt:lpstr>'ELSW-Neg'!Area_de_impressao</vt:lpstr>
      <vt:lpstr>'ELSW-Pos'!Area_de_impressao</vt:lpstr>
      <vt:lpstr>'ELSW-Ta'!Area_de_impressao</vt:lpstr>
      <vt:lpstr>'ELSW-Tb'!Area_de_impressao</vt:lpstr>
      <vt:lpstr>'ELUM-Neg'!Area_de_impressao</vt:lpstr>
      <vt:lpstr>'ELUM-Pos'!Area_de_impressao</vt:lpstr>
      <vt:lpstr>ELUV!Area_de_impressao</vt:lpstr>
      <vt:lpstr>Esforços!Area_de_impressao</vt:lpstr>
      <vt:lpstr>Principal!Area_de_impressao</vt:lpstr>
    </vt:vector>
  </TitlesOfParts>
  <Company>UFES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LabCIV</dc:creator>
  <cp:lastModifiedBy>MrStone</cp:lastModifiedBy>
  <cp:lastPrinted>2011-01-24T17:44:16Z</cp:lastPrinted>
  <dcterms:created xsi:type="dcterms:W3CDTF">2003-06-16T12:29:01Z</dcterms:created>
  <dcterms:modified xsi:type="dcterms:W3CDTF">2018-08-27T18:49:30Z</dcterms:modified>
</cp:coreProperties>
</file>